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ivotTables/pivotTable1.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comments4.xml" ContentType="application/vnd.openxmlformats-officedocument.spreadsheetml.comments+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I:\DataExchange\DE2014-15\Summary Data\"/>
    </mc:Choice>
  </mc:AlternateContent>
  <bookViews>
    <workbookView xWindow="-15" yWindow="-15" windowWidth="10800" windowHeight="9750"/>
  </bookViews>
  <sheets>
    <sheet name="NEW...Tables 87-90" sheetId="5" r:id="rId1"/>
    <sheet name="OLD...Tables" sheetId="7" r:id="rId2"/>
    <sheet name="NEW...Tables 91-112" sheetId="6" r:id="rId3"/>
    <sheet name="OLD...Tabs" sheetId="8" r:id="rId4"/>
    <sheet name="Pivot Table for Data Exchange" sheetId="2" r:id="rId5"/>
    <sheet name="E-learning credit hours" sheetId="1" r:id="rId6"/>
    <sheet name="Format for DE pivot" sheetId="10" r:id="rId7"/>
    <sheet name="Summary Table for Fact Book" sheetId="9" r:id="rId8"/>
    <sheet name="Pivot Table for Fact Book" sheetId="3" r:id="rId9"/>
    <sheet name="Format for FB Pivot Tab" sheetId="11" r:id="rId10"/>
  </sheets>
  <definedNames>
    <definedName name="_xlnm.Print_Area" localSheetId="0">'NEW...Tables 87-90'!$A$1:$P$116</definedName>
    <definedName name="_xlnm.Print_Area" localSheetId="2">'NEW...Tables 91-112'!$A$1:$P$461</definedName>
    <definedName name="_xlnm.Print_Area" localSheetId="1">OLD...Tables!$A$1:$P$113</definedName>
    <definedName name="_xlnm.Print_Area" localSheetId="3">OLD...Tabs!$A$1:$P$461</definedName>
    <definedName name="Type10ug1" localSheetId="5">'E-learning credit hours'!#REF!</definedName>
    <definedName name="Type10ug2" localSheetId="5">'E-learning credit hours'!#REF!</definedName>
    <definedName name="Type10ug3" localSheetId="5">'E-learning credit hours'!#REF!</definedName>
    <definedName name="Type10ug4" localSheetId="5">'E-learning credit hours'!#REF!</definedName>
    <definedName name="Type10ug5" localSheetId="5">'E-learning credit hours'!#REF!</definedName>
    <definedName name="Type11gr1_1" localSheetId="5">'E-learning credit hours'!#REF!</definedName>
    <definedName name="Type11gr2" localSheetId="5">'E-learning credit hours'!#REF!</definedName>
    <definedName name="Type11gr3_1" localSheetId="5">'E-learning credit hours'!#REF!</definedName>
    <definedName name="Type11gr4_1" localSheetId="5">'E-learning credit hours'!#REF!</definedName>
    <definedName name="Type11gr5_1" localSheetId="5">'E-learning credit hours'!#REF!</definedName>
    <definedName name="Type11ug1_1" localSheetId="5">'E-learning credit hours'!#REF!</definedName>
    <definedName name="Type11ug2" localSheetId="5">'E-learning credit hours'!#REF!</definedName>
    <definedName name="Type11ug3" localSheetId="5">'E-learning credit hours'!#REF!</definedName>
    <definedName name="Type11ug4" localSheetId="5">'E-learning credit hours'!#REF!</definedName>
    <definedName name="Type11ug5_1" localSheetId="5">'E-learning credit hours'!#REF!</definedName>
    <definedName name="Type13gr1" localSheetId="5">'E-learning credit hours'!$W$915:$W$1020</definedName>
    <definedName name="Type13gr2" localSheetId="5">'E-learning credit hours'!$Y$915:$Y$1020</definedName>
    <definedName name="Type13gr3" localSheetId="5">'E-learning credit hours'!$AC$915:$AC$1020</definedName>
    <definedName name="Type13gr4" localSheetId="5">'E-learning credit hours'!$AD$915:$AD$1020</definedName>
    <definedName name="Type13gr5_1" localSheetId="5">'E-learning credit hours'!$AE$915:$AE$1020</definedName>
    <definedName name="Type13ug1" localSheetId="5">'E-learning credit hours'!$I$915:$I$1020</definedName>
    <definedName name="Type13ug2" localSheetId="5">'E-learning credit hours'!$K$915:$K$1020</definedName>
    <definedName name="Type13ug3" localSheetId="5">'E-learning credit hours'!$O$915:$O$1020</definedName>
    <definedName name="Type13ug4" localSheetId="5">'E-learning credit hours'!$P$915:$P$1020</definedName>
    <definedName name="Type13ug5" localSheetId="5">'E-learning credit hours'!$Q$915:$Q$1020</definedName>
    <definedName name="Type14gr1" localSheetId="5">'E-learning credit hours'!$W$436:$W$542</definedName>
  </definedNames>
  <calcPr calcId="162913"/>
  <pivotCaches>
    <pivotCache cacheId="0" r:id="rId11"/>
    <pivotCache cacheId="1" r:id="rId12"/>
  </pivotCaches>
</workbook>
</file>

<file path=xl/calcChain.xml><?xml version="1.0" encoding="utf-8"?>
<calcChain xmlns="http://schemas.openxmlformats.org/spreadsheetml/2006/main">
  <c r="F8" i="1" l="1"/>
  <c r="G8" i="1"/>
  <c r="F9" i="1"/>
  <c r="G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F56" i="1"/>
  <c r="G56" i="1"/>
  <c r="F57" i="1"/>
  <c r="G57" i="1"/>
  <c r="F58" i="1"/>
  <c r="G58" i="1"/>
  <c r="F59" i="1"/>
  <c r="G59" i="1"/>
  <c r="F60" i="1"/>
  <c r="G60" i="1"/>
  <c r="F61" i="1"/>
  <c r="G61" i="1"/>
  <c r="F62" i="1"/>
  <c r="G62" i="1"/>
  <c r="F63" i="1"/>
  <c r="G63" i="1"/>
  <c r="F64" i="1"/>
  <c r="G64" i="1"/>
  <c r="F65" i="1"/>
  <c r="G65" i="1"/>
  <c r="F66" i="1"/>
  <c r="G66" i="1"/>
  <c r="F67" i="1"/>
  <c r="G67" i="1"/>
  <c r="F68" i="1"/>
  <c r="G68" i="1"/>
  <c r="F69" i="1"/>
  <c r="G69" i="1"/>
  <c r="F70" i="1"/>
  <c r="G70" i="1"/>
  <c r="F71" i="1"/>
  <c r="G71" i="1"/>
  <c r="F72" i="1"/>
  <c r="G72" i="1"/>
  <c r="F73" i="1"/>
  <c r="G73" i="1"/>
  <c r="F74" i="1"/>
  <c r="G74" i="1"/>
  <c r="F75" i="1"/>
  <c r="G75" i="1"/>
  <c r="F76" i="1"/>
  <c r="G76" i="1"/>
  <c r="F77" i="1"/>
  <c r="G77" i="1"/>
  <c r="F78" i="1"/>
  <c r="G78" i="1"/>
  <c r="F79" i="1"/>
  <c r="G79" i="1"/>
  <c r="F80" i="1"/>
  <c r="G80" i="1"/>
  <c r="F81" i="1"/>
  <c r="G81" i="1"/>
  <c r="F82" i="1"/>
  <c r="G82" i="1"/>
  <c r="F83" i="1"/>
  <c r="G83" i="1"/>
  <c r="F84" i="1"/>
  <c r="G84" i="1"/>
  <c r="F85" i="1"/>
  <c r="G85" i="1"/>
  <c r="F86" i="1"/>
  <c r="G86" i="1"/>
  <c r="F87" i="1"/>
  <c r="G87" i="1"/>
  <c r="F88" i="1"/>
  <c r="G88" i="1"/>
  <c r="F89" i="1"/>
  <c r="G89" i="1"/>
  <c r="F90" i="1"/>
  <c r="G90" i="1"/>
  <c r="F91" i="1"/>
  <c r="G91" i="1"/>
  <c r="F92" i="1"/>
  <c r="G92" i="1"/>
  <c r="F93" i="1"/>
  <c r="G93" i="1"/>
  <c r="F94" i="1"/>
  <c r="G94" i="1"/>
  <c r="F95" i="1"/>
  <c r="G95" i="1"/>
  <c r="F96" i="1"/>
  <c r="G96" i="1"/>
  <c r="F97" i="1"/>
  <c r="G97" i="1"/>
  <c r="F98" i="1"/>
  <c r="G98" i="1"/>
  <c r="F99" i="1"/>
  <c r="G99" i="1"/>
  <c r="F100" i="1"/>
  <c r="G100" i="1"/>
  <c r="F101" i="1"/>
  <c r="G101" i="1"/>
  <c r="F102" i="1"/>
  <c r="G102" i="1"/>
  <c r="F103" i="1"/>
  <c r="G103" i="1"/>
  <c r="F104" i="1"/>
  <c r="G104" i="1"/>
  <c r="F105" i="1"/>
  <c r="G105" i="1"/>
  <c r="F106" i="1"/>
  <c r="G106" i="1"/>
  <c r="F107" i="1"/>
  <c r="G107" i="1"/>
  <c r="F108" i="1"/>
  <c r="G108" i="1"/>
  <c r="F109" i="1"/>
  <c r="G109" i="1"/>
  <c r="F110" i="1"/>
  <c r="G110" i="1"/>
  <c r="F111" i="1"/>
  <c r="G111" i="1"/>
  <c r="F112" i="1"/>
  <c r="G112" i="1"/>
  <c r="F113" i="1"/>
  <c r="G113" i="1"/>
  <c r="F114" i="1"/>
  <c r="G114" i="1"/>
  <c r="F115" i="1"/>
  <c r="G115" i="1"/>
  <c r="F116" i="1"/>
  <c r="G116" i="1"/>
  <c r="F117" i="1"/>
  <c r="G117" i="1"/>
  <c r="F118" i="1"/>
  <c r="G118" i="1"/>
  <c r="F119" i="1"/>
  <c r="G119" i="1"/>
  <c r="F120" i="1"/>
  <c r="G120" i="1"/>
  <c r="F121" i="1"/>
  <c r="G121" i="1"/>
  <c r="F122" i="1"/>
  <c r="G122" i="1"/>
  <c r="F123" i="1"/>
  <c r="G123" i="1"/>
  <c r="F124" i="1"/>
  <c r="G124" i="1"/>
  <c r="F125" i="1"/>
  <c r="G125" i="1"/>
  <c r="F126" i="1"/>
  <c r="G126" i="1"/>
  <c r="F127" i="1"/>
  <c r="G127" i="1"/>
  <c r="F128" i="1"/>
  <c r="G128" i="1"/>
  <c r="F129" i="1"/>
  <c r="G129" i="1"/>
  <c r="F130" i="1"/>
  <c r="G130" i="1"/>
  <c r="F131" i="1"/>
  <c r="G131" i="1"/>
  <c r="F132" i="1"/>
  <c r="G132" i="1"/>
  <c r="F133" i="1"/>
  <c r="G133" i="1"/>
  <c r="F134" i="1"/>
  <c r="G134" i="1"/>
  <c r="F135" i="1"/>
  <c r="G135" i="1"/>
  <c r="F136" i="1"/>
  <c r="G136" i="1"/>
  <c r="F137" i="1"/>
  <c r="G137" i="1"/>
  <c r="F138" i="1"/>
  <c r="G138" i="1"/>
  <c r="F139" i="1"/>
  <c r="G139" i="1"/>
  <c r="F140" i="1"/>
  <c r="G140" i="1"/>
  <c r="F141" i="1"/>
  <c r="G141" i="1"/>
  <c r="F142" i="1"/>
  <c r="G142" i="1"/>
  <c r="F143" i="1"/>
  <c r="G143" i="1"/>
  <c r="F144" i="1"/>
  <c r="G144" i="1"/>
  <c r="F145" i="1"/>
  <c r="G145" i="1"/>
  <c r="F146" i="1"/>
  <c r="G146" i="1"/>
  <c r="F147" i="1"/>
  <c r="G147" i="1"/>
  <c r="F148" i="1"/>
  <c r="G148" i="1"/>
  <c r="F149" i="1"/>
  <c r="G149" i="1"/>
  <c r="F150" i="1"/>
  <c r="G150" i="1"/>
  <c r="F151" i="1"/>
  <c r="G151" i="1"/>
  <c r="F152" i="1"/>
  <c r="G152" i="1"/>
  <c r="F153" i="1"/>
  <c r="G153" i="1"/>
  <c r="F154" i="1"/>
  <c r="G154" i="1"/>
  <c r="F155" i="1"/>
  <c r="G155" i="1"/>
  <c r="F156" i="1"/>
  <c r="G156" i="1"/>
  <c r="F157" i="1"/>
  <c r="G157" i="1"/>
  <c r="F158" i="1"/>
  <c r="G158" i="1"/>
  <c r="F159" i="1"/>
  <c r="G159" i="1"/>
  <c r="F160" i="1"/>
  <c r="G160" i="1"/>
  <c r="F161" i="1"/>
  <c r="G161" i="1"/>
  <c r="F162" i="1"/>
  <c r="G162" i="1"/>
  <c r="F163" i="1"/>
  <c r="G163" i="1"/>
  <c r="F164" i="1"/>
  <c r="G164" i="1"/>
  <c r="F165" i="1"/>
  <c r="G165" i="1"/>
  <c r="F166" i="1"/>
  <c r="G166" i="1"/>
  <c r="F167" i="1"/>
  <c r="G167" i="1"/>
  <c r="F168" i="1"/>
  <c r="G168" i="1"/>
  <c r="F169" i="1"/>
  <c r="G169" i="1"/>
  <c r="F170" i="1"/>
  <c r="G170" i="1"/>
  <c r="F171" i="1"/>
  <c r="G171" i="1"/>
  <c r="F172" i="1"/>
  <c r="G172" i="1"/>
  <c r="F173" i="1"/>
  <c r="G173" i="1"/>
  <c r="F174" i="1"/>
  <c r="G174" i="1"/>
  <c r="F175" i="1"/>
  <c r="G175" i="1"/>
  <c r="F176" i="1"/>
  <c r="G176" i="1"/>
  <c r="F177" i="1"/>
  <c r="G177" i="1"/>
  <c r="F178" i="1"/>
  <c r="G178" i="1"/>
  <c r="F179" i="1"/>
  <c r="G179" i="1"/>
  <c r="F180" i="1"/>
  <c r="G180" i="1"/>
  <c r="F181" i="1"/>
  <c r="G181" i="1"/>
  <c r="F182" i="1"/>
  <c r="G182" i="1"/>
  <c r="F183" i="1"/>
  <c r="G183" i="1"/>
  <c r="F184" i="1"/>
  <c r="G184" i="1"/>
  <c r="F185" i="1"/>
  <c r="G185" i="1"/>
  <c r="F186" i="1"/>
  <c r="G186" i="1"/>
  <c r="F187" i="1"/>
  <c r="G187" i="1"/>
  <c r="F188" i="1"/>
  <c r="G188" i="1"/>
  <c r="F189" i="1"/>
  <c r="G189" i="1"/>
  <c r="F190" i="1"/>
  <c r="G190" i="1"/>
  <c r="F191" i="1"/>
  <c r="G191" i="1"/>
  <c r="F192" i="1"/>
  <c r="G192" i="1"/>
  <c r="F193" i="1"/>
  <c r="G193" i="1"/>
  <c r="F194" i="1"/>
  <c r="G194" i="1"/>
  <c r="F195" i="1"/>
  <c r="G195" i="1"/>
  <c r="F196" i="1"/>
  <c r="G196" i="1"/>
  <c r="F197" i="1"/>
  <c r="G197" i="1"/>
  <c r="F198" i="1"/>
  <c r="G198" i="1"/>
  <c r="F199" i="1"/>
  <c r="G199" i="1"/>
  <c r="F200" i="1"/>
  <c r="G200" i="1"/>
  <c r="F201" i="1"/>
  <c r="G201" i="1"/>
  <c r="F202" i="1"/>
  <c r="G202" i="1"/>
  <c r="F203" i="1"/>
  <c r="G203" i="1"/>
  <c r="F204" i="1"/>
  <c r="G204" i="1"/>
  <c r="F205" i="1"/>
  <c r="G205" i="1"/>
  <c r="F206" i="1"/>
  <c r="G206" i="1"/>
  <c r="F207" i="1"/>
  <c r="G207" i="1"/>
  <c r="F208" i="1"/>
  <c r="G208" i="1"/>
  <c r="F209" i="1"/>
  <c r="G209" i="1"/>
  <c r="F210" i="1"/>
  <c r="G210" i="1"/>
  <c r="F211" i="1"/>
  <c r="G211" i="1"/>
  <c r="F212" i="1"/>
  <c r="G212" i="1"/>
  <c r="F213" i="1"/>
  <c r="G213" i="1"/>
  <c r="F214" i="1"/>
  <c r="G214" i="1"/>
  <c r="F215" i="1"/>
  <c r="G215" i="1"/>
  <c r="F216" i="1"/>
  <c r="G216" i="1"/>
  <c r="F217" i="1"/>
  <c r="G217" i="1"/>
  <c r="F218" i="1"/>
  <c r="G218" i="1"/>
  <c r="F219" i="1"/>
  <c r="G219" i="1"/>
  <c r="F220" i="1"/>
  <c r="G220" i="1"/>
  <c r="F221" i="1"/>
  <c r="G221" i="1"/>
  <c r="F222" i="1"/>
  <c r="G222" i="1"/>
  <c r="F223" i="1"/>
  <c r="G223" i="1"/>
  <c r="F224" i="1"/>
  <c r="G224" i="1"/>
  <c r="F225" i="1"/>
  <c r="G225" i="1"/>
  <c r="F226" i="1"/>
  <c r="G226" i="1"/>
  <c r="F227" i="1"/>
  <c r="G227" i="1"/>
  <c r="F228" i="1"/>
  <c r="G228" i="1"/>
  <c r="F229" i="1"/>
  <c r="G229" i="1"/>
  <c r="F230" i="1"/>
  <c r="G230" i="1"/>
  <c r="F231" i="1"/>
  <c r="G231" i="1"/>
  <c r="F232" i="1"/>
  <c r="G232" i="1"/>
  <c r="F233" i="1"/>
  <c r="G233" i="1"/>
  <c r="F234" i="1"/>
  <c r="G234" i="1"/>
  <c r="F235" i="1"/>
  <c r="G235" i="1"/>
  <c r="F236" i="1"/>
  <c r="G236" i="1"/>
  <c r="F237" i="1"/>
  <c r="G237" i="1"/>
  <c r="F238" i="1"/>
  <c r="G238" i="1"/>
  <c r="F239" i="1"/>
  <c r="G239" i="1"/>
  <c r="F240" i="1"/>
  <c r="G240" i="1"/>
  <c r="F241" i="1"/>
  <c r="G241" i="1"/>
  <c r="F242" i="1"/>
  <c r="G242" i="1"/>
  <c r="F243" i="1"/>
  <c r="G243" i="1"/>
  <c r="F244" i="1"/>
  <c r="G244" i="1"/>
  <c r="F245" i="1"/>
  <c r="G245" i="1"/>
  <c r="F246" i="1"/>
  <c r="G246" i="1"/>
  <c r="F247" i="1"/>
  <c r="G247" i="1"/>
  <c r="F248" i="1"/>
  <c r="G248" i="1"/>
  <c r="F249" i="1"/>
  <c r="G249" i="1"/>
  <c r="F250" i="1"/>
  <c r="G250" i="1"/>
  <c r="F251" i="1"/>
  <c r="G251" i="1"/>
  <c r="F252" i="1"/>
  <c r="G252" i="1"/>
  <c r="F253" i="1"/>
  <c r="G253" i="1"/>
  <c r="F254" i="1"/>
  <c r="G254" i="1"/>
  <c r="F255" i="1"/>
  <c r="G255" i="1"/>
  <c r="F256" i="1"/>
  <c r="G256" i="1"/>
  <c r="F257" i="1"/>
  <c r="G257" i="1"/>
  <c r="F258" i="1"/>
  <c r="G258" i="1"/>
  <c r="F259" i="1"/>
  <c r="G259" i="1"/>
  <c r="F260" i="1"/>
  <c r="G260" i="1"/>
  <c r="F261" i="1"/>
  <c r="G261" i="1"/>
  <c r="F262" i="1"/>
  <c r="G262" i="1"/>
  <c r="F263" i="1"/>
  <c r="G263" i="1"/>
  <c r="F264" i="1"/>
  <c r="G264" i="1"/>
  <c r="F265" i="1"/>
  <c r="G265" i="1"/>
  <c r="F266" i="1"/>
  <c r="G266" i="1"/>
  <c r="F267" i="1"/>
  <c r="G267" i="1"/>
  <c r="F268" i="1"/>
  <c r="G268" i="1"/>
  <c r="F269" i="1"/>
  <c r="G269" i="1"/>
  <c r="F270" i="1"/>
  <c r="G270" i="1"/>
  <c r="F271" i="1"/>
  <c r="G271" i="1"/>
  <c r="F272" i="1"/>
  <c r="G272" i="1"/>
  <c r="F273" i="1"/>
  <c r="G273" i="1"/>
  <c r="F274" i="1"/>
  <c r="G274" i="1"/>
  <c r="F275" i="1"/>
  <c r="G275" i="1"/>
  <c r="F276" i="1"/>
  <c r="G276" i="1"/>
  <c r="F277" i="1"/>
  <c r="G277" i="1"/>
  <c r="F278" i="1"/>
  <c r="G278" i="1"/>
  <c r="F279" i="1"/>
  <c r="G279" i="1"/>
  <c r="F280" i="1"/>
  <c r="G280" i="1"/>
  <c r="F281" i="1"/>
  <c r="G281" i="1"/>
  <c r="F282" i="1"/>
  <c r="G282" i="1"/>
  <c r="F283" i="1"/>
  <c r="G283" i="1"/>
  <c r="F284" i="1"/>
  <c r="G284" i="1"/>
  <c r="F285" i="1"/>
  <c r="G285" i="1"/>
  <c r="F286" i="1"/>
  <c r="G286" i="1"/>
  <c r="F287" i="1"/>
  <c r="G287" i="1"/>
  <c r="F288" i="1"/>
  <c r="G288" i="1"/>
  <c r="F289" i="1"/>
  <c r="G289" i="1"/>
  <c r="F290" i="1"/>
  <c r="G290" i="1"/>
  <c r="F291" i="1"/>
  <c r="G291" i="1"/>
  <c r="F292" i="1"/>
  <c r="G292" i="1"/>
  <c r="F293" i="1"/>
  <c r="G293" i="1"/>
  <c r="F294" i="1"/>
  <c r="G294" i="1"/>
  <c r="F295" i="1"/>
  <c r="G295" i="1"/>
  <c r="F296" i="1"/>
  <c r="G296" i="1"/>
  <c r="F297" i="1"/>
  <c r="G297" i="1"/>
  <c r="F298" i="1"/>
  <c r="G298" i="1"/>
  <c r="F299" i="1"/>
  <c r="G299" i="1"/>
  <c r="F300" i="1"/>
  <c r="G300" i="1"/>
  <c r="F301" i="1"/>
  <c r="G301" i="1"/>
  <c r="F302" i="1"/>
  <c r="G302" i="1"/>
  <c r="F303" i="1"/>
  <c r="G303" i="1"/>
  <c r="F304" i="1"/>
  <c r="G304" i="1"/>
  <c r="F305" i="1"/>
  <c r="G305" i="1"/>
  <c r="F306" i="1"/>
  <c r="G306" i="1"/>
  <c r="F307" i="1"/>
  <c r="G307" i="1"/>
  <c r="F308" i="1"/>
  <c r="G308" i="1"/>
  <c r="F309" i="1"/>
  <c r="G309" i="1"/>
  <c r="F310" i="1"/>
  <c r="G310" i="1"/>
  <c r="F311" i="1"/>
  <c r="G311" i="1"/>
  <c r="F312" i="1"/>
  <c r="G312" i="1"/>
  <c r="F313" i="1"/>
  <c r="G313" i="1"/>
  <c r="F314" i="1"/>
  <c r="G314" i="1"/>
  <c r="F315" i="1"/>
  <c r="G315" i="1"/>
  <c r="F316" i="1"/>
  <c r="G316" i="1"/>
  <c r="F317" i="1"/>
  <c r="G317" i="1"/>
  <c r="F318" i="1"/>
  <c r="G318" i="1"/>
  <c r="F319" i="1"/>
  <c r="G319" i="1"/>
  <c r="F320" i="1"/>
  <c r="G320" i="1"/>
  <c r="F321" i="1"/>
  <c r="G321" i="1"/>
  <c r="F322" i="1"/>
  <c r="G322" i="1"/>
  <c r="F323" i="1"/>
  <c r="G323" i="1"/>
  <c r="F324" i="1"/>
  <c r="G324" i="1"/>
  <c r="F325" i="1"/>
  <c r="G325" i="1"/>
  <c r="F326" i="1"/>
  <c r="G326" i="1"/>
  <c r="F327" i="1"/>
  <c r="G327" i="1"/>
  <c r="F328" i="1"/>
  <c r="G328" i="1"/>
  <c r="F329" i="1"/>
  <c r="G329" i="1"/>
  <c r="F330" i="1"/>
  <c r="G330" i="1"/>
  <c r="F331" i="1"/>
  <c r="G331" i="1"/>
  <c r="F332" i="1"/>
  <c r="G332" i="1"/>
  <c r="F333" i="1"/>
  <c r="G333" i="1"/>
  <c r="F334" i="1"/>
  <c r="G334" i="1"/>
  <c r="F335" i="1"/>
  <c r="G335" i="1"/>
  <c r="F336" i="1"/>
  <c r="G336" i="1"/>
  <c r="F337" i="1"/>
  <c r="G337" i="1"/>
  <c r="F338" i="1"/>
  <c r="G338" i="1"/>
  <c r="F339" i="1"/>
  <c r="G339" i="1"/>
  <c r="F340" i="1"/>
  <c r="G340" i="1"/>
  <c r="F341" i="1"/>
  <c r="G341" i="1"/>
  <c r="F342" i="1"/>
  <c r="G342" i="1"/>
  <c r="F343" i="1"/>
  <c r="G343" i="1"/>
  <c r="F344" i="1"/>
  <c r="G344" i="1"/>
  <c r="F345" i="1"/>
  <c r="G345" i="1"/>
  <c r="F346" i="1"/>
  <c r="G346" i="1"/>
  <c r="F347" i="1"/>
  <c r="G347" i="1"/>
  <c r="F348" i="1"/>
  <c r="G348" i="1"/>
  <c r="F349" i="1"/>
  <c r="G349" i="1"/>
  <c r="F350" i="1"/>
  <c r="G350" i="1"/>
  <c r="F351" i="1"/>
  <c r="G351" i="1"/>
  <c r="F352" i="1"/>
  <c r="G352" i="1"/>
  <c r="F353" i="1"/>
  <c r="G353" i="1"/>
  <c r="F354" i="1"/>
  <c r="G354" i="1"/>
  <c r="F355" i="1"/>
  <c r="G355" i="1"/>
  <c r="F356" i="1"/>
  <c r="G356" i="1"/>
  <c r="F357" i="1"/>
  <c r="G357" i="1"/>
  <c r="F358" i="1"/>
  <c r="G358" i="1"/>
  <c r="F359" i="1"/>
  <c r="G359" i="1"/>
  <c r="F360" i="1"/>
  <c r="G360" i="1"/>
  <c r="F361" i="1"/>
  <c r="G361" i="1"/>
  <c r="F362" i="1"/>
  <c r="G362" i="1"/>
  <c r="F363" i="1"/>
  <c r="G363" i="1"/>
  <c r="F364" i="1"/>
  <c r="G364" i="1"/>
  <c r="F365" i="1"/>
  <c r="G365" i="1"/>
  <c r="F366" i="1"/>
  <c r="G366" i="1"/>
  <c r="F367" i="1"/>
  <c r="G367" i="1"/>
  <c r="F368" i="1"/>
  <c r="G368" i="1"/>
  <c r="F369" i="1"/>
  <c r="G369" i="1"/>
  <c r="F370" i="1"/>
  <c r="G370" i="1"/>
  <c r="F371" i="1"/>
  <c r="G371" i="1"/>
  <c r="F372" i="1"/>
  <c r="G372" i="1"/>
  <c r="F373" i="1"/>
  <c r="G373" i="1"/>
  <c r="F374" i="1"/>
  <c r="G374" i="1"/>
  <c r="F375" i="1"/>
  <c r="G375" i="1"/>
  <c r="F376" i="1"/>
  <c r="G376" i="1"/>
  <c r="F377" i="1"/>
  <c r="G377" i="1"/>
  <c r="F378" i="1"/>
  <c r="G378" i="1"/>
  <c r="F379" i="1"/>
  <c r="G379" i="1"/>
  <c r="F380" i="1"/>
  <c r="G380" i="1"/>
  <c r="F381" i="1"/>
  <c r="G381" i="1"/>
  <c r="F382" i="1"/>
  <c r="G382" i="1"/>
  <c r="F383" i="1"/>
  <c r="G383" i="1"/>
  <c r="F384" i="1"/>
  <c r="G384" i="1"/>
  <c r="F385" i="1"/>
  <c r="G385" i="1"/>
  <c r="F386" i="1"/>
  <c r="G386" i="1"/>
  <c r="F387" i="1"/>
  <c r="G387" i="1"/>
  <c r="F388" i="1"/>
  <c r="G388" i="1"/>
  <c r="F389" i="1"/>
  <c r="G389" i="1"/>
  <c r="F390" i="1"/>
  <c r="G390" i="1"/>
  <c r="F391" i="1"/>
  <c r="G391" i="1"/>
  <c r="F392" i="1"/>
  <c r="G392" i="1"/>
  <c r="F393" i="1"/>
  <c r="G393" i="1"/>
  <c r="F394" i="1"/>
  <c r="G394" i="1"/>
  <c r="F395" i="1"/>
  <c r="G395" i="1"/>
  <c r="F396" i="1"/>
  <c r="G396" i="1"/>
  <c r="F397" i="1"/>
  <c r="G397" i="1"/>
  <c r="F398" i="1"/>
  <c r="G398" i="1"/>
  <c r="F399" i="1"/>
  <c r="G399" i="1"/>
  <c r="F400" i="1"/>
  <c r="G400" i="1"/>
  <c r="F401" i="1"/>
  <c r="G401" i="1"/>
  <c r="F402" i="1"/>
  <c r="G402" i="1"/>
  <c r="F403" i="1"/>
  <c r="G403" i="1"/>
  <c r="F404" i="1"/>
  <c r="G404" i="1"/>
  <c r="F405" i="1"/>
  <c r="G405" i="1"/>
  <c r="F406" i="1"/>
  <c r="G406" i="1"/>
  <c r="F407" i="1"/>
  <c r="G407" i="1"/>
  <c r="F408" i="1"/>
  <c r="G408" i="1"/>
  <c r="F409" i="1"/>
  <c r="G409" i="1"/>
  <c r="F410" i="1"/>
  <c r="G410" i="1"/>
  <c r="F411" i="1"/>
  <c r="G411" i="1"/>
  <c r="F412" i="1"/>
  <c r="G412" i="1"/>
  <c r="F413" i="1"/>
  <c r="G413" i="1"/>
  <c r="F414" i="1"/>
  <c r="G414" i="1"/>
  <c r="F415" i="1"/>
  <c r="G415" i="1"/>
  <c r="F416" i="1"/>
  <c r="G416" i="1"/>
  <c r="F417" i="1"/>
  <c r="G417" i="1"/>
  <c r="F418" i="1"/>
  <c r="G418" i="1"/>
  <c r="F419" i="1"/>
  <c r="G419" i="1"/>
  <c r="F420" i="1"/>
  <c r="G420" i="1"/>
  <c r="F421" i="1"/>
  <c r="G421" i="1"/>
  <c r="F422" i="1"/>
  <c r="G422" i="1"/>
  <c r="F423" i="1"/>
  <c r="G423" i="1"/>
  <c r="F424" i="1"/>
  <c r="G424" i="1"/>
  <c r="F425" i="1"/>
  <c r="G425" i="1"/>
  <c r="F426" i="1"/>
  <c r="G426" i="1"/>
  <c r="F427" i="1"/>
  <c r="G427" i="1"/>
  <c r="F428" i="1"/>
  <c r="G428" i="1"/>
  <c r="F429" i="1"/>
  <c r="G429" i="1"/>
  <c r="F430" i="1"/>
  <c r="G430" i="1"/>
  <c r="F431" i="1"/>
  <c r="G431" i="1"/>
  <c r="F432" i="1"/>
  <c r="G432" i="1"/>
  <c r="F433" i="1"/>
  <c r="G433" i="1"/>
  <c r="F434" i="1"/>
  <c r="G434" i="1"/>
  <c r="F435" i="1"/>
  <c r="G435" i="1"/>
  <c r="F436" i="1"/>
  <c r="G436" i="1"/>
  <c r="F437" i="1"/>
  <c r="G437" i="1"/>
  <c r="F438" i="1"/>
  <c r="G438" i="1"/>
  <c r="F439" i="1"/>
  <c r="G439" i="1"/>
  <c r="F440" i="1"/>
  <c r="G440" i="1"/>
  <c r="F441" i="1"/>
  <c r="G441" i="1"/>
  <c r="F442" i="1"/>
  <c r="G442" i="1"/>
  <c r="F443" i="1"/>
  <c r="G443" i="1"/>
  <c r="F444" i="1"/>
  <c r="G444" i="1"/>
  <c r="F445" i="1"/>
  <c r="G445" i="1"/>
  <c r="F446" i="1"/>
  <c r="G446" i="1"/>
  <c r="F447" i="1"/>
  <c r="G447" i="1"/>
  <c r="F448" i="1"/>
  <c r="G448" i="1"/>
  <c r="F449" i="1"/>
  <c r="G449" i="1"/>
  <c r="F450" i="1"/>
  <c r="G450" i="1"/>
  <c r="F451" i="1"/>
  <c r="G451" i="1"/>
  <c r="F452" i="1"/>
  <c r="G452" i="1"/>
  <c r="F453" i="1"/>
  <c r="G453" i="1"/>
  <c r="F454" i="1"/>
  <c r="G454" i="1"/>
  <c r="F455" i="1"/>
  <c r="G455" i="1"/>
  <c r="F456" i="1"/>
  <c r="G456" i="1"/>
  <c r="F457" i="1"/>
  <c r="G457" i="1"/>
  <c r="F458" i="1"/>
  <c r="G458" i="1"/>
  <c r="F459" i="1"/>
  <c r="G459" i="1"/>
  <c r="F460" i="1"/>
  <c r="G460" i="1"/>
  <c r="F461" i="1"/>
  <c r="G461" i="1"/>
  <c r="F462" i="1"/>
  <c r="G462" i="1"/>
  <c r="F463" i="1"/>
  <c r="G463" i="1"/>
  <c r="F464" i="1"/>
  <c r="G464" i="1"/>
  <c r="F465" i="1"/>
  <c r="G465" i="1"/>
  <c r="F466" i="1"/>
  <c r="G466" i="1"/>
  <c r="F467" i="1"/>
  <c r="G467" i="1"/>
  <c r="F468" i="1"/>
  <c r="G468" i="1"/>
  <c r="F469" i="1"/>
  <c r="G469" i="1"/>
  <c r="F470" i="1"/>
  <c r="G470" i="1"/>
  <c r="F471" i="1"/>
  <c r="G471" i="1"/>
  <c r="F472" i="1"/>
  <c r="G472" i="1"/>
  <c r="F473" i="1"/>
  <c r="G473" i="1"/>
  <c r="F474" i="1"/>
  <c r="G474" i="1"/>
  <c r="F475" i="1"/>
  <c r="G475" i="1"/>
  <c r="F476" i="1"/>
  <c r="G476" i="1"/>
  <c r="F477" i="1"/>
  <c r="G477" i="1"/>
  <c r="F478" i="1"/>
  <c r="G478" i="1"/>
  <c r="F479" i="1"/>
  <c r="G479" i="1"/>
  <c r="F480" i="1"/>
  <c r="G480" i="1"/>
  <c r="F481" i="1"/>
  <c r="G481" i="1"/>
  <c r="F482" i="1"/>
  <c r="G482" i="1"/>
  <c r="F483" i="1"/>
  <c r="G483" i="1"/>
  <c r="F484" i="1"/>
  <c r="G484" i="1"/>
  <c r="F485" i="1"/>
  <c r="G485" i="1"/>
  <c r="F486" i="1"/>
  <c r="G486" i="1"/>
  <c r="F487" i="1"/>
  <c r="G487" i="1"/>
  <c r="F488" i="1"/>
  <c r="G488" i="1"/>
  <c r="F489" i="1"/>
  <c r="G489" i="1"/>
  <c r="F490" i="1"/>
  <c r="G490" i="1"/>
  <c r="F491" i="1"/>
  <c r="G491" i="1"/>
  <c r="F492" i="1"/>
  <c r="G492" i="1"/>
  <c r="F493" i="1"/>
  <c r="G493" i="1"/>
  <c r="F494" i="1"/>
  <c r="G494" i="1"/>
  <c r="F495" i="1"/>
  <c r="G495" i="1"/>
  <c r="F496" i="1"/>
  <c r="G496" i="1"/>
  <c r="F497" i="1"/>
  <c r="G497" i="1"/>
  <c r="F498" i="1"/>
  <c r="G498" i="1"/>
  <c r="F499" i="1"/>
  <c r="G499" i="1"/>
  <c r="F500" i="1"/>
  <c r="G500" i="1"/>
  <c r="F501" i="1"/>
  <c r="G501" i="1"/>
  <c r="F502" i="1"/>
  <c r="G502" i="1"/>
  <c r="F503" i="1"/>
  <c r="G503" i="1"/>
  <c r="F504" i="1"/>
  <c r="G504" i="1"/>
  <c r="F505" i="1"/>
  <c r="G505" i="1"/>
  <c r="F506" i="1"/>
  <c r="G506" i="1"/>
  <c r="F507" i="1"/>
  <c r="G507" i="1"/>
  <c r="F508" i="1"/>
  <c r="G508" i="1"/>
  <c r="F509" i="1"/>
  <c r="G509" i="1"/>
  <c r="F510" i="1"/>
  <c r="G510" i="1"/>
  <c r="F511" i="1"/>
  <c r="G511" i="1"/>
  <c r="F512" i="1"/>
  <c r="G512" i="1"/>
  <c r="F513" i="1"/>
  <c r="G513" i="1"/>
  <c r="F514" i="1"/>
  <c r="G514" i="1"/>
  <c r="F515" i="1"/>
  <c r="G515" i="1"/>
  <c r="F516" i="1"/>
  <c r="G516" i="1"/>
  <c r="F517" i="1"/>
  <c r="G517" i="1"/>
  <c r="F518" i="1"/>
  <c r="G518" i="1"/>
  <c r="F519" i="1"/>
  <c r="G519" i="1"/>
  <c r="F520" i="1"/>
  <c r="G520" i="1"/>
  <c r="F521" i="1"/>
  <c r="G521" i="1"/>
  <c r="F522" i="1"/>
  <c r="G522" i="1"/>
  <c r="F523" i="1"/>
  <c r="G523" i="1"/>
  <c r="F524" i="1"/>
  <c r="G524" i="1"/>
  <c r="F525" i="1"/>
  <c r="G525" i="1"/>
  <c r="F526" i="1"/>
  <c r="G526" i="1"/>
  <c r="F527" i="1"/>
  <c r="G527" i="1"/>
  <c r="F528" i="1"/>
  <c r="G528" i="1"/>
  <c r="F529" i="1"/>
  <c r="G529" i="1"/>
  <c r="F530" i="1"/>
  <c r="G530" i="1"/>
  <c r="F531" i="1"/>
  <c r="G531" i="1"/>
  <c r="F532" i="1"/>
  <c r="G532" i="1"/>
  <c r="F533" i="1"/>
  <c r="G533" i="1"/>
  <c r="F534" i="1"/>
  <c r="G534" i="1"/>
  <c r="F535" i="1"/>
  <c r="G535" i="1"/>
  <c r="F536" i="1"/>
  <c r="G536" i="1"/>
  <c r="F537" i="1"/>
  <c r="G537" i="1"/>
  <c r="F538" i="1"/>
  <c r="G538" i="1"/>
  <c r="F539" i="1"/>
  <c r="G539" i="1"/>
  <c r="F540" i="1"/>
  <c r="G540" i="1"/>
  <c r="F541" i="1"/>
  <c r="G541" i="1"/>
  <c r="F542" i="1"/>
  <c r="G542" i="1"/>
  <c r="F543" i="1"/>
  <c r="G543" i="1"/>
  <c r="F544" i="1"/>
  <c r="G544" i="1"/>
  <c r="F545" i="1"/>
  <c r="G545" i="1"/>
  <c r="F546" i="1"/>
  <c r="G546" i="1"/>
  <c r="F547" i="1"/>
  <c r="G547" i="1"/>
  <c r="F548" i="1"/>
  <c r="G548" i="1"/>
  <c r="F549" i="1"/>
  <c r="G549" i="1"/>
  <c r="F550" i="1"/>
  <c r="G550" i="1"/>
  <c r="F551" i="1"/>
  <c r="G551" i="1"/>
  <c r="F552" i="1"/>
  <c r="G552" i="1"/>
  <c r="F553" i="1"/>
  <c r="G553" i="1"/>
  <c r="F554" i="1"/>
  <c r="G554" i="1"/>
  <c r="F555" i="1"/>
  <c r="G555" i="1"/>
  <c r="F556" i="1"/>
  <c r="G556" i="1"/>
  <c r="F557" i="1"/>
  <c r="G557" i="1"/>
  <c r="F558" i="1"/>
  <c r="G558" i="1"/>
  <c r="F559" i="1"/>
  <c r="G559" i="1"/>
  <c r="F560" i="1"/>
  <c r="G560" i="1"/>
  <c r="F561" i="1"/>
  <c r="G561" i="1"/>
  <c r="F562" i="1"/>
  <c r="G562" i="1"/>
  <c r="F563" i="1"/>
  <c r="G563" i="1"/>
  <c r="F564" i="1"/>
  <c r="G564" i="1"/>
  <c r="F565" i="1"/>
  <c r="G565" i="1"/>
  <c r="F566" i="1"/>
  <c r="G566" i="1"/>
  <c r="F567" i="1"/>
  <c r="G567" i="1"/>
  <c r="F568" i="1"/>
  <c r="G568" i="1"/>
  <c r="F569" i="1"/>
  <c r="G569" i="1"/>
  <c r="F570" i="1"/>
  <c r="G570" i="1"/>
  <c r="F571" i="1"/>
  <c r="G571" i="1"/>
  <c r="F572" i="1"/>
  <c r="G572" i="1"/>
  <c r="F573" i="1"/>
  <c r="G573" i="1"/>
  <c r="F574" i="1"/>
  <c r="G574" i="1"/>
  <c r="F575" i="1"/>
  <c r="G575" i="1"/>
  <c r="F576" i="1"/>
  <c r="G576" i="1"/>
  <c r="F577" i="1"/>
  <c r="G577" i="1"/>
  <c r="F578" i="1"/>
  <c r="G578" i="1"/>
  <c r="F579" i="1"/>
  <c r="G579" i="1"/>
  <c r="F580" i="1"/>
  <c r="G580" i="1"/>
  <c r="F581" i="1"/>
  <c r="G581" i="1"/>
  <c r="F582" i="1"/>
  <c r="G582" i="1"/>
  <c r="F583" i="1"/>
  <c r="G583" i="1"/>
  <c r="F584" i="1"/>
  <c r="G584" i="1"/>
  <c r="F585" i="1"/>
  <c r="G585" i="1"/>
  <c r="F586" i="1"/>
  <c r="G586" i="1"/>
  <c r="F587" i="1"/>
  <c r="G587" i="1"/>
  <c r="F588" i="1"/>
  <c r="G588" i="1"/>
  <c r="F589" i="1"/>
  <c r="G589" i="1"/>
  <c r="F590" i="1"/>
  <c r="G590" i="1"/>
  <c r="F591" i="1"/>
  <c r="G591" i="1"/>
  <c r="F592" i="1"/>
  <c r="G592" i="1"/>
  <c r="F593" i="1"/>
  <c r="G593" i="1"/>
  <c r="F594" i="1"/>
  <c r="G594" i="1"/>
  <c r="F595" i="1"/>
  <c r="G595" i="1"/>
  <c r="F596" i="1"/>
  <c r="G596" i="1"/>
  <c r="F597" i="1"/>
  <c r="G597" i="1"/>
  <c r="F598" i="1"/>
  <c r="G598" i="1"/>
  <c r="F599" i="1"/>
  <c r="G599" i="1"/>
  <c r="F600" i="1"/>
  <c r="G600" i="1"/>
  <c r="T8" i="1" l="1"/>
  <c r="U8" i="1"/>
  <c r="T9" i="1"/>
  <c r="U9" i="1"/>
  <c r="T10" i="1"/>
  <c r="U10" i="1"/>
  <c r="T11" i="1"/>
  <c r="U11" i="1"/>
  <c r="T12" i="1"/>
  <c r="U12" i="1"/>
  <c r="T13" i="1"/>
  <c r="U13" i="1"/>
  <c r="T14" i="1"/>
  <c r="U14" i="1"/>
  <c r="T15" i="1"/>
  <c r="U15" i="1"/>
  <c r="T16" i="1"/>
  <c r="U16" i="1"/>
  <c r="T17" i="1"/>
  <c r="U17" i="1"/>
  <c r="T18" i="1"/>
  <c r="U18" i="1"/>
  <c r="T19" i="1"/>
  <c r="U19" i="1"/>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T106" i="1"/>
  <c r="U106" i="1"/>
  <c r="T107" i="1"/>
  <c r="U107" i="1"/>
  <c r="T108" i="1"/>
  <c r="U108" i="1"/>
  <c r="T109" i="1"/>
  <c r="U109" i="1"/>
  <c r="T110" i="1"/>
  <c r="U110" i="1"/>
  <c r="T111" i="1"/>
  <c r="U111" i="1"/>
  <c r="T112" i="1"/>
  <c r="U112" i="1"/>
  <c r="T113" i="1"/>
  <c r="U113" i="1"/>
  <c r="T114" i="1"/>
  <c r="U114" i="1"/>
  <c r="T115" i="1"/>
  <c r="U115" i="1"/>
  <c r="T116" i="1"/>
  <c r="U116" i="1"/>
  <c r="T117" i="1"/>
  <c r="U117" i="1"/>
  <c r="T118" i="1"/>
  <c r="U118" i="1"/>
  <c r="T119" i="1"/>
  <c r="U119" i="1"/>
  <c r="T120" i="1"/>
  <c r="U120" i="1"/>
  <c r="T121" i="1"/>
  <c r="U121" i="1"/>
  <c r="T122" i="1"/>
  <c r="U122" i="1"/>
  <c r="T123" i="1"/>
  <c r="U123" i="1"/>
  <c r="T124" i="1"/>
  <c r="U124" i="1"/>
  <c r="T125" i="1"/>
  <c r="U125" i="1"/>
  <c r="T126" i="1"/>
  <c r="U126" i="1"/>
  <c r="T127" i="1"/>
  <c r="U127" i="1"/>
  <c r="T128" i="1"/>
  <c r="U128" i="1"/>
  <c r="T129" i="1"/>
  <c r="U129" i="1"/>
  <c r="T130" i="1"/>
  <c r="U130" i="1"/>
  <c r="T131" i="1"/>
  <c r="U131" i="1"/>
  <c r="T132" i="1"/>
  <c r="U132" i="1"/>
  <c r="T133" i="1"/>
  <c r="U133" i="1"/>
  <c r="T134" i="1"/>
  <c r="U134" i="1"/>
  <c r="T135" i="1"/>
  <c r="U135" i="1"/>
  <c r="T136" i="1"/>
  <c r="U136" i="1"/>
  <c r="T137" i="1"/>
  <c r="U137" i="1"/>
  <c r="T138" i="1"/>
  <c r="U138" i="1"/>
  <c r="T139" i="1"/>
  <c r="U139" i="1"/>
  <c r="T140" i="1"/>
  <c r="U140" i="1"/>
  <c r="T141" i="1"/>
  <c r="U141" i="1"/>
  <c r="T142" i="1"/>
  <c r="U142" i="1"/>
  <c r="T143" i="1"/>
  <c r="U143" i="1"/>
  <c r="T144" i="1"/>
  <c r="U144" i="1"/>
  <c r="T145" i="1"/>
  <c r="U145" i="1"/>
  <c r="T146" i="1"/>
  <c r="U146" i="1"/>
  <c r="T147" i="1"/>
  <c r="U147" i="1"/>
  <c r="T148" i="1"/>
  <c r="U148" i="1"/>
  <c r="T149" i="1"/>
  <c r="U149" i="1"/>
  <c r="T150" i="1"/>
  <c r="U150" i="1"/>
  <c r="T151" i="1"/>
  <c r="U151" i="1"/>
  <c r="T152" i="1"/>
  <c r="U152" i="1"/>
  <c r="T153" i="1"/>
  <c r="U153" i="1"/>
  <c r="T154" i="1"/>
  <c r="U154" i="1"/>
  <c r="T155" i="1"/>
  <c r="U155" i="1"/>
  <c r="T156" i="1"/>
  <c r="U156" i="1"/>
  <c r="T157" i="1"/>
  <c r="U157" i="1"/>
  <c r="T158" i="1"/>
  <c r="U158" i="1"/>
  <c r="T159" i="1"/>
  <c r="U159" i="1"/>
  <c r="T160" i="1"/>
  <c r="U160" i="1"/>
  <c r="T161" i="1"/>
  <c r="U161" i="1"/>
  <c r="T162" i="1"/>
  <c r="U162" i="1"/>
  <c r="T163" i="1"/>
  <c r="U163" i="1"/>
  <c r="T164" i="1"/>
  <c r="U164" i="1"/>
  <c r="T165" i="1"/>
  <c r="U165" i="1"/>
  <c r="T166" i="1"/>
  <c r="U166" i="1"/>
  <c r="T167" i="1"/>
  <c r="U167" i="1"/>
  <c r="T168" i="1"/>
  <c r="U168" i="1"/>
  <c r="T169" i="1"/>
  <c r="U169" i="1"/>
  <c r="T170" i="1"/>
  <c r="U170" i="1"/>
  <c r="T171" i="1"/>
  <c r="U171" i="1"/>
  <c r="T172" i="1"/>
  <c r="U172" i="1"/>
  <c r="T173" i="1"/>
  <c r="U173" i="1"/>
  <c r="T174" i="1"/>
  <c r="U174" i="1"/>
  <c r="T175" i="1"/>
  <c r="U175" i="1"/>
  <c r="T176" i="1"/>
  <c r="U176" i="1"/>
  <c r="T177" i="1"/>
  <c r="U177" i="1"/>
  <c r="T178" i="1"/>
  <c r="U178" i="1"/>
  <c r="T179" i="1"/>
  <c r="U179" i="1"/>
  <c r="T180" i="1"/>
  <c r="U180" i="1"/>
  <c r="T181" i="1"/>
  <c r="U181" i="1"/>
  <c r="T182" i="1"/>
  <c r="U182" i="1"/>
  <c r="T183" i="1"/>
  <c r="U183" i="1"/>
  <c r="T184" i="1"/>
  <c r="U184" i="1"/>
  <c r="T185" i="1"/>
  <c r="U185" i="1"/>
  <c r="T186" i="1"/>
  <c r="U186" i="1"/>
  <c r="T187" i="1"/>
  <c r="U187" i="1"/>
  <c r="T188" i="1"/>
  <c r="U188" i="1"/>
  <c r="T189" i="1"/>
  <c r="U189" i="1"/>
  <c r="T190" i="1"/>
  <c r="U190" i="1"/>
  <c r="T191" i="1"/>
  <c r="U191" i="1"/>
  <c r="T192" i="1"/>
  <c r="U192" i="1"/>
  <c r="T193" i="1"/>
  <c r="U193" i="1"/>
  <c r="T194" i="1"/>
  <c r="U194" i="1"/>
  <c r="T195" i="1"/>
  <c r="U195" i="1"/>
  <c r="T196" i="1"/>
  <c r="U196" i="1"/>
  <c r="T197" i="1"/>
  <c r="U197" i="1"/>
  <c r="T198" i="1"/>
  <c r="U198" i="1"/>
  <c r="T199" i="1"/>
  <c r="U199" i="1"/>
  <c r="T200" i="1"/>
  <c r="U200" i="1"/>
  <c r="T201" i="1"/>
  <c r="U201" i="1"/>
  <c r="T202" i="1"/>
  <c r="U202" i="1"/>
  <c r="T203" i="1"/>
  <c r="U203" i="1"/>
  <c r="T204" i="1"/>
  <c r="U204" i="1"/>
  <c r="T205" i="1"/>
  <c r="U205" i="1"/>
  <c r="T206" i="1"/>
  <c r="U206" i="1"/>
  <c r="T207" i="1"/>
  <c r="U207" i="1"/>
  <c r="T208" i="1"/>
  <c r="U208" i="1"/>
  <c r="T209" i="1"/>
  <c r="U209" i="1"/>
  <c r="T210" i="1"/>
  <c r="U210" i="1"/>
  <c r="T211" i="1"/>
  <c r="U211" i="1"/>
  <c r="T212" i="1"/>
  <c r="U212" i="1"/>
  <c r="T213" i="1"/>
  <c r="U213" i="1"/>
  <c r="T214" i="1"/>
  <c r="U214" i="1"/>
  <c r="T215" i="1"/>
  <c r="U215" i="1"/>
  <c r="T216" i="1"/>
  <c r="U216" i="1"/>
  <c r="T217" i="1"/>
  <c r="U217" i="1"/>
  <c r="T218" i="1"/>
  <c r="U218" i="1"/>
  <c r="T219" i="1"/>
  <c r="U219" i="1"/>
  <c r="T220" i="1"/>
  <c r="U220" i="1"/>
  <c r="T221" i="1"/>
  <c r="U221" i="1"/>
  <c r="T222" i="1"/>
  <c r="U222" i="1"/>
  <c r="T223" i="1"/>
  <c r="U223" i="1"/>
  <c r="T224" i="1"/>
  <c r="U224" i="1"/>
  <c r="T225" i="1"/>
  <c r="U225" i="1"/>
  <c r="T226" i="1"/>
  <c r="U226" i="1"/>
  <c r="T227" i="1"/>
  <c r="U227" i="1"/>
  <c r="T228" i="1"/>
  <c r="U228" i="1"/>
  <c r="T229" i="1"/>
  <c r="U229" i="1"/>
  <c r="T230" i="1"/>
  <c r="U230" i="1"/>
  <c r="T231" i="1"/>
  <c r="U231" i="1"/>
  <c r="T232" i="1"/>
  <c r="U232" i="1"/>
  <c r="T233" i="1"/>
  <c r="U233" i="1"/>
  <c r="T234" i="1"/>
  <c r="U234" i="1"/>
  <c r="T235" i="1"/>
  <c r="U235" i="1"/>
  <c r="T236" i="1"/>
  <c r="U236" i="1"/>
  <c r="T237" i="1"/>
  <c r="U237" i="1"/>
  <c r="T238" i="1"/>
  <c r="U238" i="1"/>
  <c r="T239" i="1"/>
  <c r="U239" i="1"/>
  <c r="T240" i="1"/>
  <c r="U240" i="1"/>
  <c r="T241" i="1"/>
  <c r="U241" i="1"/>
  <c r="T242" i="1"/>
  <c r="U242" i="1"/>
  <c r="T243" i="1"/>
  <c r="U243" i="1"/>
  <c r="T244" i="1"/>
  <c r="U244" i="1"/>
  <c r="T245" i="1"/>
  <c r="U245" i="1"/>
  <c r="T246" i="1"/>
  <c r="U246" i="1"/>
  <c r="T247" i="1"/>
  <c r="U247" i="1"/>
  <c r="T248" i="1"/>
  <c r="U248" i="1"/>
  <c r="T249" i="1"/>
  <c r="U249" i="1"/>
  <c r="T250" i="1"/>
  <c r="U250" i="1"/>
  <c r="T251" i="1"/>
  <c r="U251" i="1"/>
  <c r="T252" i="1"/>
  <c r="U252" i="1"/>
  <c r="T253" i="1"/>
  <c r="U253" i="1"/>
  <c r="T254" i="1"/>
  <c r="U254" i="1"/>
  <c r="T255" i="1"/>
  <c r="U255" i="1"/>
  <c r="T256" i="1"/>
  <c r="U256" i="1"/>
  <c r="T257" i="1"/>
  <c r="U257" i="1"/>
  <c r="T258" i="1"/>
  <c r="U258" i="1"/>
  <c r="T259" i="1"/>
  <c r="U259" i="1"/>
  <c r="T260" i="1"/>
  <c r="U260" i="1"/>
  <c r="T261" i="1"/>
  <c r="U261" i="1"/>
  <c r="T262" i="1"/>
  <c r="U262" i="1"/>
  <c r="T263" i="1"/>
  <c r="U263" i="1"/>
  <c r="T264" i="1"/>
  <c r="U264" i="1"/>
  <c r="T265" i="1"/>
  <c r="U265" i="1"/>
  <c r="T266" i="1"/>
  <c r="U266" i="1"/>
  <c r="T267" i="1"/>
  <c r="U267" i="1"/>
  <c r="T268" i="1"/>
  <c r="U268" i="1"/>
  <c r="T269" i="1"/>
  <c r="U269" i="1"/>
  <c r="T270" i="1"/>
  <c r="U270" i="1"/>
  <c r="T271" i="1"/>
  <c r="U271" i="1"/>
  <c r="T272" i="1"/>
  <c r="U272" i="1"/>
  <c r="T273" i="1"/>
  <c r="U273" i="1"/>
  <c r="T274" i="1"/>
  <c r="U274" i="1"/>
  <c r="T275" i="1"/>
  <c r="U275" i="1"/>
  <c r="T276" i="1"/>
  <c r="U276" i="1"/>
  <c r="T277" i="1"/>
  <c r="U277" i="1"/>
  <c r="T278" i="1"/>
  <c r="U278" i="1"/>
  <c r="T279" i="1"/>
  <c r="U279" i="1"/>
  <c r="T280" i="1"/>
  <c r="U280" i="1"/>
  <c r="T281" i="1"/>
  <c r="U281" i="1"/>
  <c r="T282" i="1"/>
  <c r="U282" i="1"/>
  <c r="T283" i="1"/>
  <c r="U283" i="1"/>
  <c r="T284" i="1"/>
  <c r="U284" i="1"/>
  <c r="T285" i="1"/>
  <c r="U285" i="1"/>
  <c r="T286" i="1"/>
  <c r="U286" i="1"/>
  <c r="T287" i="1"/>
  <c r="U287" i="1"/>
  <c r="T288" i="1"/>
  <c r="U288" i="1"/>
  <c r="T289" i="1"/>
  <c r="U289" i="1"/>
  <c r="T290" i="1"/>
  <c r="U290" i="1"/>
  <c r="T291" i="1"/>
  <c r="U291" i="1"/>
  <c r="T292" i="1"/>
  <c r="U292" i="1"/>
  <c r="T293" i="1"/>
  <c r="U293" i="1"/>
  <c r="T294" i="1"/>
  <c r="U294" i="1"/>
  <c r="T295" i="1"/>
  <c r="U295" i="1"/>
  <c r="T296" i="1"/>
  <c r="U296" i="1"/>
  <c r="T297" i="1"/>
  <c r="U297" i="1"/>
  <c r="T298" i="1"/>
  <c r="U298" i="1"/>
  <c r="T299" i="1"/>
  <c r="U299" i="1"/>
  <c r="T300" i="1"/>
  <c r="U300" i="1"/>
  <c r="T301" i="1"/>
  <c r="U301" i="1"/>
  <c r="T302" i="1"/>
  <c r="U302" i="1"/>
  <c r="T303" i="1"/>
  <c r="U303" i="1"/>
  <c r="T304" i="1"/>
  <c r="U304" i="1"/>
  <c r="T305" i="1"/>
  <c r="U305" i="1"/>
  <c r="T306" i="1"/>
  <c r="U306" i="1"/>
  <c r="T307" i="1"/>
  <c r="U307" i="1"/>
  <c r="T308" i="1"/>
  <c r="U308" i="1"/>
  <c r="T309" i="1"/>
  <c r="U309" i="1"/>
  <c r="T310" i="1"/>
  <c r="U310" i="1"/>
  <c r="T311" i="1"/>
  <c r="U311" i="1"/>
  <c r="T312" i="1"/>
  <c r="U312" i="1"/>
  <c r="T313" i="1"/>
  <c r="U313" i="1"/>
  <c r="T314" i="1"/>
  <c r="U314" i="1"/>
  <c r="T315" i="1"/>
  <c r="U315" i="1"/>
  <c r="T316" i="1"/>
  <c r="U316" i="1"/>
  <c r="T317" i="1"/>
  <c r="U317" i="1"/>
  <c r="T318" i="1"/>
  <c r="U318" i="1"/>
  <c r="T319" i="1"/>
  <c r="U319" i="1"/>
  <c r="T320" i="1"/>
  <c r="U320" i="1"/>
  <c r="T321" i="1"/>
  <c r="U321" i="1"/>
  <c r="T322" i="1"/>
  <c r="U322" i="1"/>
  <c r="T323" i="1"/>
  <c r="U323" i="1"/>
  <c r="T324" i="1"/>
  <c r="U324" i="1"/>
  <c r="T325" i="1"/>
  <c r="U325" i="1"/>
  <c r="T326" i="1"/>
  <c r="U326" i="1"/>
  <c r="T327" i="1"/>
  <c r="U327" i="1"/>
  <c r="T328" i="1"/>
  <c r="U328" i="1"/>
  <c r="T329" i="1"/>
  <c r="U329" i="1"/>
  <c r="T330" i="1"/>
  <c r="U330" i="1"/>
  <c r="T331" i="1"/>
  <c r="U331" i="1"/>
  <c r="T332" i="1"/>
  <c r="U332" i="1"/>
  <c r="T333" i="1"/>
  <c r="U333" i="1"/>
  <c r="T334" i="1"/>
  <c r="U334" i="1"/>
  <c r="T335" i="1"/>
  <c r="U335" i="1"/>
  <c r="T336" i="1"/>
  <c r="U336" i="1"/>
  <c r="T337" i="1"/>
  <c r="U337" i="1"/>
  <c r="T338" i="1"/>
  <c r="U338" i="1"/>
  <c r="T339" i="1"/>
  <c r="U339" i="1"/>
  <c r="T340" i="1"/>
  <c r="U340" i="1"/>
  <c r="T341" i="1"/>
  <c r="U341" i="1"/>
  <c r="T342" i="1"/>
  <c r="U342" i="1"/>
  <c r="T343" i="1"/>
  <c r="U343" i="1"/>
  <c r="T344" i="1"/>
  <c r="U344" i="1"/>
  <c r="T345" i="1"/>
  <c r="U345" i="1"/>
  <c r="T346" i="1"/>
  <c r="U346" i="1"/>
  <c r="T347" i="1"/>
  <c r="U347" i="1"/>
  <c r="T348" i="1"/>
  <c r="U348" i="1"/>
  <c r="T349" i="1"/>
  <c r="U349" i="1"/>
  <c r="T350" i="1"/>
  <c r="U350" i="1"/>
  <c r="T351" i="1"/>
  <c r="U351" i="1"/>
  <c r="T352" i="1"/>
  <c r="U352" i="1"/>
  <c r="T353" i="1"/>
  <c r="U353" i="1"/>
  <c r="T354" i="1"/>
  <c r="U354" i="1"/>
  <c r="T355" i="1"/>
  <c r="U355" i="1"/>
  <c r="T356" i="1"/>
  <c r="U356" i="1"/>
  <c r="T357" i="1"/>
  <c r="U357" i="1"/>
  <c r="T358" i="1"/>
  <c r="U358" i="1"/>
  <c r="T359" i="1"/>
  <c r="U359" i="1"/>
  <c r="T360" i="1"/>
  <c r="U360" i="1"/>
  <c r="T361" i="1"/>
  <c r="U361" i="1"/>
  <c r="T362" i="1"/>
  <c r="U362" i="1"/>
  <c r="T363" i="1"/>
  <c r="U363" i="1"/>
  <c r="T364" i="1"/>
  <c r="U364" i="1"/>
  <c r="T365" i="1"/>
  <c r="U365" i="1"/>
  <c r="T366" i="1"/>
  <c r="U366" i="1"/>
  <c r="T367" i="1"/>
  <c r="U367" i="1"/>
  <c r="T368" i="1"/>
  <c r="U368" i="1"/>
  <c r="T369" i="1"/>
  <c r="U369" i="1"/>
  <c r="T370" i="1"/>
  <c r="U370" i="1"/>
  <c r="T371" i="1"/>
  <c r="U371" i="1"/>
  <c r="T372" i="1"/>
  <c r="U372" i="1"/>
  <c r="T373" i="1"/>
  <c r="U373" i="1"/>
  <c r="T374" i="1"/>
  <c r="U374" i="1"/>
  <c r="T375" i="1"/>
  <c r="U375" i="1"/>
  <c r="T376" i="1"/>
  <c r="U376" i="1"/>
  <c r="T377" i="1"/>
  <c r="U377" i="1"/>
  <c r="T378" i="1"/>
  <c r="U378" i="1"/>
  <c r="T379" i="1"/>
  <c r="U379" i="1"/>
  <c r="T380" i="1"/>
  <c r="U380" i="1"/>
  <c r="T381" i="1"/>
  <c r="U381" i="1"/>
  <c r="T382" i="1"/>
  <c r="U382" i="1"/>
  <c r="T383" i="1"/>
  <c r="U383" i="1"/>
  <c r="T384" i="1"/>
  <c r="U384" i="1"/>
  <c r="T385" i="1"/>
  <c r="U385" i="1"/>
  <c r="T386" i="1"/>
  <c r="U386" i="1"/>
  <c r="T387" i="1"/>
  <c r="U387" i="1"/>
  <c r="T388" i="1"/>
  <c r="U388" i="1"/>
  <c r="T389" i="1"/>
  <c r="U389" i="1"/>
  <c r="T390" i="1"/>
  <c r="U390" i="1"/>
  <c r="T391" i="1"/>
  <c r="U391" i="1"/>
  <c r="T392" i="1"/>
  <c r="U392" i="1"/>
  <c r="T393" i="1"/>
  <c r="U393" i="1"/>
  <c r="T394" i="1"/>
  <c r="U394" i="1"/>
  <c r="T395" i="1"/>
  <c r="U395" i="1"/>
  <c r="T396" i="1"/>
  <c r="U396" i="1"/>
  <c r="T397" i="1"/>
  <c r="U397" i="1"/>
  <c r="T398" i="1"/>
  <c r="U398" i="1"/>
  <c r="T399" i="1"/>
  <c r="U399" i="1"/>
  <c r="T400" i="1"/>
  <c r="U400" i="1"/>
  <c r="T401" i="1"/>
  <c r="U401" i="1"/>
  <c r="T402" i="1"/>
  <c r="U402" i="1"/>
  <c r="T403" i="1"/>
  <c r="U403" i="1"/>
  <c r="T404" i="1"/>
  <c r="U404" i="1"/>
  <c r="T405" i="1"/>
  <c r="U405" i="1"/>
  <c r="T406" i="1"/>
  <c r="U406" i="1"/>
  <c r="T407" i="1"/>
  <c r="U407" i="1"/>
  <c r="T408" i="1"/>
  <c r="U408" i="1"/>
  <c r="T409" i="1"/>
  <c r="U409" i="1"/>
  <c r="T410" i="1"/>
  <c r="U410" i="1"/>
  <c r="T411" i="1"/>
  <c r="U411" i="1"/>
  <c r="T412" i="1"/>
  <c r="U412" i="1"/>
  <c r="T413" i="1"/>
  <c r="U413" i="1"/>
  <c r="T414" i="1"/>
  <c r="U414" i="1"/>
  <c r="T415" i="1"/>
  <c r="U415" i="1"/>
  <c r="T416" i="1"/>
  <c r="U416" i="1"/>
  <c r="T417" i="1"/>
  <c r="U417" i="1"/>
  <c r="T418" i="1"/>
  <c r="U418" i="1"/>
  <c r="T419" i="1"/>
  <c r="U419" i="1"/>
  <c r="T420" i="1"/>
  <c r="U420" i="1"/>
  <c r="T421" i="1"/>
  <c r="U421" i="1"/>
  <c r="T422" i="1"/>
  <c r="U422" i="1"/>
  <c r="T423" i="1"/>
  <c r="U423" i="1"/>
  <c r="T424" i="1"/>
  <c r="U424" i="1"/>
  <c r="T425" i="1"/>
  <c r="U425" i="1"/>
  <c r="T426" i="1"/>
  <c r="U426" i="1"/>
  <c r="T427" i="1"/>
  <c r="U427" i="1"/>
  <c r="T428" i="1"/>
  <c r="U428" i="1"/>
  <c r="T429" i="1"/>
  <c r="U429" i="1"/>
  <c r="T430" i="1"/>
  <c r="U430" i="1"/>
  <c r="T431" i="1"/>
  <c r="U431" i="1"/>
  <c r="T432" i="1"/>
  <c r="U432" i="1"/>
  <c r="T433" i="1"/>
  <c r="U433" i="1"/>
  <c r="T434" i="1"/>
  <c r="U434" i="1"/>
  <c r="T435" i="1"/>
  <c r="U435" i="1"/>
  <c r="T436" i="1"/>
  <c r="U436" i="1"/>
  <c r="T437" i="1"/>
  <c r="U437" i="1"/>
  <c r="T438" i="1"/>
  <c r="U438" i="1"/>
  <c r="T439" i="1"/>
  <c r="U439" i="1"/>
  <c r="T440" i="1"/>
  <c r="U440" i="1"/>
  <c r="T441" i="1"/>
  <c r="U441" i="1"/>
  <c r="T442" i="1"/>
  <c r="U442" i="1"/>
  <c r="T443" i="1"/>
  <c r="U443" i="1"/>
  <c r="T444" i="1"/>
  <c r="U444" i="1"/>
  <c r="T445" i="1"/>
  <c r="U445" i="1"/>
  <c r="T446" i="1"/>
  <c r="U446" i="1"/>
  <c r="T447" i="1"/>
  <c r="U447" i="1"/>
  <c r="T448" i="1"/>
  <c r="U448" i="1"/>
  <c r="T449" i="1"/>
  <c r="U449" i="1"/>
  <c r="T450" i="1"/>
  <c r="U450" i="1"/>
  <c r="T451" i="1"/>
  <c r="U451" i="1"/>
  <c r="T452" i="1"/>
  <c r="U452" i="1"/>
  <c r="T453" i="1"/>
  <c r="U453" i="1"/>
  <c r="T454" i="1"/>
  <c r="U454" i="1"/>
  <c r="T455" i="1"/>
  <c r="U455" i="1"/>
  <c r="T456" i="1"/>
  <c r="U456" i="1"/>
  <c r="T457" i="1"/>
  <c r="U457" i="1"/>
  <c r="T458" i="1"/>
  <c r="U458" i="1"/>
  <c r="T459" i="1"/>
  <c r="U459" i="1"/>
  <c r="T460" i="1"/>
  <c r="U460" i="1"/>
  <c r="T461" i="1"/>
  <c r="U461" i="1"/>
  <c r="T462" i="1"/>
  <c r="U462" i="1"/>
  <c r="T463" i="1"/>
  <c r="U463" i="1"/>
  <c r="T464" i="1"/>
  <c r="U464" i="1"/>
  <c r="T465" i="1"/>
  <c r="U465" i="1"/>
  <c r="T466" i="1"/>
  <c r="U466" i="1"/>
  <c r="T467" i="1"/>
  <c r="U467" i="1"/>
  <c r="T468" i="1"/>
  <c r="U468" i="1"/>
  <c r="T469" i="1"/>
  <c r="U469" i="1"/>
  <c r="T470" i="1"/>
  <c r="U470" i="1"/>
  <c r="T471" i="1"/>
  <c r="U471" i="1"/>
  <c r="T472" i="1"/>
  <c r="U472" i="1"/>
  <c r="T473" i="1"/>
  <c r="U473" i="1"/>
  <c r="T474" i="1"/>
  <c r="U474" i="1"/>
  <c r="T475" i="1"/>
  <c r="U475" i="1"/>
  <c r="T476" i="1"/>
  <c r="U476" i="1"/>
  <c r="T477" i="1"/>
  <c r="U477" i="1"/>
  <c r="T478" i="1"/>
  <c r="U478" i="1"/>
  <c r="T479" i="1"/>
  <c r="U479" i="1"/>
  <c r="T480" i="1"/>
  <c r="U480" i="1"/>
  <c r="T481" i="1"/>
  <c r="U481" i="1"/>
  <c r="T482" i="1"/>
  <c r="U482" i="1"/>
  <c r="T483" i="1"/>
  <c r="U483" i="1"/>
  <c r="T484" i="1"/>
  <c r="U484" i="1"/>
  <c r="T485" i="1"/>
  <c r="U485" i="1"/>
  <c r="T486" i="1"/>
  <c r="U486" i="1"/>
  <c r="T487" i="1"/>
  <c r="U487" i="1"/>
  <c r="T488" i="1"/>
  <c r="U488" i="1"/>
  <c r="T489" i="1"/>
  <c r="U489" i="1"/>
  <c r="T490" i="1"/>
  <c r="U490" i="1"/>
  <c r="T491" i="1"/>
  <c r="U491" i="1"/>
  <c r="T492" i="1"/>
  <c r="U492" i="1"/>
  <c r="T493" i="1"/>
  <c r="U493" i="1"/>
  <c r="T494" i="1"/>
  <c r="U494" i="1"/>
  <c r="T495" i="1"/>
  <c r="U495" i="1"/>
  <c r="T496" i="1"/>
  <c r="U496" i="1"/>
  <c r="T497" i="1"/>
  <c r="U497" i="1"/>
  <c r="T498" i="1"/>
  <c r="U498" i="1"/>
  <c r="T499" i="1"/>
  <c r="U499" i="1"/>
  <c r="T500" i="1"/>
  <c r="U500" i="1"/>
  <c r="T501" i="1"/>
  <c r="U501" i="1"/>
  <c r="T502" i="1"/>
  <c r="U502" i="1"/>
  <c r="T503" i="1"/>
  <c r="U503" i="1"/>
  <c r="T504" i="1"/>
  <c r="U504" i="1"/>
  <c r="T505" i="1"/>
  <c r="U505" i="1"/>
  <c r="T506" i="1"/>
  <c r="U506" i="1"/>
  <c r="T507" i="1"/>
  <c r="U507" i="1"/>
  <c r="T508" i="1"/>
  <c r="U508" i="1"/>
  <c r="T509" i="1"/>
  <c r="U509" i="1"/>
  <c r="T510" i="1"/>
  <c r="U510" i="1"/>
  <c r="T511" i="1"/>
  <c r="U511" i="1"/>
  <c r="T512" i="1"/>
  <c r="U512" i="1"/>
  <c r="T513" i="1"/>
  <c r="U513" i="1"/>
  <c r="T514" i="1"/>
  <c r="U514" i="1"/>
  <c r="T515" i="1"/>
  <c r="U515" i="1"/>
  <c r="T516" i="1"/>
  <c r="U516" i="1"/>
  <c r="T517" i="1"/>
  <c r="U517" i="1"/>
  <c r="T518" i="1"/>
  <c r="U518" i="1"/>
  <c r="T519" i="1"/>
  <c r="U519" i="1"/>
  <c r="T520" i="1"/>
  <c r="U520" i="1"/>
  <c r="T521" i="1"/>
  <c r="U521" i="1"/>
  <c r="T522" i="1"/>
  <c r="U522" i="1"/>
  <c r="T523" i="1"/>
  <c r="U523" i="1"/>
  <c r="T524" i="1"/>
  <c r="U524" i="1"/>
  <c r="T525" i="1"/>
  <c r="U525" i="1"/>
  <c r="T526" i="1"/>
  <c r="U526" i="1"/>
  <c r="T527" i="1"/>
  <c r="U527" i="1"/>
  <c r="T528" i="1"/>
  <c r="U528" i="1"/>
  <c r="T529" i="1"/>
  <c r="U529" i="1"/>
  <c r="T530" i="1"/>
  <c r="U530" i="1"/>
  <c r="T531" i="1"/>
  <c r="U531" i="1"/>
  <c r="T532" i="1"/>
  <c r="U532" i="1"/>
  <c r="T533" i="1"/>
  <c r="U533" i="1"/>
  <c r="T534" i="1"/>
  <c r="U534" i="1"/>
  <c r="T535" i="1"/>
  <c r="U535" i="1"/>
  <c r="T536" i="1"/>
  <c r="U536" i="1"/>
  <c r="T537" i="1"/>
  <c r="U537" i="1"/>
  <c r="T538" i="1"/>
  <c r="U538" i="1"/>
  <c r="T539" i="1"/>
  <c r="U539" i="1"/>
  <c r="T540" i="1"/>
  <c r="U540" i="1"/>
  <c r="T541" i="1"/>
  <c r="U541" i="1"/>
  <c r="T542" i="1"/>
  <c r="U542" i="1"/>
  <c r="T543" i="1"/>
  <c r="U543" i="1"/>
  <c r="T544" i="1"/>
  <c r="U544" i="1"/>
  <c r="T545" i="1"/>
  <c r="U545" i="1"/>
  <c r="T546" i="1"/>
  <c r="U546" i="1"/>
  <c r="T547" i="1"/>
  <c r="U547" i="1"/>
  <c r="T548" i="1"/>
  <c r="U548" i="1"/>
  <c r="T549" i="1"/>
  <c r="U549" i="1"/>
  <c r="T550" i="1"/>
  <c r="U550" i="1"/>
  <c r="T551" i="1"/>
  <c r="U551" i="1"/>
  <c r="T552" i="1"/>
  <c r="U552" i="1"/>
  <c r="T553" i="1"/>
  <c r="U553" i="1"/>
  <c r="T554" i="1"/>
  <c r="U554" i="1"/>
  <c r="T555" i="1"/>
  <c r="U555" i="1"/>
  <c r="T556" i="1"/>
  <c r="U556" i="1"/>
  <c r="T557" i="1"/>
  <c r="U557" i="1"/>
  <c r="T558" i="1"/>
  <c r="U558" i="1"/>
  <c r="T559" i="1"/>
  <c r="U559" i="1"/>
  <c r="T560" i="1"/>
  <c r="U560" i="1"/>
  <c r="T561" i="1"/>
  <c r="U561" i="1"/>
  <c r="T562" i="1"/>
  <c r="U562" i="1"/>
  <c r="T563" i="1"/>
  <c r="U563" i="1"/>
  <c r="T564" i="1"/>
  <c r="U564" i="1"/>
  <c r="T565" i="1"/>
  <c r="U565" i="1"/>
  <c r="T566" i="1"/>
  <c r="U566" i="1"/>
  <c r="T567" i="1"/>
  <c r="U567" i="1"/>
  <c r="T568" i="1"/>
  <c r="U568" i="1"/>
  <c r="T569" i="1"/>
  <c r="U569" i="1"/>
  <c r="T570" i="1"/>
  <c r="U570" i="1"/>
  <c r="T571" i="1"/>
  <c r="U571" i="1"/>
  <c r="T572" i="1"/>
  <c r="U572" i="1"/>
  <c r="T573" i="1"/>
  <c r="U573" i="1"/>
  <c r="T574" i="1"/>
  <c r="U574" i="1"/>
  <c r="T575" i="1"/>
  <c r="U575" i="1"/>
  <c r="T576" i="1"/>
  <c r="U576" i="1"/>
  <c r="T577" i="1"/>
  <c r="U577" i="1"/>
  <c r="T578" i="1"/>
  <c r="U578" i="1"/>
  <c r="T579" i="1"/>
  <c r="U579" i="1"/>
  <c r="T580" i="1"/>
  <c r="U580" i="1"/>
  <c r="T581" i="1"/>
  <c r="U581" i="1"/>
  <c r="T582" i="1"/>
  <c r="U582" i="1"/>
  <c r="T583" i="1"/>
  <c r="U583" i="1"/>
  <c r="T584" i="1"/>
  <c r="U584" i="1"/>
  <c r="T585" i="1"/>
  <c r="U585" i="1"/>
  <c r="T586" i="1"/>
  <c r="U586" i="1"/>
  <c r="T587" i="1"/>
  <c r="U587" i="1"/>
  <c r="T588" i="1"/>
  <c r="U588" i="1"/>
  <c r="T589" i="1"/>
  <c r="U589" i="1"/>
  <c r="T590" i="1"/>
  <c r="U590" i="1"/>
  <c r="T591" i="1"/>
  <c r="U591" i="1"/>
  <c r="T592" i="1"/>
  <c r="U592" i="1"/>
  <c r="T593" i="1"/>
  <c r="U593" i="1"/>
  <c r="T594" i="1"/>
  <c r="U594" i="1"/>
  <c r="T595" i="1"/>
  <c r="U595" i="1"/>
  <c r="T596" i="1"/>
  <c r="U596" i="1"/>
  <c r="T597" i="1"/>
  <c r="U597" i="1"/>
  <c r="T598" i="1"/>
  <c r="U598" i="1"/>
  <c r="T599" i="1"/>
  <c r="U599" i="1"/>
  <c r="T600" i="1"/>
  <c r="U600" i="1"/>
  <c r="T7" i="1" l="1"/>
  <c r="U7" i="1"/>
  <c r="F7" i="1"/>
  <c r="G7" i="1"/>
  <c r="U1" i="1" l="1"/>
  <c r="T1" i="1"/>
  <c r="G1" i="1"/>
  <c r="F1" i="1"/>
  <c r="P10" i="8" l="1"/>
  <c r="Q31" i="6" l="1"/>
  <c r="P59" i="6"/>
  <c r="P58" i="6"/>
  <c r="P57" i="6"/>
  <c r="P56" i="6"/>
  <c r="P54" i="6"/>
  <c r="P53" i="6"/>
  <c r="P52" i="6"/>
  <c r="P51" i="6"/>
  <c r="P49" i="6"/>
  <c r="P48" i="6"/>
  <c r="P47" i="6"/>
  <c r="P46" i="6"/>
  <c r="P44" i="6"/>
  <c r="P43" i="6"/>
  <c r="P42" i="6"/>
  <c r="P41" i="6"/>
  <c r="O59" i="6"/>
  <c r="N59" i="6"/>
  <c r="M59" i="6"/>
  <c r="O58" i="6"/>
  <c r="N58" i="6"/>
  <c r="M58" i="6"/>
  <c r="O57" i="6"/>
  <c r="N57" i="6"/>
  <c r="M57" i="6"/>
  <c r="O56" i="6"/>
  <c r="N56" i="6"/>
  <c r="M56" i="6"/>
  <c r="O54" i="6"/>
  <c r="N54" i="6"/>
  <c r="M54" i="6"/>
  <c r="O53" i="6"/>
  <c r="N53" i="6"/>
  <c r="M53" i="6"/>
  <c r="O52" i="6"/>
  <c r="N52" i="6"/>
  <c r="M52" i="6"/>
  <c r="O51" i="6"/>
  <c r="N51" i="6"/>
  <c r="M51" i="6"/>
  <c r="O49" i="6"/>
  <c r="N49" i="6"/>
  <c r="M49" i="6"/>
  <c r="O48" i="6"/>
  <c r="N48" i="6"/>
  <c r="M48" i="6"/>
  <c r="O47" i="6"/>
  <c r="N47" i="6"/>
  <c r="M47" i="6"/>
  <c r="O46" i="6"/>
  <c r="N46" i="6"/>
  <c r="M46" i="6"/>
  <c r="O44" i="6"/>
  <c r="N44" i="6"/>
  <c r="M44" i="6"/>
  <c r="O43" i="6"/>
  <c r="N43" i="6"/>
  <c r="M43" i="6"/>
  <c r="O42" i="6"/>
  <c r="N42" i="6"/>
  <c r="M42" i="6"/>
  <c r="O41" i="6"/>
  <c r="N41" i="6"/>
  <c r="M41" i="6"/>
  <c r="K59" i="6"/>
  <c r="J59" i="6"/>
  <c r="K58" i="6"/>
  <c r="J58" i="6"/>
  <c r="K57" i="6"/>
  <c r="J57" i="6"/>
  <c r="K56" i="6"/>
  <c r="J56" i="6"/>
  <c r="K54" i="6"/>
  <c r="J54" i="6"/>
  <c r="K53" i="6"/>
  <c r="J53" i="6"/>
  <c r="K52" i="6"/>
  <c r="J52" i="6"/>
  <c r="K51" i="6"/>
  <c r="J51" i="6"/>
  <c r="K49" i="6"/>
  <c r="J49" i="6"/>
  <c r="K48" i="6"/>
  <c r="J48" i="6"/>
  <c r="K47" i="6"/>
  <c r="J47" i="6"/>
  <c r="K46" i="6"/>
  <c r="J46" i="6"/>
  <c r="K44" i="6"/>
  <c r="J44" i="6"/>
  <c r="K43" i="6"/>
  <c r="J43" i="6"/>
  <c r="K42" i="6"/>
  <c r="J42" i="6"/>
  <c r="K41" i="6"/>
  <c r="J41" i="6"/>
  <c r="H59" i="6"/>
  <c r="G59" i="6"/>
  <c r="F59" i="6"/>
  <c r="E59" i="6"/>
  <c r="H58" i="6"/>
  <c r="G58" i="6"/>
  <c r="F58" i="6"/>
  <c r="E58" i="6"/>
  <c r="H57" i="6"/>
  <c r="G57" i="6"/>
  <c r="F57" i="6"/>
  <c r="E57" i="6"/>
  <c r="H56" i="6"/>
  <c r="G56" i="6"/>
  <c r="F56" i="6"/>
  <c r="E56" i="6"/>
  <c r="H54" i="6"/>
  <c r="G54" i="6"/>
  <c r="F54" i="6"/>
  <c r="E54" i="6"/>
  <c r="H53" i="6"/>
  <c r="G53" i="6"/>
  <c r="F53" i="6"/>
  <c r="E53" i="6"/>
  <c r="H52" i="6"/>
  <c r="G52" i="6"/>
  <c r="F52" i="6"/>
  <c r="E52" i="6"/>
  <c r="H51" i="6"/>
  <c r="G51" i="6"/>
  <c r="F51" i="6"/>
  <c r="E51" i="6"/>
  <c r="H49" i="6"/>
  <c r="G49" i="6"/>
  <c r="F49" i="6"/>
  <c r="E49" i="6"/>
  <c r="H48" i="6"/>
  <c r="G48" i="6"/>
  <c r="F48" i="6"/>
  <c r="E48" i="6"/>
  <c r="H47" i="6"/>
  <c r="G47" i="6"/>
  <c r="F47" i="6"/>
  <c r="E47" i="6"/>
  <c r="H46" i="6"/>
  <c r="G46" i="6"/>
  <c r="F46" i="6"/>
  <c r="E46" i="6"/>
  <c r="H44" i="6"/>
  <c r="G44" i="6"/>
  <c r="F44" i="6"/>
  <c r="E44" i="6"/>
  <c r="H43" i="6"/>
  <c r="G43" i="6"/>
  <c r="F43" i="6"/>
  <c r="E43" i="6"/>
  <c r="H42" i="6"/>
  <c r="G42" i="6"/>
  <c r="F42" i="6"/>
  <c r="E42" i="6"/>
  <c r="H41" i="6"/>
  <c r="G41" i="6"/>
  <c r="F41" i="6"/>
  <c r="E41" i="6"/>
  <c r="C59" i="6"/>
  <c r="C58" i="6"/>
  <c r="C57" i="6"/>
  <c r="C56" i="6"/>
  <c r="C54" i="6"/>
  <c r="C53" i="6"/>
  <c r="C52" i="6"/>
  <c r="C51" i="6"/>
  <c r="C49" i="6"/>
  <c r="C48" i="6"/>
  <c r="C47" i="6"/>
  <c r="C46" i="6"/>
  <c r="C44" i="6"/>
  <c r="C43" i="6"/>
  <c r="C42" i="6"/>
  <c r="C41" i="6"/>
  <c r="B59" i="6"/>
  <c r="B58" i="6"/>
  <c r="B57" i="6"/>
  <c r="B56" i="6"/>
  <c r="B54" i="6"/>
  <c r="B53" i="6"/>
  <c r="B52" i="6"/>
  <c r="B51" i="6"/>
  <c r="B49" i="6"/>
  <c r="B48" i="6"/>
  <c r="B47" i="6"/>
  <c r="B46" i="6"/>
  <c r="B44" i="6"/>
  <c r="B43" i="6"/>
  <c r="B42" i="6"/>
  <c r="B41" i="6"/>
  <c r="O16" i="6" l="1"/>
  <c r="Q213" i="6" l="1"/>
  <c r="Q214" i="6"/>
  <c r="Q215" i="6"/>
  <c r="Q216" i="6"/>
  <c r="Q217" i="6"/>
  <c r="Q218" i="6"/>
  <c r="Q219" i="6"/>
  <c r="Q220" i="6"/>
  <c r="Q221" i="6"/>
  <c r="Q222" i="6"/>
  <c r="Q223" i="6"/>
  <c r="Q224" i="6"/>
  <c r="Q229" i="6"/>
  <c r="Q234" i="6"/>
  <c r="Q239" i="6"/>
  <c r="Q244" i="6"/>
  <c r="Q245" i="6"/>
  <c r="Q246" i="6"/>
  <c r="Q247" i="6"/>
  <c r="Q248" i="6"/>
  <c r="Q249" i="6"/>
  <c r="Q250" i="6"/>
  <c r="Q251" i="6"/>
  <c r="Q252" i="6"/>
  <c r="Q253" i="6"/>
  <c r="Q254" i="6"/>
  <c r="Q255" i="6"/>
  <c r="Q260" i="6"/>
  <c r="Q265" i="6"/>
  <c r="Q270" i="6"/>
  <c r="Q275" i="6"/>
  <c r="Q276" i="6"/>
  <c r="Q277" i="6"/>
  <c r="Q278" i="6"/>
  <c r="Q279" i="6"/>
  <c r="Q280" i="6"/>
  <c r="Q281" i="6"/>
  <c r="Q282" i="6"/>
  <c r="Q283" i="6"/>
  <c r="Q284" i="6"/>
  <c r="Q285" i="6"/>
  <c r="Q286" i="6"/>
  <c r="Q291" i="6"/>
  <c r="Q296" i="6"/>
  <c r="Q301" i="6"/>
  <c r="Q306" i="6"/>
  <c r="Q307" i="6"/>
  <c r="Q308" i="6"/>
  <c r="Q309" i="6"/>
  <c r="Q310" i="6"/>
  <c r="Q311" i="6"/>
  <c r="Q312" i="6"/>
  <c r="Q313" i="6"/>
  <c r="Q314" i="6"/>
  <c r="Q315" i="6"/>
  <c r="Q316" i="6"/>
  <c r="Q317" i="6"/>
  <c r="Q322" i="6"/>
  <c r="Q327" i="6"/>
  <c r="Q332" i="6"/>
  <c r="Q337" i="6"/>
  <c r="Q338" i="6"/>
  <c r="Q340" i="6"/>
  <c r="Q341" i="6"/>
  <c r="Q342" i="6"/>
  <c r="Q343" i="6"/>
  <c r="Q344" i="6"/>
  <c r="Q345" i="6"/>
  <c r="Q346" i="6"/>
  <c r="Q347" i="6"/>
  <c r="Q348" i="6"/>
  <c r="Q353" i="6"/>
  <c r="Q358" i="6"/>
  <c r="Q363" i="6"/>
  <c r="Q368" i="6"/>
  <c r="Q369" i="6"/>
  <c r="Q370" i="6"/>
  <c r="Q371" i="6"/>
  <c r="Q372" i="6"/>
  <c r="Q373" i="6"/>
  <c r="Q374" i="6"/>
  <c r="Q375" i="6"/>
  <c r="Q376" i="6"/>
  <c r="Q377" i="6"/>
  <c r="Q378" i="6"/>
  <c r="Q379" i="6"/>
  <c r="Q384" i="6"/>
  <c r="Q389" i="6"/>
  <c r="Q394" i="6"/>
  <c r="Q399" i="6"/>
  <c r="Q400" i="6"/>
  <c r="Q401" i="6"/>
  <c r="Q402" i="6"/>
  <c r="Q403" i="6"/>
  <c r="Q404" i="6"/>
  <c r="Q405" i="6"/>
  <c r="Q406" i="6"/>
  <c r="Q407" i="6"/>
  <c r="Q408" i="6"/>
  <c r="Q409" i="6"/>
  <c r="Q414" i="6"/>
  <c r="Q419" i="6"/>
  <c r="Q424" i="6"/>
  <c r="Q429" i="6"/>
  <c r="Q430" i="6"/>
  <c r="Q431" i="6"/>
  <c r="Q432" i="6"/>
  <c r="Q433" i="6"/>
  <c r="Q434" i="6"/>
  <c r="Q435" i="6"/>
  <c r="Q436" i="6"/>
  <c r="Q437" i="6"/>
  <c r="Q438" i="6"/>
  <c r="Q439" i="6"/>
  <c r="Q444" i="6"/>
  <c r="Q449" i="6"/>
  <c r="Q454" i="6"/>
  <c r="Q29" i="6"/>
  <c r="R29" i="6"/>
  <c r="Q30" i="6"/>
  <c r="R30" i="6"/>
  <c r="Q28" i="6"/>
  <c r="R28" i="6"/>
  <c r="R31" i="6"/>
  <c r="Q32" i="6"/>
  <c r="R32" i="6"/>
  <c r="Q33" i="6"/>
  <c r="R33" i="6"/>
  <c r="Q34" i="6"/>
  <c r="R34" i="6"/>
  <c r="Q35" i="6"/>
  <c r="R35" i="6"/>
  <c r="Q36" i="6"/>
  <c r="R36" i="6"/>
  <c r="Q37" i="6"/>
  <c r="R37" i="6"/>
  <c r="Q38" i="6"/>
  <c r="R38" i="6"/>
  <c r="Q39" i="6"/>
  <c r="R39" i="6"/>
  <c r="Q40" i="6"/>
  <c r="R40" i="6"/>
  <c r="Q45" i="6"/>
  <c r="R45" i="6"/>
  <c r="Q50" i="6"/>
  <c r="R50" i="6"/>
  <c r="Q55" i="6"/>
  <c r="R55" i="6"/>
  <c r="Q60" i="6"/>
  <c r="R60" i="6"/>
  <c r="Q61" i="6"/>
  <c r="R61" i="6"/>
  <c r="Q62" i="6"/>
  <c r="R62" i="6"/>
  <c r="Q63" i="6"/>
  <c r="R63" i="6"/>
  <c r="Q64" i="6"/>
  <c r="R64" i="6"/>
  <c r="Q65" i="6"/>
  <c r="R65" i="6"/>
  <c r="Q66" i="6"/>
  <c r="R66" i="6"/>
  <c r="Q67" i="6"/>
  <c r="R67" i="6"/>
  <c r="Q68" i="6"/>
  <c r="R68" i="6"/>
  <c r="Q69" i="6"/>
  <c r="R69" i="6"/>
  <c r="Q70" i="6"/>
  <c r="R70" i="6"/>
  <c r="Q71" i="6"/>
  <c r="R71" i="6"/>
  <c r="Q76" i="6"/>
  <c r="R76" i="6"/>
  <c r="Q81" i="6"/>
  <c r="R81" i="6"/>
  <c r="Q86" i="6"/>
  <c r="R86" i="6"/>
  <c r="Q91" i="6"/>
  <c r="R91" i="6"/>
  <c r="Q92" i="6"/>
  <c r="R92" i="6"/>
  <c r="Q93" i="6"/>
  <c r="R93" i="6"/>
  <c r="Q94" i="6"/>
  <c r="R94" i="6"/>
  <c r="Q95" i="6"/>
  <c r="R95" i="6"/>
  <c r="Q96" i="6"/>
  <c r="R96" i="6"/>
  <c r="Q97" i="6"/>
  <c r="R97" i="6"/>
  <c r="Q98" i="6"/>
  <c r="R98" i="6"/>
  <c r="Q99" i="6"/>
  <c r="R99" i="6"/>
  <c r="Q100" i="6"/>
  <c r="R100" i="6"/>
  <c r="Q101" i="6"/>
  <c r="R101" i="6"/>
  <c r="Q106" i="6"/>
  <c r="R106" i="6"/>
  <c r="Q111" i="6"/>
  <c r="R111" i="6"/>
  <c r="Q116" i="6"/>
  <c r="R116" i="6"/>
  <c r="Q121" i="6"/>
  <c r="R121" i="6"/>
  <c r="Q122" i="6"/>
  <c r="R122" i="6"/>
  <c r="Q123" i="6"/>
  <c r="R123" i="6"/>
  <c r="Q124" i="6"/>
  <c r="R124" i="6"/>
  <c r="Q125" i="6"/>
  <c r="R125" i="6"/>
  <c r="Q126" i="6"/>
  <c r="R126" i="6"/>
  <c r="Q127" i="6"/>
  <c r="R127" i="6"/>
  <c r="Q128" i="6"/>
  <c r="R128" i="6"/>
  <c r="Q129" i="6"/>
  <c r="R129" i="6"/>
  <c r="Q130" i="6"/>
  <c r="R130" i="6"/>
  <c r="Q131" i="6"/>
  <c r="R131" i="6"/>
  <c r="Q132" i="6"/>
  <c r="R132" i="6"/>
  <c r="Q137" i="6"/>
  <c r="R137" i="6"/>
  <c r="Q142" i="6"/>
  <c r="R142" i="6"/>
  <c r="Q147" i="6"/>
  <c r="R147" i="6"/>
  <c r="Q152" i="6"/>
  <c r="R152" i="6"/>
  <c r="Q153" i="6"/>
  <c r="R153" i="6"/>
  <c r="Q155" i="6"/>
  <c r="R155" i="6"/>
  <c r="Q156" i="6"/>
  <c r="R156" i="6"/>
  <c r="Q157" i="6"/>
  <c r="R157" i="6"/>
  <c r="Q158" i="6"/>
  <c r="R158" i="6"/>
  <c r="Q159" i="6"/>
  <c r="R159" i="6"/>
  <c r="Q160" i="6"/>
  <c r="R160" i="6"/>
  <c r="Q161" i="6"/>
  <c r="R161" i="6"/>
  <c r="Q162" i="6"/>
  <c r="R162" i="6"/>
  <c r="Q163" i="6"/>
  <c r="R163" i="6"/>
  <c r="Q168" i="6"/>
  <c r="R168" i="6"/>
  <c r="Q173" i="6"/>
  <c r="R173" i="6"/>
  <c r="Q178" i="6"/>
  <c r="R178" i="6"/>
  <c r="Q183" i="6"/>
  <c r="R183" i="6"/>
  <c r="Q184" i="6"/>
  <c r="R184" i="6"/>
  <c r="Q185" i="6"/>
  <c r="R185" i="6"/>
  <c r="Q186" i="6"/>
  <c r="R186" i="6"/>
  <c r="Q187" i="6"/>
  <c r="R187" i="6"/>
  <c r="Q188" i="6"/>
  <c r="R188" i="6"/>
  <c r="Q189" i="6"/>
  <c r="R189" i="6"/>
  <c r="Q190" i="6"/>
  <c r="R190" i="6"/>
  <c r="Q191" i="6"/>
  <c r="R191" i="6"/>
  <c r="Q192" i="6"/>
  <c r="R192" i="6"/>
  <c r="Q193" i="6"/>
  <c r="R193" i="6"/>
  <c r="Q198" i="6"/>
  <c r="R198" i="6"/>
  <c r="Q203" i="6"/>
  <c r="R203" i="6"/>
  <c r="Q208" i="6"/>
  <c r="R208" i="6"/>
  <c r="R213" i="6"/>
  <c r="R214" i="6"/>
  <c r="R215" i="6"/>
  <c r="R216" i="6"/>
  <c r="H458" i="6"/>
  <c r="G458" i="6"/>
  <c r="F458" i="6"/>
  <c r="E458" i="6"/>
  <c r="C458" i="6"/>
  <c r="B458" i="6"/>
  <c r="H457" i="6"/>
  <c r="G457" i="6"/>
  <c r="F457" i="6"/>
  <c r="E457" i="6"/>
  <c r="C457" i="6"/>
  <c r="B457" i="6"/>
  <c r="H456" i="6"/>
  <c r="G456" i="6"/>
  <c r="F456" i="6"/>
  <c r="E456" i="6"/>
  <c r="C456" i="6"/>
  <c r="B456" i="6"/>
  <c r="H455" i="6"/>
  <c r="G455" i="6"/>
  <c r="F455" i="6"/>
  <c r="E455" i="6"/>
  <c r="C455" i="6"/>
  <c r="B455" i="6"/>
  <c r="H453" i="6"/>
  <c r="G453" i="6"/>
  <c r="F453" i="6"/>
  <c r="E453" i="6"/>
  <c r="C453" i="6"/>
  <c r="B453" i="6"/>
  <c r="H452" i="6"/>
  <c r="G452" i="6"/>
  <c r="F452" i="6"/>
  <c r="E452" i="6"/>
  <c r="C452" i="6"/>
  <c r="B452" i="6"/>
  <c r="H451" i="6"/>
  <c r="G451" i="6"/>
  <c r="F451" i="6"/>
  <c r="E451" i="6"/>
  <c r="C451" i="6"/>
  <c r="B451" i="6"/>
  <c r="H450" i="6"/>
  <c r="G450" i="6"/>
  <c r="F450" i="6"/>
  <c r="E450" i="6"/>
  <c r="C450" i="6"/>
  <c r="B450" i="6"/>
  <c r="H448" i="6"/>
  <c r="G448" i="6"/>
  <c r="F448" i="6"/>
  <c r="E448" i="6"/>
  <c r="C448" i="6"/>
  <c r="B448" i="6"/>
  <c r="H447" i="6"/>
  <c r="G447" i="6"/>
  <c r="F447" i="6"/>
  <c r="E447" i="6"/>
  <c r="C447" i="6"/>
  <c r="B447" i="6"/>
  <c r="H446" i="6"/>
  <c r="G446" i="6"/>
  <c r="F446" i="6"/>
  <c r="E446" i="6"/>
  <c r="C446" i="6"/>
  <c r="B446" i="6"/>
  <c r="H445" i="6"/>
  <c r="G445" i="6"/>
  <c r="F445" i="6"/>
  <c r="E445" i="6"/>
  <c r="C445" i="6"/>
  <c r="B445" i="6"/>
  <c r="H443" i="6"/>
  <c r="G443" i="6"/>
  <c r="F443" i="6"/>
  <c r="E443" i="6"/>
  <c r="C443" i="6"/>
  <c r="B443" i="6"/>
  <c r="H442" i="6"/>
  <c r="G442" i="6"/>
  <c r="F442" i="6"/>
  <c r="E442" i="6"/>
  <c r="C442" i="6"/>
  <c r="B442" i="6"/>
  <c r="H441" i="6"/>
  <c r="G441" i="6"/>
  <c r="F441" i="6"/>
  <c r="E441" i="6"/>
  <c r="C441" i="6"/>
  <c r="B441" i="6"/>
  <c r="H440" i="6"/>
  <c r="G440" i="6"/>
  <c r="F440" i="6"/>
  <c r="E440" i="6"/>
  <c r="C440" i="6"/>
  <c r="B440" i="6"/>
  <c r="H428" i="6"/>
  <c r="G428" i="6"/>
  <c r="F428" i="6"/>
  <c r="E428" i="6"/>
  <c r="C428" i="6"/>
  <c r="B428" i="6"/>
  <c r="H427" i="6"/>
  <c r="G427" i="6"/>
  <c r="F427" i="6"/>
  <c r="E427" i="6"/>
  <c r="C427" i="6"/>
  <c r="B427" i="6"/>
  <c r="H426" i="6"/>
  <c r="G426" i="6"/>
  <c r="F426" i="6"/>
  <c r="E426" i="6"/>
  <c r="C426" i="6"/>
  <c r="B426" i="6"/>
  <c r="H425" i="6"/>
  <c r="G425" i="6"/>
  <c r="F425" i="6"/>
  <c r="E425" i="6"/>
  <c r="C425" i="6"/>
  <c r="B425" i="6"/>
  <c r="H423" i="6"/>
  <c r="G423" i="6"/>
  <c r="F423" i="6"/>
  <c r="E423" i="6"/>
  <c r="C423" i="6"/>
  <c r="B423" i="6"/>
  <c r="H422" i="6"/>
  <c r="G422" i="6"/>
  <c r="F422" i="6"/>
  <c r="E422" i="6"/>
  <c r="C422" i="6"/>
  <c r="B422" i="6"/>
  <c r="H421" i="6"/>
  <c r="G421" i="6"/>
  <c r="F421" i="6"/>
  <c r="E421" i="6"/>
  <c r="C421" i="6"/>
  <c r="B421" i="6"/>
  <c r="H420" i="6"/>
  <c r="G420" i="6"/>
  <c r="F420" i="6"/>
  <c r="E420" i="6"/>
  <c r="C420" i="6"/>
  <c r="B420" i="6"/>
  <c r="H418" i="6"/>
  <c r="G418" i="6"/>
  <c r="F418" i="6"/>
  <c r="E418" i="6"/>
  <c r="C418" i="6"/>
  <c r="B418" i="6"/>
  <c r="H417" i="6"/>
  <c r="G417" i="6"/>
  <c r="F417" i="6"/>
  <c r="E417" i="6"/>
  <c r="C417" i="6"/>
  <c r="B417" i="6"/>
  <c r="H416" i="6"/>
  <c r="G416" i="6"/>
  <c r="F416" i="6"/>
  <c r="E416" i="6"/>
  <c r="C416" i="6"/>
  <c r="B416" i="6"/>
  <c r="H415" i="6"/>
  <c r="G415" i="6"/>
  <c r="F415" i="6"/>
  <c r="E415" i="6"/>
  <c r="C415" i="6"/>
  <c r="B415" i="6"/>
  <c r="H413" i="6"/>
  <c r="G413" i="6"/>
  <c r="F413" i="6"/>
  <c r="E413" i="6"/>
  <c r="C413" i="6"/>
  <c r="B413" i="6"/>
  <c r="H412" i="6"/>
  <c r="G412" i="6"/>
  <c r="F412" i="6"/>
  <c r="E412" i="6"/>
  <c r="C412" i="6"/>
  <c r="B412" i="6"/>
  <c r="H411" i="6"/>
  <c r="G411" i="6"/>
  <c r="F411" i="6"/>
  <c r="E411" i="6"/>
  <c r="C411" i="6"/>
  <c r="B411" i="6"/>
  <c r="H410" i="6"/>
  <c r="G410" i="6"/>
  <c r="F410" i="6"/>
  <c r="E410" i="6"/>
  <c r="C410" i="6"/>
  <c r="B410" i="6"/>
  <c r="H398" i="6"/>
  <c r="G398" i="6"/>
  <c r="F398" i="6"/>
  <c r="E398" i="6"/>
  <c r="C398" i="6"/>
  <c r="B398" i="6"/>
  <c r="H397" i="6"/>
  <c r="G397" i="6"/>
  <c r="F397" i="6"/>
  <c r="E397" i="6"/>
  <c r="C397" i="6"/>
  <c r="B397" i="6"/>
  <c r="H396" i="6"/>
  <c r="G396" i="6"/>
  <c r="F396" i="6"/>
  <c r="E396" i="6"/>
  <c r="C396" i="6"/>
  <c r="B396" i="6"/>
  <c r="H395" i="6"/>
  <c r="G395" i="6"/>
  <c r="F395" i="6"/>
  <c r="E395" i="6"/>
  <c r="C395" i="6"/>
  <c r="B395" i="6"/>
  <c r="H393" i="6"/>
  <c r="G393" i="6"/>
  <c r="F393" i="6"/>
  <c r="E393" i="6"/>
  <c r="C393" i="6"/>
  <c r="B393" i="6"/>
  <c r="H392" i="6"/>
  <c r="G392" i="6"/>
  <c r="F392" i="6"/>
  <c r="E392" i="6"/>
  <c r="C392" i="6"/>
  <c r="B392" i="6"/>
  <c r="H391" i="6"/>
  <c r="G391" i="6"/>
  <c r="F391" i="6"/>
  <c r="E391" i="6"/>
  <c r="C391" i="6"/>
  <c r="B391" i="6"/>
  <c r="H390" i="6"/>
  <c r="G390" i="6"/>
  <c r="F390" i="6"/>
  <c r="E390" i="6"/>
  <c r="C390" i="6"/>
  <c r="B390" i="6"/>
  <c r="H388" i="6"/>
  <c r="G388" i="6"/>
  <c r="F388" i="6"/>
  <c r="E388" i="6"/>
  <c r="C388" i="6"/>
  <c r="B388" i="6"/>
  <c r="H387" i="6"/>
  <c r="G387" i="6"/>
  <c r="F387" i="6"/>
  <c r="E387" i="6"/>
  <c r="C387" i="6"/>
  <c r="B387" i="6"/>
  <c r="H386" i="6"/>
  <c r="G386" i="6"/>
  <c r="F386" i="6"/>
  <c r="E386" i="6"/>
  <c r="C386" i="6"/>
  <c r="B386" i="6"/>
  <c r="H385" i="6"/>
  <c r="G385" i="6"/>
  <c r="F385" i="6"/>
  <c r="E385" i="6"/>
  <c r="C385" i="6"/>
  <c r="B385" i="6"/>
  <c r="H383" i="6"/>
  <c r="G383" i="6"/>
  <c r="F383" i="6"/>
  <c r="E383" i="6"/>
  <c r="C383" i="6"/>
  <c r="B383" i="6"/>
  <c r="H382" i="6"/>
  <c r="G382" i="6"/>
  <c r="F382" i="6"/>
  <c r="E382" i="6"/>
  <c r="C382" i="6"/>
  <c r="B382" i="6"/>
  <c r="H381" i="6"/>
  <c r="G381" i="6"/>
  <c r="F381" i="6"/>
  <c r="E381" i="6"/>
  <c r="C381" i="6"/>
  <c r="B381" i="6"/>
  <c r="H380" i="6"/>
  <c r="G380" i="6"/>
  <c r="F380" i="6"/>
  <c r="E380" i="6"/>
  <c r="C380" i="6"/>
  <c r="B380" i="6"/>
  <c r="H367" i="6"/>
  <c r="G367" i="6"/>
  <c r="F367" i="6"/>
  <c r="E367" i="6"/>
  <c r="C367" i="6"/>
  <c r="B367" i="6"/>
  <c r="H366" i="6"/>
  <c r="G366" i="6"/>
  <c r="F366" i="6"/>
  <c r="E366" i="6"/>
  <c r="C366" i="6"/>
  <c r="B366" i="6"/>
  <c r="H365" i="6"/>
  <c r="G365" i="6"/>
  <c r="F365" i="6"/>
  <c r="E365" i="6"/>
  <c r="C365" i="6"/>
  <c r="B365" i="6"/>
  <c r="H364" i="6"/>
  <c r="G364" i="6"/>
  <c r="F364" i="6"/>
  <c r="E364" i="6"/>
  <c r="C364" i="6"/>
  <c r="B364" i="6"/>
  <c r="H362" i="6"/>
  <c r="G362" i="6"/>
  <c r="F362" i="6"/>
  <c r="E362" i="6"/>
  <c r="C362" i="6"/>
  <c r="B362" i="6"/>
  <c r="H361" i="6"/>
  <c r="G361" i="6"/>
  <c r="F361" i="6"/>
  <c r="E361" i="6"/>
  <c r="C361" i="6"/>
  <c r="B361" i="6"/>
  <c r="H360" i="6"/>
  <c r="G360" i="6"/>
  <c r="F360" i="6"/>
  <c r="E360" i="6"/>
  <c r="C360" i="6"/>
  <c r="B360" i="6"/>
  <c r="H359" i="6"/>
  <c r="G359" i="6"/>
  <c r="F359" i="6"/>
  <c r="E359" i="6"/>
  <c r="C359" i="6"/>
  <c r="B359" i="6"/>
  <c r="H357" i="6"/>
  <c r="G357" i="6"/>
  <c r="F357" i="6"/>
  <c r="E357" i="6"/>
  <c r="C357" i="6"/>
  <c r="B357" i="6"/>
  <c r="H356" i="6"/>
  <c r="G356" i="6"/>
  <c r="F356" i="6"/>
  <c r="E356" i="6"/>
  <c r="C356" i="6"/>
  <c r="B356" i="6"/>
  <c r="H355" i="6"/>
  <c r="G355" i="6"/>
  <c r="F355" i="6"/>
  <c r="E355" i="6"/>
  <c r="C355" i="6"/>
  <c r="B355" i="6"/>
  <c r="H354" i="6"/>
  <c r="G354" i="6"/>
  <c r="F354" i="6"/>
  <c r="E354" i="6"/>
  <c r="C354" i="6"/>
  <c r="B354" i="6"/>
  <c r="H352" i="6"/>
  <c r="G352" i="6"/>
  <c r="F352" i="6"/>
  <c r="E352" i="6"/>
  <c r="C352" i="6"/>
  <c r="B352" i="6"/>
  <c r="H351" i="6"/>
  <c r="G351" i="6"/>
  <c r="F351" i="6"/>
  <c r="E351" i="6"/>
  <c r="C351" i="6"/>
  <c r="B351" i="6"/>
  <c r="H350" i="6"/>
  <c r="G350" i="6"/>
  <c r="F350" i="6"/>
  <c r="E350" i="6"/>
  <c r="C350" i="6"/>
  <c r="B350" i="6"/>
  <c r="H349" i="6"/>
  <c r="G349" i="6"/>
  <c r="F349" i="6"/>
  <c r="E349" i="6"/>
  <c r="C349" i="6"/>
  <c r="B349" i="6"/>
  <c r="H336" i="6"/>
  <c r="G336" i="6"/>
  <c r="F336" i="6"/>
  <c r="E336" i="6"/>
  <c r="C336" i="6"/>
  <c r="B336" i="6"/>
  <c r="H335" i="6"/>
  <c r="G335" i="6"/>
  <c r="F335" i="6"/>
  <c r="E335" i="6"/>
  <c r="C335" i="6"/>
  <c r="B335" i="6"/>
  <c r="H334" i="6"/>
  <c r="G334" i="6"/>
  <c r="F334" i="6"/>
  <c r="E334" i="6"/>
  <c r="C334" i="6"/>
  <c r="B334" i="6"/>
  <c r="H333" i="6"/>
  <c r="G333" i="6"/>
  <c r="F333" i="6"/>
  <c r="E333" i="6"/>
  <c r="C333" i="6"/>
  <c r="B333" i="6"/>
  <c r="H331" i="6"/>
  <c r="G331" i="6"/>
  <c r="F331" i="6"/>
  <c r="E331" i="6"/>
  <c r="C331" i="6"/>
  <c r="B331" i="6"/>
  <c r="H330" i="6"/>
  <c r="G330" i="6"/>
  <c r="F330" i="6"/>
  <c r="E330" i="6"/>
  <c r="C330" i="6"/>
  <c r="B330" i="6"/>
  <c r="H329" i="6"/>
  <c r="G329" i="6"/>
  <c r="F329" i="6"/>
  <c r="E329" i="6"/>
  <c r="C329" i="6"/>
  <c r="B329" i="6"/>
  <c r="H328" i="6"/>
  <c r="G328" i="6"/>
  <c r="F328" i="6"/>
  <c r="E328" i="6"/>
  <c r="C328" i="6"/>
  <c r="B328" i="6"/>
  <c r="H326" i="6"/>
  <c r="G326" i="6"/>
  <c r="F326" i="6"/>
  <c r="E326" i="6"/>
  <c r="C326" i="6"/>
  <c r="B326" i="6"/>
  <c r="H325" i="6"/>
  <c r="G325" i="6"/>
  <c r="F325" i="6"/>
  <c r="E325" i="6"/>
  <c r="C325" i="6"/>
  <c r="B325" i="6"/>
  <c r="H324" i="6"/>
  <c r="G324" i="6"/>
  <c r="F324" i="6"/>
  <c r="E324" i="6"/>
  <c r="C324" i="6"/>
  <c r="B324" i="6"/>
  <c r="H323" i="6"/>
  <c r="G323" i="6"/>
  <c r="F323" i="6"/>
  <c r="E323" i="6"/>
  <c r="C323" i="6"/>
  <c r="B323" i="6"/>
  <c r="H321" i="6"/>
  <c r="G321" i="6"/>
  <c r="F321" i="6"/>
  <c r="E321" i="6"/>
  <c r="C321" i="6"/>
  <c r="B321" i="6"/>
  <c r="H320" i="6"/>
  <c r="G320" i="6"/>
  <c r="F320" i="6"/>
  <c r="E320" i="6"/>
  <c r="C320" i="6"/>
  <c r="B320" i="6"/>
  <c r="H319" i="6"/>
  <c r="G319" i="6"/>
  <c r="F319" i="6"/>
  <c r="E319" i="6"/>
  <c r="C319" i="6"/>
  <c r="B319" i="6"/>
  <c r="H318" i="6"/>
  <c r="G318" i="6"/>
  <c r="F318" i="6"/>
  <c r="E318" i="6"/>
  <c r="C318" i="6"/>
  <c r="B318" i="6"/>
  <c r="H305" i="6"/>
  <c r="G305" i="6"/>
  <c r="F305" i="6"/>
  <c r="E305" i="6"/>
  <c r="C305" i="6"/>
  <c r="B305" i="6"/>
  <c r="H304" i="6"/>
  <c r="G304" i="6"/>
  <c r="F304" i="6"/>
  <c r="E304" i="6"/>
  <c r="C304" i="6"/>
  <c r="B304" i="6"/>
  <c r="H303" i="6"/>
  <c r="G303" i="6"/>
  <c r="F303" i="6"/>
  <c r="E303" i="6"/>
  <c r="C303" i="6"/>
  <c r="B303" i="6"/>
  <c r="H302" i="6"/>
  <c r="G302" i="6"/>
  <c r="F302" i="6"/>
  <c r="E302" i="6"/>
  <c r="C302" i="6"/>
  <c r="B302" i="6"/>
  <c r="H300" i="6"/>
  <c r="G300" i="6"/>
  <c r="F300" i="6"/>
  <c r="E300" i="6"/>
  <c r="C300" i="6"/>
  <c r="B300" i="6"/>
  <c r="H299" i="6"/>
  <c r="G299" i="6"/>
  <c r="F299" i="6"/>
  <c r="E299" i="6"/>
  <c r="C299" i="6"/>
  <c r="B299" i="6"/>
  <c r="H298" i="6"/>
  <c r="G298" i="6"/>
  <c r="F298" i="6"/>
  <c r="E298" i="6"/>
  <c r="C298" i="6"/>
  <c r="B298" i="6"/>
  <c r="H297" i="6"/>
  <c r="G297" i="6"/>
  <c r="F297" i="6"/>
  <c r="E297" i="6"/>
  <c r="C297" i="6"/>
  <c r="B297" i="6"/>
  <c r="H295" i="6"/>
  <c r="G295" i="6"/>
  <c r="F295" i="6"/>
  <c r="E295" i="6"/>
  <c r="C295" i="6"/>
  <c r="B295" i="6"/>
  <c r="H294" i="6"/>
  <c r="G294" i="6"/>
  <c r="F294" i="6"/>
  <c r="E294" i="6"/>
  <c r="C294" i="6"/>
  <c r="B294" i="6"/>
  <c r="H293" i="6"/>
  <c r="G293" i="6"/>
  <c r="F293" i="6"/>
  <c r="E293" i="6"/>
  <c r="C293" i="6"/>
  <c r="B293" i="6"/>
  <c r="H292" i="6"/>
  <c r="G292" i="6"/>
  <c r="F292" i="6"/>
  <c r="E292" i="6"/>
  <c r="C292" i="6"/>
  <c r="B292" i="6"/>
  <c r="H290" i="6"/>
  <c r="G290" i="6"/>
  <c r="F290" i="6"/>
  <c r="E290" i="6"/>
  <c r="C290" i="6"/>
  <c r="B290" i="6"/>
  <c r="H289" i="6"/>
  <c r="G289" i="6"/>
  <c r="F289" i="6"/>
  <c r="E289" i="6"/>
  <c r="C289" i="6"/>
  <c r="B289" i="6"/>
  <c r="H288" i="6"/>
  <c r="G288" i="6"/>
  <c r="F288" i="6"/>
  <c r="E288" i="6"/>
  <c r="C288" i="6"/>
  <c r="B288" i="6"/>
  <c r="H287" i="6"/>
  <c r="G287" i="6"/>
  <c r="F287" i="6"/>
  <c r="E287" i="6"/>
  <c r="C287" i="6"/>
  <c r="B287" i="6"/>
  <c r="H274" i="6"/>
  <c r="G274" i="6"/>
  <c r="F274" i="6"/>
  <c r="E274" i="6"/>
  <c r="C274" i="6"/>
  <c r="B274" i="6"/>
  <c r="H273" i="6"/>
  <c r="G273" i="6"/>
  <c r="F273" i="6"/>
  <c r="E273" i="6"/>
  <c r="C273" i="6"/>
  <c r="B273" i="6"/>
  <c r="H272" i="6"/>
  <c r="G272" i="6"/>
  <c r="F272" i="6"/>
  <c r="E272" i="6"/>
  <c r="C272" i="6"/>
  <c r="B272" i="6"/>
  <c r="H271" i="6"/>
  <c r="G271" i="6"/>
  <c r="F271" i="6"/>
  <c r="E271" i="6"/>
  <c r="C271" i="6"/>
  <c r="B271" i="6"/>
  <c r="H269" i="6"/>
  <c r="G269" i="6"/>
  <c r="F269" i="6"/>
  <c r="E269" i="6"/>
  <c r="C269" i="6"/>
  <c r="B269" i="6"/>
  <c r="H268" i="6"/>
  <c r="G268" i="6"/>
  <c r="F268" i="6"/>
  <c r="E268" i="6"/>
  <c r="C268" i="6"/>
  <c r="B268" i="6"/>
  <c r="H267" i="6"/>
  <c r="G267" i="6"/>
  <c r="F267" i="6"/>
  <c r="E267" i="6"/>
  <c r="C267" i="6"/>
  <c r="B267" i="6"/>
  <c r="H266" i="6"/>
  <c r="G266" i="6"/>
  <c r="F266" i="6"/>
  <c r="E266" i="6"/>
  <c r="C266" i="6"/>
  <c r="B266" i="6"/>
  <c r="H264" i="6"/>
  <c r="G264" i="6"/>
  <c r="F264" i="6"/>
  <c r="E264" i="6"/>
  <c r="C264" i="6"/>
  <c r="B264" i="6"/>
  <c r="H263" i="6"/>
  <c r="G263" i="6"/>
  <c r="F263" i="6"/>
  <c r="E263" i="6"/>
  <c r="C263" i="6"/>
  <c r="B263" i="6"/>
  <c r="H262" i="6"/>
  <c r="G262" i="6"/>
  <c r="F262" i="6"/>
  <c r="E262" i="6"/>
  <c r="C262" i="6"/>
  <c r="B262" i="6"/>
  <c r="H261" i="6"/>
  <c r="G261" i="6"/>
  <c r="F261" i="6"/>
  <c r="E261" i="6"/>
  <c r="C261" i="6"/>
  <c r="B261" i="6"/>
  <c r="H259" i="6"/>
  <c r="G259" i="6"/>
  <c r="F259" i="6"/>
  <c r="E259" i="6"/>
  <c r="C259" i="6"/>
  <c r="B259" i="6"/>
  <c r="H258" i="6"/>
  <c r="G258" i="6"/>
  <c r="F258" i="6"/>
  <c r="E258" i="6"/>
  <c r="C258" i="6"/>
  <c r="B258" i="6"/>
  <c r="H257" i="6"/>
  <c r="G257" i="6"/>
  <c r="F257" i="6"/>
  <c r="E257" i="6"/>
  <c r="C257" i="6"/>
  <c r="B257" i="6"/>
  <c r="H256" i="6"/>
  <c r="G256" i="6"/>
  <c r="F256" i="6"/>
  <c r="E256" i="6"/>
  <c r="C256" i="6"/>
  <c r="B256" i="6"/>
  <c r="H243" i="6"/>
  <c r="G243" i="6"/>
  <c r="F243" i="6"/>
  <c r="E243" i="6"/>
  <c r="C243" i="6"/>
  <c r="B243" i="6"/>
  <c r="H242" i="6"/>
  <c r="G242" i="6"/>
  <c r="F242" i="6"/>
  <c r="E242" i="6"/>
  <c r="C242" i="6"/>
  <c r="B242" i="6"/>
  <c r="H241" i="6"/>
  <c r="G241" i="6"/>
  <c r="F241" i="6"/>
  <c r="E241" i="6"/>
  <c r="C241" i="6"/>
  <c r="B241" i="6"/>
  <c r="H240" i="6"/>
  <c r="G240" i="6"/>
  <c r="F240" i="6"/>
  <c r="E240" i="6"/>
  <c r="C240" i="6"/>
  <c r="B240" i="6"/>
  <c r="H238" i="6"/>
  <c r="G238" i="6"/>
  <c r="F238" i="6"/>
  <c r="E238" i="6"/>
  <c r="C238" i="6"/>
  <c r="B238" i="6"/>
  <c r="H237" i="6"/>
  <c r="G237" i="6"/>
  <c r="F237" i="6"/>
  <c r="E237" i="6"/>
  <c r="C237" i="6"/>
  <c r="B237" i="6"/>
  <c r="H236" i="6"/>
  <c r="G236" i="6"/>
  <c r="F236" i="6"/>
  <c r="E236" i="6"/>
  <c r="C236" i="6"/>
  <c r="B236" i="6"/>
  <c r="H235" i="6"/>
  <c r="G235" i="6"/>
  <c r="F235" i="6"/>
  <c r="E235" i="6"/>
  <c r="C235" i="6"/>
  <c r="B235" i="6"/>
  <c r="H233" i="6"/>
  <c r="G233" i="6"/>
  <c r="F233" i="6"/>
  <c r="E233" i="6"/>
  <c r="C233" i="6"/>
  <c r="B233" i="6"/>
  <c r="H232" i="6"/>
  <c r="G232" i="6"/>
  <c r="F232" i="6"/>
  <c r="E232" i="6"/>
  <c r="C232" i="6"/>
  <c r="B232" i="6"/>
  <c r="H231" i="6"/>
  <c r="G231" i="6"/>
  <c r="F231" i="6"/>
  <c r="E231" i="6"/>
  <c r="C231" i="6"/>
  <c r="B231" i="6"/>
  <c r="H230" i="6"/>
  <c r="G230" i="6"/>
  <c r="F230" i="6"/>
  <c r="E230" i="6"/>
  <c r="C230" i="6"/>
  <c r="B230" i="6"/>
  <c r="H228" i="6"/>
  <c r="G228" i="6"/>
  <c r="F228" i="6"/>
  <c r="E228" i="6"/>
  <c r="C228" i="6"/>
  <c r="B228" i="6"/>
  <c r="H227" i="6"/>
  <c r="G227" i="6"/>
  <c r="F227" i="6"/>
  <c r="E227" i="6"/>
  <c r="C227" i="6"/>
  <c r="B227" i="6"/>
  <c r="H226" i="6"/>
  <c r="G226" i="6"/>
  <c r="F226" i="6"/>
  <c r="E226" i="6"/>
  <c r="C226" i="6"/>
  <c r="B226" i="6"/>
  <c r="H225" i="6"/>
  <c r="G225" i="6"/>
  <c r="F225" i="6"/>
  <c r="E225" i="6"/>
  <c r="C225" i="6"/>
  <c r="B225" i="6"/>
  <c r="P212" i="6"/>
  <c r="O212" i="6"/>
  <c r="N212" i="6"/>
  <c r="M212" i="6"/>
  <c r="K212" i="6"/>
  <c r="J212" i="6"/>
  <c r="H212" i="6"/>
  <c r="G212" i="6"/>
  <c r="F212" i="6"/>
  <c r="E212" i="6"/>
  <c r="C212" i="6"/>
  <c r="B212" i="6"/>
  <c r="P211" i="6"/>
  <c r="O211" i="6"/>
  <c r="N211" i="6"/>
  <c r="M211" i="6"/>
  <c r="K211" i="6"/>
  <c r="J211" i="6"/>
  <c r="H211" i="6"/>
  <c r="G211" i="6"/>
  <c r="F211" i="6"/>
  <c r="E211" i="6"/>
  <c r="C211" i="6"/>
  <c r="B211" i="6"/>
  <c r="P210" i="6"/>
  <c r="O210" i="6"/>
  <c r="N210" i="6"/>
  <c r="M210" i="6"/>
  <c r="K210" i="6"/>
  <c r="J210" i="6"/>
  <c r="H210" i="6"/>
  <c r="G210" i="6"/>
  <c r="F210" i="6"/>
  <c r="E210" i="6"/>
  <c r="C210" i="6"/>
  <c r="B210" i="6"/>
  <c r="P209" i="6"/>
  <c r="O209" i="6"/>
  <c r="N209" i="6"/>
  <c r="M209" i="6"/>
  <c r="K209" i="6"/>
  <c r="J209" i="6"/>
  <c r="H209" i="6"/>
  <c r="G209" i="6"/>
  <c r="F209" i="6"/>
  <c r="E209" i="6"/>
  <c r="C209" i="6"/>
  <c r="B209" i="6"/>
  <c r="P207" i="6"/>
  <c r="O207" i="6"/>
  <c r="N207" i="6"/>
  <c r="M207" i="6"/>
  <c r="K207" i="6"/>
  <c r="J207" i="6"/>
  <c r="H207" i="6"/>
  <c r="G207" i="6"/>
  <c r="F207" i="6"/>
  <c r="E207" i="6"/>
  <c r="C207" i="6"/>
  <c r="B207" i="6"/>
  <c r="P206" i="6"/>
  <c r="O206" i="6"/>
  <c r="N206" i="6"/>
  <c r="M206" i="6"/>
  <c r="K206" i="6"/>
  <c r="J206" i="6"/>
  <c r="H206" i="6"/>
  <c r="G206" i="6"/>
  <c r="F206" i="6"/>
  <c r="E206" i="6"/>
  <c r="C206" i="6"/>
  <c r="B206" i="6"/>
  <c r="P205" i="6"/>
  <c r="O205" i="6"/>
  <c r="N205" i="6"/>
  <c r="M205" i="6"/>
  <c r="K205" i="6"/>
  <c r="J205" i="6"/>
  <c r="H205" i="6"/>
  <c r="G205" i="6"/>
  <c r="F205" i="6"/>
  <c r="E205" i="6"/>
  <c r="C205" i="6"/>
  <c r="B205" i="6"/>
  <c r="P204" i="6"/>
  <c r="O204" i="6"/>
  <c r="N204" i="6"/>
  <c r="M204" i="6"/>
  <c r="K204" i="6"/>
  <c r="J204" i="6"/>
  <c r="H204" i="6"/>
  <c r="G204" i="6"/>
  <c r="F204" i="6"/>
  <c r="E204" i="6"/>
  <c r="C204" i="6"/>
  <c r="B204" i="6"/>
  <c r="P202" i="6"/>
  <c r="O202" i="6"/>
  <c r="N202" i="6"/>
  <c r="M202" i="6"/>
  <c r="K202" i="6"/>
  <c r="J202" i="6"/>
  <c r="H202" i="6"/>
  <c r="G202" i="6"/>
  <c r="F202" i="6"/>
  <c r="E202" i="6"/>
  <c r="C202" i="6"/>
  <c r="B202" i="6"/>
  <c r="P201" i="6"/>
  <c r="O201" i="6"/>
  <c r="N201" i="6"/>
  <c r="M201" i="6"/>
  <c r="K201" i="6"/>
  <c r="J201" i="6"/>
  <c r="H201" i="6"/>
  <c r="G201" i="6"/>
  <c r="F201" i="6"/>
  <c r="E201" i="6"/>
  <c r="C201" i="6"/>
  <c r="B201" i="6"/>
  <c r="P200" i="6"/>
  <c r="O200" i="6"/>
  <c r="N200" i="6"/>
  <c r="M200" i="6"/>
  <c r="K200" i="6"/>
  <c r="J200" i="6"/>
  <c r="H200" i="6"/>
  <c r="G200" i="6"/>
  <c r="F200" i="6"/>
  <c r="E200" i="6"/>
  <c r="C200" i="6"/>
  <c r="B200" i="6"/>
  <c r="P199" i="6"/>
  <c r="O199" i="6"/>
  <c r="N199" i="6"/>
  <c r="M199" i="6"/>
  <c r="K199" i="6"/>
  <c r="J199" i="6"/>
  <c r="H199" i="6"/>
  <c r="G199" i="6"/>
  <c r="F199" i="6"/>
  <c r="E199" i="6"/>
  <c r="C199" i="6"/>
  <c r="B199" i="6"/>
  <c r="P197" i="6"/>
  <c r="O197" i="6"/>
  <c r="N197" i="6"/>
  <c r="M197" i="6"/>
  <c r="K197" i="6"/>
  <c r="J197" i="6"/>
  <c r="H197" i="6"/>
  <c r="G197" i="6"/>
  <c r="F197" i="6"/>
  <c r="E197" i="6"/>
  <c r="C197" i="6"/>
  <c r="B197" i="6"/>
  <c r="P196" i="6"/>
  <c r="O196" i="6"/>
  <c r="N196" i="6"/>
  <c r="M196" i="6"/>
  <c r="K196" i="6"/>
  <c r="J196" i="6"/>
  <c r="H196" i="6"/>
  <c r="G196" i="6"/>
  <c r="F196" i="6"/>
  <c r="E196" i="6"/>
  <c r="C196" i="6"/>
  <c r="B196" i="6"/>
  <c r="P195" i="6"/>
  <c r="O195" i="6"/>
  <c r="N195" i="6"/>
  <c r="M195" i="6"/>
  <c r="K195" i="6"/>
  <c r="J195" i="6"/>
  <c r="H195" i="6"/>
  <c r="G195" i="6"/>
  <c r="F195" i="6"/>
  <c r="E195" i="6"/>
  <c r="C195" i="6"/>
  <c r="B195" i="6"/>
  <c r="P194" i="6"/>
  <c r="O194" i="6"/>
  <c r="N194" i="6"/>
  <c r="M194" i="6"/>
  <c r="K194" i="6"/>
  <c r="J194" i="6"/>
  <c r="H194" i="6"/>
  <c r="G194" i="6"/>
  <c r="F194" i="6"/>
  <c r="E194" i="6"/>
  <c r="C194" i="6"/>
  <c r="B194" i="6"/>
  <c r="P182" i="6"/>
  <c r="O182" i="6"/>
  <c r="N182" i="6"/>
  <c r="M182" i="6"/>
  <c r="K182" i="6"/>
  <c r="J182" i="6"/>
  <c r="H182" i="6"/>
  <c r="G182" i="6"/>
  <c r="F182" i="6"/>
  <c r="E182" i="6"/>
  <c r="C182" i="6"/>
  <c r="B182" i="6"/>
  <c r="P181" i="6"/>
  <c r="O181" i="6"/>
  <c r="N181" i="6"/>
  <c r="M181" i="6"/>
  <c r="K181" i="6"/>
  <c r="J181" i="6"/>
  <c r="H181" i="6"/>
  <c r="G181" i="6"/>
  <c r="F181" i="6"/>
  <c r="E181" i="6"/>
  <c r="C181" i="6"/>
  <c r="B181" i="6"/>
  <c r="P180" i="6"/>
  <c r="O180" i="6"/>
  <c r="N180" i="6"/>
  <c r="M180" i="6"/>
  <c r="K180" i="6"/>
  <c r="J180" i="6"/>
  <c r="H180" i="6"/>
  <c r="G180" i="6"/>
  <c r="F180" i="6"/>
  <c r="E180" i="6"/>
  <c r="C180" i="6"/>
  <c r="B180" i="6"/>
  <c r="P179" i="6"/>
  <c r="O179" i="6"/>
  <c r="N179" i="6"/>
  <c r="M179" i="6"/>
  <c r="K179" i="6"/>
  <c r="J179" i="6"/>
  <c r="H179" i="6"/>
  <c r="G179" i="6"/>
  <c r="F179" i="6"/>
  <c r="E179" i="6"/>
  <c r="C179" i="6"/>
  <c r="B179" i="6"/>
  <c r="P177" i="6"/>
  <c r="O177" i="6"/>
  <c r="N177" i="6"/>
  <c r="M177" i="6"/>
  <c r="K177" i="6"/>
  <c r="J177" i="6"/>
  <c r="H177" i="6"/>
  <c r="G177" i="6"/>
  <c r="F177" i="6"/>
  <c r="E177" i="6"/>
  <c r="C177" i="6"/>
  <c r="B177" i="6"/>
  <c r="P176" i="6"/>
  <c r="O176" i="6"/>
  <c r="N176" i="6"/>
  <c r="M176" i="6"/>
  <c r="K176" i="6"/>
  <c r="J176" i="6"/>
  <c r="H176" i="6"/>
  <c r="G176" i="6"/>
  <c r="F176" i="6"/>
  <c r="E176" i="6"/>
  <c r="C176" i="6"/>
  <c r="B176" i="6"/>
  <c r="P175" i="6"/>
  <c r="O175" i="6"/>
  <c r="N175" i="6"/>
  <c r="M175" i="6"/>
  <c r="K175" i="6"/>
  <c r="J175" i="6"/>
  <c r="H175" i="6"/>
  <c r="G175" i="6"/>
  <c r="F175" i="6"/>
  <c r="E175" i="6"/>
  <c r="C175" i="6"/>
  <c r="B175" i="6"/>
  <c r="P174" i="6"/>
  <c r="O174" i="6"/>
  <c r="N174" i="6"/>
  <c r="M174" i="6"/>
  <c r="K174" i="6"/>
  <c r="J174" i="6"/>
  <c r="H174" i="6"/>
  <c r="G174" i="6"/>
  <c r="F174" i="6"/>
  <c r="E174" i="6"/>
  <c r="C174" i="6"/>
  <c r="B174" i="6"/>
  <c r="P172" i="6"/>
  <c r="O172" i="6"/>
  <c r="N172" i="6"/>
  <c r="M172" i="6"/>
  <c r="K172" i="6"/>
  <c r="J172" i="6"/>
  <c r="H172" i="6"/>
  <c r="G172" i="6"/>
  <c r="F172" i="6"/>
  <c r="E172" i="6"/>
  <c r="C172" i="6"/>
  <c r="B172" i="6"/>
  <c r="P171" i="6"/>
  <c r="O171" i="6"/>
  <c r="N171" i="6"/>
  <c r="M171" i="6"/>
  <c r="K171" i="6"/>
  <c r="J171" i="6"/>
  <c r="H171" i="6"/>
  <c r="G171" i="6"/>
  <c r="F171" i="6"/>
  <c r="E171" i="6"/>
  <c r="C171" i="6"/>
  <c r="B171" i="6"/>
  <c r="P170" i="6"/>
  <c r="O170" i="6"/>
  <c r="N170" i="6"/>
  <c r="M170" i="6"/>
  <c r="K170" i="6"/>
  <c r="J170" i="6"/>
  <c r="H170" i="6"/>
  <c r="G170" i="6"/>
  <c r="F170" i="6"/>
  <c r="E170" i="6"/>
  <c r="C170" i="6"/>
  <c r="B170" i="6"/>
  <c r="P169" i="6"/>
  <c r="O169" i="6"/>
  <c r="N169" i="6"/>
  <c r="M169" i="6"/>
  <c r="K169" i="6"/>
  <c r="J169" i="6"/>
  <c r="H169" i="6"/>
  <c r="G169" i="6"/>
  <c r="F169" i="6"/>
  <c r="E169" i="6"/>
  <c r="C169" i="6"/>
  <c r="B169" i="6"/>
  <c r="P167" i="6"/>
  <c r="O167" i="6"/>
  <c r="N167" i="6"/>
  <c r="M167" i="6"/>
  <c r="K167" i="6"/>
  <c r="J167" i="6"/>
  <c r="H167" i="6"/>
  <c r="G167" i="6"/>
  <c r="F167" i="6"/>
  <c r="E167" i="6"/>
  <c r="C167" i="6"/>
  <c r="B167" i="6"/>
  <c r="P166" i="6"/>
  <c r="O166" i="6"/>
  <c r="N166" i="6"/>
  <c r="M166" i="6"/>
  <c r="K166" i="6"/>
  <c r="J166" i="6"/>
  <c r="H166" i="6"/>
  <c r="G166" i="6"/>
  <c r="F166" i="6"/>
  <c r="E166" i="6"/>
  <c r="C166" i="6"/>
  <c r="B166" i="6"/>
  <c r="P165" i="6"/>
  <c r="O165" i="6"/>
  <c r="N165" i="6"/>
  <c r="M165" i="6"/>
  <c r="K165" i="6"/>
  <c r="J165" i="6"/>
  <c r="H165" i="6"/>
  <c r="G165" i="6"/>
  <c r="F165" i="6"/>
  <c r="E165" i="6"/>
  <c r="C165" i="6"/>
  <c r="B165" i="6"/>
  <c r="P164" i="6"/>
  <c r="O164" i="6"/>
  <c r="N164" i="6"/>
  <c r="M164" i="6"/>
  <c r="K164" i="6"/>
  <c r="J164" i="6"/>
  <c r="H164" i="6"/>
  <c r="G164" i="6"/>
  <c r="F164" i="6"/>
  <c r="E164" i="6"/>
  <c r="C164" i="6"/>
  <c r="B164" i="6"/>
  <c r="P151" i="6"/>
  <c r="O151" i="6"/>
  <c r="N151" i="6"/>
  <c r="M151" i="6"/>
  <c r="K151" i="6"/>
  <c r="J151" i="6"/>
  <c r="H151" i="6"/>
  <c r="G151" i="6"/>
  <c r="F151" i="6"/>
  <c r="E151" i="6"/>
  <c r="C151" i="6"/>
  <c r="B151" i="6"/>
  <c r="P150" i="6"/>
  <c r="O150" i="6"/>
  <c r="N150" i="6"/>
  <c r="M150" i="6"/>
  <c r="K150" i="6"/>
  <c r="J150" i="6"/>
  <c r="H150" i="6"/>
  <c r="G150" i="6"/>
  <c r="F150" i="6"/>
  <c r="E150" i="6"/>
  <c r="C150" i="6"/>
  <c r="B150" i="6"/>
  <c r="P149" i="6"/>
  <c r="O149" i="6"/>
  <c r="N149" i="6"/>
  <c r="M149" i="6"/>
  <c r="K149" i="6"/>
  <c r="J149" i="6"/>
  <c r="H149" i="6"/>
  <c r="G149" i="6"/>
  <c r="F149" i="6"/>
  <c r="E149" i="6"/>
  <c r="C149" i="6"/>
  <c r="B149" i="6"/>
  <c r="P148" i="6"/>
  <c r="O148" i="6"/>
  <c r="N148" i="6"/>
  <c r="M148" i="6"/>
  <c r="K148" i="6"/>
  <c r="J148" i="6"/>
  <c r="H148" i="6"/>
  <c r="G148" i="6"/>
  <c r="F148" i="6"/>
  <c r="E148" i="6"/>
  <c r="C148" i="6"/>
  <c r="B148" i="6"/>
  <c r="P146" i="6"/>
  <c r="O146" i="6"/>
  <c r="N146" i="6"/>
  <c r="M146" i="6"/>
  <c r="K146" i="6"/>
  <c r="J146" i="6"/>
  <c r="H146" i="6"/>
  <c r="G146" i="6"/>
  <c r="F146" i="6"/>
  <c r="E146" i="6"/>
  <c r="C146" i="6"/>
  <c r="B146" i="6"/>
  <c r="P145" i="6"/>
  <c r="O145" i="6"/>
  <c r="N145" i="6"/>
  <c r="M145" i="6"/>
  <c r="K145" i="6"/>
  <c r="J145" i="6"/>
  <c r="H145" i="6"/>
  <c r="G145" i="6"/>
  <c r="F145" i="6"/>
  <c r="E145" i="6"/>
  <c r="C145" i="6"/>
  <c r="B145" i="6"/>
  <c r="P144" i="6"/>
  <c r="O144" i="6"/>
  <c r="N144" i="6"/>
  <c r="M144" i="6"/>
  <c r="K144" i="6"/>
  <c r="J144" i="6"/>
  <c r="H144" i="6"/>
  <c r="G144" i="6"/>
  <c r="F144" i="6"/>
  <c r="E144" i="6"/>
  <c r="C144" i="6"/>
  <c r="B144" i="6"/>
  <c r="P143" i="6"/>
  <c r="O143" i="6"/>
  <c r="N143" i="6"/>
  <c r="M143" i="6"/>
  <c r="K143" i="6"/>
  <c r="J143" i="6"/>
  <c r="H143" i="6"/>
  <c r="G143" i="6"/>
  <c r="F143" i="6"/>
  <c r="E143" i="6"/>
  <c r="C143" i="6"/>
  <c r="B143" i="6"/>
  <c r="P141" i="6"/>
  <c r="O141" i="6"/>
  <c r="N141" i="6"/>
  <c r="M141" i="6"/>
  <c r="K141" i="6"/>
  <c r="J141" i="6"/>
  <c r="H141" i="6"/>
  <c r="G141" i="6"/>
  <c r="F141" i="6"/>
  <c r="E141" i="6"/>
  <c r="C141" i="6"/>
  <c r="B141" i="6"/>
  <c r="P140" i="6"/>
  <c r="O140" i="6"/>
  <c r="N140" i="6"/>
  <c r="M140" i="6"/>
  <c r="K140" i="6"/>
  <c r="J140" i="6"/>
  <c r="H140" i="6"/>
  <c r="G140" i="6"/>
  <c r="F140" i="6"/>
  <c r="E140" i="6"/>
  <c r="C140" i="6"/>
  <c r="B140" i="6"/>
  <c r="P139" i="6"/>
  <c r="O139" i="6"/>
  <c r="N139" i="6"/>
  <c r="M139" i="6"/>
  <c r="K139" i="6"/>
  <c r="J139" i="6"/>
  <c r="H139" i="6"/>
  <c r="G139" i="6"/>
  <c r="F139" i="6"/>
  <c r="E139" i="6"/>
  <c r="C139" i="6"/>
  <c r="B139" i="6"/>
  <c r="P138" i="6"/>
  <c r="O138" i="6"/>
  <c r="N138" i="6"/>
  <c r="M138" i="6"/>
  <c r="K138" i="6"/>
  <c r="J138" i="6"/>
  <c r="H138" i="6"/>
  <c r="G138" i="6"/>
  <c r="F138" i="6"/>
  <c r="E138" i="6"/>
  <c r="C138" i="6"/>
  <c r="B138" i="6"/>
  <c r="P136" i="6"/>
  <c r="O136" i="6"/>
  <c r="N136" i="6"/>
  <c r="M136" i="6"/>
  <c r="K136" i="6"/>
  <c r="J136" i="6"/>
  <c r="H136" i="6"/>
  <c r="G136" i="6"/>
  <c r="F136" i="6"/>
  <c r="E136" i="6"/>
  <c r="C136" i="6"/>
  <c r="B136" i="6"/>
  <c r="P135" i="6"/>
  <c r="O135" i="6"/>
  <c r="N135" i="6"/>
  <c r="M135" i="6"/>
  <c r="K135" i="6"/>
  <c r="J135" i="6"/>
  <c r="H135" i="6"/>
  <c r="G135" i="6"/>
  <c r="F135" i="6"/>
  <c r="E135" i="6"/>
  <c r="C135" i="6"/>
  <c r="B135" i="6"/>
  <c r="P134" i="6"/>
  <c r="O134" i="6"/>
  <c r="N134" i="6"/>
  <c r="M134" i="6"/>
  <c r="K134" i="6"/>
  <c r="J134" i="6"/>
  <c r="H134" i="6"/>
  <c r="G134" i="6"/>
  <c r="F134" i="6"/>
  <c r="E134" i="6"/>
  <c r="C134" i="6"/>
  <c r="B134" i="6"/>
  <c r="P133" i="6"/>
  <c r="O133" i="6"/>
  <c r="N133" i="6"/>
  <c r="M133" i="6"/>
  <c r="K133" i="6"/>
  <c r="J133" i="6"/>
  <c r="H133" i="6"/>
  <c r="G133" i="6"/>
  <c r="F133" i="6"/>
  <c r="E133" i="6"/>
  <c r="C133" i="6"/>
  <c r="B133" i="6"/>
  <c r="P120" i="6"/>
  <c r="O120" i="6"/>
  <c r="N120" i="6"/>
  <c r="M120" i="6"/>
  <c r="K120" i="6"/>
  <c r="J120" i="6"/>
  <c r="H120" i="6"/>
  <c r="G120" i="6"/>
  <c r="F120" i="6"/>
  <c r="E120" i="6"/>
  <c r="C120" i="6"/>
  <c r="B120" i="6"/>
  <c r="P119" i="6"/>
  <c r="O119" i="6"/>
  <c r="N119" i="6"/>
  <c r="M119" i="6"/>
  <c r="K119" i="6"/>
  <c r="J119" i="6"/>
  <c r="H119" i="6"/>
  <c r="G119" i="6"/>
  <c r="F119" i="6"/>
  <c r="E119" i="6"/>
  <c r="C119" i="6"/>
  <c r="B119" i="6"/>
  <c r="P118" i="6"/>
  <c r="O118" i="6"/>
  <c r="N118" i="6"/>
  <c r="M118" i="6"/>
  <c r="K118" i="6"/>
  <c r="J118" i="6"/>
  <c r="H118" i="6"/>
  <c r="G118" i="6"/>
  <c r="F118" i="6"/>
  <c r="E118" i="6"/>
  <c r="C118" i="6"/>
  <c r="B118" i="6"/>
  <c r="P117" i="6"/>
  <c r="O117" i="6"/>
  <c r="N117" i="6"/>
  <c r="M117" i="6"/>
  <c r="K117" i="6"/>
  <c r="J117" i="6"/>
  <c r="H117" i="6"/>
  <c r="G117" i="6"/>
  <c r="F117" i="6"/>
  <c r="E117" i="6"/>
  <c r="C117" i="6"/>
  <c r="B117" i="6"/>
  <c r="P115" i="6"/>
  <c r="O115" i="6"/>
  <c r="N115" i="6"/>
  <c r="M115" i="6"/>
  <c r="K115" i="6"/>
  <c r="J115" i="6"/>
  <c r="H115" i="6"/>
  <c r="G115" i="6"/>
  <c r="F115" i="6"/>
  <c r="E115" i="6"/>
  <c r="C115" i="6"/>
  <c r="B115" i="6"/>
  <c r="P114" i="6"/>
  <c r="O114" i="6"/>
  <c r="N114" i="6"/>
  <c r="M114" i="6"/>
  <c r="K114" i="6"/>
  <c r="J114" i="6"/>
  <c r="H114" i="6"/>
  <c r="G114" i="6"/>
  <c r="F114" i="6"/>
  <c r="E114" i="6"/>
  <c r="C114" i="6"/>
  <c r="B114" i="6"/>
  <c r="P113" i="6"/>
  <c r="O113" i="6"/>
  <c r="N113" i="6"/>
  <c r="M113" i="6"/>
  <c r="K113" i="6"/>
  <c r="J113" i="6"/>
  <c r="H113" i="6"/>
  <c r="G113" i="6"/>
  <c r="F113" i="6"/>
  <c r="E113" i="6"/>
  <c r="C113" i="6"/>
  <c r="B113" i="6"/>
  <c r="P112" i="6"/>
  <c r="O112" i="6"/>
  <c r="N112" i="6"/>
  <c r="M112" i="6"/>
  <c r="K112" i="6"/>
  <c r="J112" i="6"/>
  <c r="H112" i="6"/>
  <c r="G112" i="6"/>
  <c r="F112" i="6"/>
  <c r="E112" i="6"/>
  <c r="C112" i="6"/>
  <c r="B112" i="6"/>
  <c r="P110" i="6"/>
  <c r="O110" i="6"/>
  <c r="N110" i="6"/>
  <c r="M110" i="6"/>
  <c r="K110" i="6"/>
  <c r="J110" i="6"/>
  <c r="H110" i="6"/>
  <c r="G110" i="6"/>
  <c r="F110" i="6"/>
  <c r="E110" i="6"/>
  <c r="C110" i="6"/>
  <c r="B110" i="6"/>
  <c r="P109" i="6"/>
  <c r="O109" i="6"/>
  <c r="N109" i="6"/>
  <c r="M109" i="6"/>
  <c r="K109" i="6"/>
  <c r="J109" i="6"/>
  <c r="H109" i="6"/>
  <c r="G109" i="6"/>
  <c r="F109" i="6"/>
  <c r="E109" i="6"/>
  <c r="C109" i="6"/>
  <c r="B109" i="6"/>
  <c r="P108" i="6"/>
  <c r="O108" i="6"/>
  <c r="N108" i="6"/>
  <c r="M108" i="6"/>
  <c r="K108" i="6"/>
  <c r="J108" i="6"/>
  <c r="H108" i="6"/>
  <c r="G108" i="6"/>
  <c r="F108" i="6"/>
  <c r="E108" i="6"/>
  <c r="C108" i="6"/>
  <c r="B108" i="6"/>
  <c r="P107" i="6"/>
  <c r="O107" i="6"/>
  <c r="N107" i="6"/>
  <c r="M107" i="6"/>
  <c r="K107" i="6"/>
  <c r="J107" i="6"/>
  <c r="H107" i="6"/>
  <c r="G107" i="6"/>
  <c r="F107" i="6"/>
  <c r="E107" i="6"/>
  <c r="C107" i="6"/>
  <c r="B107" i="6"/>
  <c r="P105" i="6"/>
  <c r="O105" i="6"/>
  <c r="N105" i="6"/>
  <c r="M105" i="6"/>
  <c r="K105" i="6"/>
  <c r="J105" i="6"/>
  <c r="H105" i="6"/>
  <c r="G105" i="6"/>
  <c r="F105" i="6"/>
  <c r="E105" i="6"/>
  <c r="C105" i="6"/>
  <c r="B105" i="6"/>
  <c r="P104" i="6"/>
  <c r="O104" i="6"/>
  <c r="N104" i="6"/>
  <c r="M104" i="6"/>
  <c r="K104" i="6"/>
  <c r="J104" i="6"/>
  <c r="H104" i="6"/>
  <c r="G104" i="6"/>
  <c r="F104" i="6"/>
  <c r="E104" i="6"/>
  <c r="C104" i="6"/>
  <c r="B104" i="6"/>
  <c r="P103" i="6"/>
  <c r="O103" i="6"/>
  <c r="N103" i="6"/>
  <c r="M103" i="6"/>
  <c r="K103" i="6"/>
  <c r="J103" i="6"/>
  <c r="H103" i="6"/>
  <c r="G103" i="6"/>
  <c r="F103" i="6"/>
  <c r="E103" i="6"/>
  <c r="C103" i="6"/>
  <c r="B103" i="6"/>
  <c r="P102" i="6"/>
  <c r="O102" i="6"/>
  <c r="N102" i="6"/>
  <c r="M102" i="6"/>
  <c r="K102" i="6"/>
  <c r="J102" i="6"/>
  <c r="H102" i="6"/>
  <c r="G102" i="6"/>
  <c r="F102" i="6"/>
  <c r="E102" i="6"/>
  <c r="C102" i="6"/>
  <c r="B102" i="6"/>
  <c r="P90" i="6"/>
  <c r="O90" i="6"/>
  <c r="N90" i="6"/>
  <c r="M90" i="6"/>
  <c r="K90" i="6"/>
  <c r="J90" i="6"/>
  <c r="H90" i="6"/>
  <c r="G90" i="6"/>
  <c r="F90" i="6"/>
  <c r="E90" i="6"/>
  <c r="C90" i="6"/>
  <c r="B90" i="6"/>
  <c r="P89" i="6"/>
  <c r="O89" i="6"/>
  <c r="N89" i="6"/>
  <c r="M89" i="6"/>
  <c r="K89" i="6"/>
  <c r="J89" i="6"/>
  <c r="H89" i="6"/>
  <c r="G89" i="6"/>
  <c r="F89" i="6"/>
  <c r="E89" i="6"/>
  <c r="C89" i="6"/>
  <c r="B89" i="6"/>
  <c r="P88" i="6"/>
  <c r="O88" i="6"/>
  <c r="N88" i="6"/>
  <c r="M88" i="6"/>
  <c r="K88" i="6"/>
  <c r="J88" i="6"/>
  <c r="H88" i="6"/>
  <c r="G88" i="6"/>
  <c r="F88" i="6"/>
  <c r="E88" i="6"/>
  <c r="C88" i="6"/>
  <c r="B88" i="6"/>
  <c r="P87" i="6"/>
  <c r="O87" i="6"/>
  <c r="N87" i="6"/>
  <c r="M87" i="6"/>
  <c r="K87" i="6"/>
  <c r="J87" i="6"/>
  <c r="H87" i="6"/>
  <c r="G87" i="6"/>
  <c r="F87" i="6"/>
  <c r="E87" i="6"/>
  <c r="C87" i="6"/>
  <c r="B87" i="6"/>
  <c r="P85" i="6"/>
  <c r="O85" i="6"/>
  <c r="N85" i="6"/>
  <c r="M85" i="6"/>
  <c r="K85" i="6"/>
  <c r="J85" i="6"/>
  <c r="H85" i="6"/>
  <c r="G85" i="6"/>
  <c r="F85" i="6"/>
  <c r="E85" i="6"/>
  <c r="C85" i="6"/>
  <c r="B85" i="6"/>
  <c r="P84" i="6"/>
  <c r="O84" i="6"/>
  <c r="N84" i="6"/>
  <c r="M84" i="6"/>
  <c r="K84" i="6"/>
  <c r="J84" i="6"/>
  <c r="H84" i="6"/>
  <c r="G84" i="6"/>
  <c r="F84" i="6"/>
  <c r="E84" i="6"/>
  <c r="C84" i="6"/>
  <c r="B84" i="6"/>
  <c r="P83" i="6"/>
  <c r="O83" i="6"/>
  <c r="N83" i="6"/>
  <c r="M83" i="6"/>
  <c r="K83" i="6"/>
  <c r="J83" i="6"/>
  <c r="H83" i="6"/>
  <c r="G83" i="6"/>
  <c r="F83" i="6"/>
  <c r="E83" i="6"/>
  <c r="C83" i="6"/>
  <c r="B83" i="6"/>
  <c r="P82" i="6"/>
  <c r="O82" i="6"/>
  <c r="N82" i="6"/>
  <c r="M82" i="6"/>
  <c r="K82" i="6"/>
  <c r="J82" i="6"/>
  <c r="H82" i="6"/>
  <c r="G82" i="6"/>
  <c r="F82" i="6"/>
  <c r="E82" i="6"/>
  <c r="C82" i="6"/>
  <c r="B82" i="6"/>
  <c r="P80" i="6"/>
  <c r="O80" i="6"/>
  <c r="N80" i="6"/>
  <c r="M80" i="6"/>
  <c r="K80" i="6"/>
  <c r="J80" i="6"/>
  <c r="H80" i="6"/>
  <c r="G80" i="6"/>
  <c r="F80" i="6"/>
  <c r="E80" i="6"/>
  <c r="C80" i="6"/>
  <c r="B80" i="6"/>
  <c r="P79" i="6"/>
  <c r="O79" i="6"/>
  <c r="N79" i="6"/>
  <c r="M79" i="6"/>
  <c r="K79" i="6"/>
  <c r="J79" i="6"/>
  <c r="H79" i="6"/>
  <c r="G79" i="6"/>
  <c r="F79" i="6"/>
  <c r="E79" i="6"/>
  <c r="C79" i="6"/>
  <c r="B79" i="6"/>
  <c r="P78" i="6"/>
  <c r="O78" i="6"/>
  <c r="N78" i="6"/>
  <c r="M78" i="6"/>
  <c r="K78" i="6"/>
  <c r="J78" i="6"/>
  <c r="H78" i="6"/>
  <c r="G78" i="6"/>
  <c r="F78" i="6"/>
  <c r="E78" i="6"/>
  <c r="C78" i="6"/>
  <c r="B78" i="6"/>
  <c r="P77" i="6"/>
  <c r="O77" i="6"/>
  <c r="N77" i="6"/>
  <c r="M77" i="6"/>
  <c r="K77" i="6"/>
  <c r="J77" i="6"/>
  <c r="H77" i="6"/>
  <c r="G77" i="6"/>
  <c r="F77" i="6"/>
  <c r="E77" i="6"/>
  <c r="C77" i="6"/>
  <c r="B77" i="6"/>
  <c r="P75" i="6"/>
  <c r="O75" i="6"/>
  <c r="N75" i="6"/>
  <c r="M75" i="6"/>
  <c r="K75" i="6"/>
  <c r="J75" i="6"/>
  <c r="H75" i="6"/>
  <c r="G75" i="6"/>
  <c r="F75" i="6"/>
  <c r="E75" i="6"/>
  <c r="C75" i="6"/>
  <c r="B75" i="6"/>
  <c r="P74" i="6"/>
  <c r="O74" i="6"/>
  <c r="N74" i="6"/>
  <c r="M74" i="6"/>
  <c r="K74" i="6"/>
  <c r="J74" i="6"/>
  <c r="H74" i="6"/>
  <c r="G74" i="6"/>
  <c r="F74" i="6"/>
  <c r="E74" i="6"/>
  <c r="C74" i="6"/>
  <c r="B74" i="6"/>
  <c r="P73" i="6"/>
  <c r="O73" i="6"/>
  <c r="N73" i="6"/>
  <c r="M73" i="6"/>
  <c r="K73" i="6"/>
  <c r="J73" i="6"/>
  <c r="H73" i="6"/>
  <c r="G73" i="6"/>
  <c r="F73" i="6"/>
  <c r="E73" i="6"/>
  <c r="C73" i="6"/>
  <c r="B73" i="6"/>
  <c r="P72" i="6"/>
  <c r="O72" i="6"/>
  <c r="N72" i="6"/>
  <c r="M72" i="6"/>
  <c r="K72" i="6"/>
  <c r="J72" i="6"/>
  <c r="H72" i="6"/>
  <c r="G72" i="6"/>
  <c r="F72" i="6"/>
  <c r="E72" i="6"/>
  <c r="C72" i="6"/>
  <c r="B72" i="6"/>
  <c r="P27" i="6"/>
  <c r="O27" i="6"/>
  <c r="N27" i="6"/>
  <c r="M27" i="6"/>
  <c r="K27" i="6"/>
  <c r="J27" i="6"/>
  <c r="H27" i="6"/>
  <c r="G27" i="6"/>
  <c r="F27" i="6"/>
  <c r="E27" i="6"/>
  <c r="C27" i="6"/>
  <c r="B27" i="6"/>
  <c r="B26" i="6"/>
  <c r="AC8" i="9"/>
  <c r="AE10" i="9"/>
  <c r="AG11" i="9"/>
  <c r="AG5" i="9"/>
  <c r="AF31" i="9"/>
  <c r="AB35" i="9"/>
  <c r="AD26" i="9"/>
  <c r="AG15" i="9"/>
  <c r="AF41" i="9"/>
  <c r="AG34" i="9"/>
  <c r="AC16" i="9"/>
  <c r="AC34" i="9"/>
  <c r="AD27" i="9"/>
  <c r="AB26" i="9"/>
  <c r="AD35" i="9"/>
  <c r="AF18" i="9"/>
  <c r="AD13" i="9"/>
  <c r="AG26" i="9"/>
  <c r="AG40" i="9"/>
  <c r="AE35" i="9"/>
  <c r="AB31" i="9"/>
  <c r="AE26" i="9"/>
  <c r="AE9" i="9"/>
  <c r="AE34" i="9"/>
  <c r="AB17" i="9"/>
  <c r="AF17" i="9"/>
  <c r="AF38" i="9"/>
  <c r="AC20" i="9"/>
  <c r="AC32" i="9"/>
  <c r="AD5" i="9"/>
  <c r="AD7" i="9"/>
  <c r="AC40" i="9"/>
  <c r="AF28" i="9"/>
  <c r="AD29" i="9"/>
  <c r="AG36" i="9"/>
  <c r="AB9" i="9"/>
  <c r="AG29" i="9"/>
  <c r="AD38" i="9"/>
  <c r="AC18" i="9"/>
  <c r="AE39" i="9"/>
  <c r="AF30" i="9"/>
  <c r="AD19" i="9"/>
  <c r="AG39" i="9"/>
  <c r="AB16" i="9"/>
  <c r="AC36" i="9"/>
  <c r="AE11" i="9"/>
  <c r="AC5" i="9"/>
  <c r="AC41" i="9"/>
  <c r="AG13" i="9"/>
  <c r="AB18" i="9"/>
  <c r="AC29" i="9"/>
  <c r="AD32" i="9"/>
  <c r="AD18" i="9"/>
  <c r="AF33" i="9"/>
  <c r="AE12" i="9"/>
  <c r="AB39" i="9"/>
  <c r="AB36" i="9"/>
  <c r="AB28" i="9"/>
  <c r="AF10" i="9"/>
  <c r="AE41" i="9"/>
  <c r="AD31" i="9"/>
  <c r="AF27" i="9"/>
  <c r="AF39" i="9"/>
  <c r="AF9" i="9"/>
  <c r="AF32" i="9"/>
  <c r="AB8" i="9"/>
  <c r="AD33" i="9"/>
  <c r="AF40" i="9"/>
  <c r="AD41" i="9"/>
  <c r="AE20" i="9"/>
  <c r="AG32" i="9"/>
  <c r="AD20" i="9"/>
  <c r="AF8" i="9"/>
  <c r="AD15" i="9"/>
  <c r="AC7" i="9"/>
  <c r="AE5" i="9"/>
  <c r="AG6" i="9"/>
  <c r="AG16" i="9"/>
  <c r="AE31" i="9"/>
  <c r="AG33" i="9"/>
  <c r="AF7" i="9"/>
  <c r="AD39" i="9"/>
  <c r="AB33" i="9"/>
  <c r="AB40" i="9"/>
  <c r="AB38" i="9"/>
  <c r="AE36" i="9"/>
  <c r="AC26" i="9"/>
  <c r="AB34" i="9"/>
  <c r="AC13" i="9"/>
  <c r="AC9" i="9"/>
  <c r="AD14" i="9"/>
  <c r="AB15" i="9"/>
  <c r="AB11" i="9"/>
  <c r="AE8" i="9"/>
  <c r="AD9" i="9"/>
  <c r="AG30" i="9"/>
  <c r="AF19" i="9"/>
  <c r="AC19" i="9"/>
  <c r="AC30" i="9"/>
  <c r="AG37" i="9"/>
  <c r="AE32" i="9"/>
  <c r="AD28" i="9"/>
  <c r="AF12" i="9"/>
  <c r="AB29" i="9"/>
  <c r="AG31" i="9"/>
  <c r="AB30" i="9"/>
  <c r="AD11" i="9"/>
  <c r="AF29" i="9"/>
  <c r="AC39" i="9"/>
  <c r="AF37" i="9"/>
  <c r="AE14" i="9"/>
  <c r="AE17" i="9"/>
  <c r="AF11" i="9"/>
  <c r="AF15" i="9"/>
  <c r="AE40" i="9"/>
  <c r="AF36" i="9"/>
  <c r="AD17" i="9"/>
  <c r="AF35" i="9"/>
  <c r="AG41" i="9"/>
  <c r="AE18" i="9"/>
  <c r="AC10" i="9"/>
  <c r="AG14" i="9"/>
  <c r="AF34" i="9"/>
  <c r="AE13" i="9"/>
  <c r="AC11" i="9"/>
  <c r="AE33" i="9"/>
  <c r="AB19" i="9"/>
  <c r="AE28" i="9"/>
  <c r="AE29" i="9"/>
  <c r="AG35" i="9"/>
  <c r="AD34" i="9"/>
  <c r="AG19" i="9"/>
  <c r="AB6" i="9"/>
  <c r="AG12" i="9"/>
  <c r="AB7" i="9"/>
  <c r="AG20" i="9"/>
  <c r="AE30" i="9"/>
  <c r="AE38" i="9"/>
  <c r="AG10" i="9"/>
  <c r="AC17" i="9"/>
  <c r="L39" i="9"/>
  <c r="AB41" i="9"/>
  <c r="AC6" i="9"/>
  <c r="AG7" i="9"/>
  <c r="AD6" i="9"/>
  <c r="AG28" i="9"/>
  <c r="AD8" i="9"/>
  <c r="AC15" i="9"/>
  <c r="AB12" i="9"/>
  <c r="AB13" i="9"/>
  <c r="AC35" i="9"/>
  <c r="AF13" i="9"/>
  <c r="AD30" i="9"/>
  <c r="AF6" i="9"/>
  <c r="AB27" i="9"/>
  <c r="AE37" i="9"/>
  <c r="AC33" i="9"/>
  <c r="AE19" i="9"/>
  <c r="AB32" i="9"/>
  <c r="AC31" i="9"/>
  <c r="AD40" i="9"/>
  <c r="AB20" i="9"/>
  <c r="AE7" i="9"/>
  <c r="AB37" i="9"/>
  <c r="AD10" i="9"/>
  <c r="AG8" i="9"/>
  <c r="AD16" i="9"/>
  <c r="AF26" i="9"/>
  <c r="AB14" i="9"/>
  <c r="AC27" i="9"/>
  <c r="AE15" i="9"/>
  <c r="AG9" i="9"/>
  <c r="AC14" i="9"/>
  <c r="AB5" i="9"/>
  <c r="AF5" i="9"/>
  <c r="AC37" i="9"/>
  <c r="AD36" i="9"/>
  <c r="AC28" i="9"/>
  <c r="AE27" i="9"/>
  <c r="AF14" i="9"/>
  <c r="AE16" i="9"/>
  <c r="AF20" i="9"/>
  <c r="AC12" i="9"/>
  <c r="AG18" i="9"/>
  <c r="AG27" i="9"/>
  <c r="AE6" i="9"/>
  <c r="AD12" i="9"/>
  <c r="AG17" i="9"/>
  <c r="AF16" i="9"/>
  <c r="AG38" i="9"/>
  <c r="AC38" i="9"/>
  <c r="AB10" i="9"/>
  <c r="AD37" i="9"/>
  <c r="K8" i="5" l="1"/>
  <c r="K13" i="5"/>
  <c r="K23" i="5"/>
  <c r="L8" i="5"/>
  <c r="L13" i="5"/>
  <c r="L18" i="5"/>
  <c r="P8" i="5"/>
  <c r="P13" i="5"/>
  <c r="D422" i="6"/>
  <c r="N47" i="5" s="1"/>
  <c r="P12" i="5"/>
  <c r="P17" i="5"/>
  <c r="P22" i="5"/>
  <c r="E8" i="5"/>
  <c r="E10" i="5"/>
  <c r="E13" i="5"/>
  <c r="F8" i="5"/>
  <c r="F10" i="5"/>
  <c r="F13" i="5"/>
  <c r="F18" i="5"/>
  <c r="F23" i="5"/>
  <c r="F25" i="5"/>
  <c r="I9" i="5"/>
  <c r="I14" i="5"/>
  <c r="I24" i="5"/>
  <c r="J9" i="5"/>
  <c r="J14" i="5"/>
  <c r="J19" i="5"/>
  <c r="J24" i="5"/>
  <c r="K9" i="5"/>
  <c r="C67" i="5"/>
  <c r="C69" i="5"/>
  <c r="D67" i="5"/>
  <c r="D69" i="5"/>
  <c r="D74" i="5"/>
  <c r="D77" i="5"/>
  <c r="D79" i="5"/>
  <c r="D82" i="5"/>
  <c r="E67" i="5"/>
  <c r="E74" i="5"/>
  <c r="E82" i="5"/>
  <c r="D194" i="6"/>
  <c r="D196" i="6"/>
  <c r="G37" i="5" s="1"/>
  <c r="G69" i="5"/>
  <c r="D199" i="6"/>
  <c r="G40" i="5" s="1"/>
  <c r="D201" i="6"/>
  <c r="G42" i="5" s="1"/>
  <c r="G74" i="5"/>
  <c r="G77" i="5"/>
  <c r="G79" i="5"/>
  <c r="G82" i="5"/>
  <c r="K15" i="5"/>
  <c r="K20" i="5"/>
  <c r="K25" i="5"/>
  <c r="D361" i="6"/>
  <c r="Q361" i="6" s="1"/>
  <c r="O12" i="5"/>
  <c r="O17" i="5"/>
  <c r="D204" i="6"/>
  <c r="G45" i="5" s="1"/>
  <c r="D206" i="6"/>
  <c r="G47" i="5" s="1"/>
  <c r="D209" i="6"/>
  <c r="G50" i="5" s="1"/>
  <c r="D440" i="6"/>
  <c r="Q440" i="6" s="1"/>
  <c r="O10" i="5"/>
  <c r="D445" i="6"/>
  <c r="O40" i="5" s="1"/>
  <c r="O15" i="5"/>
  <c r="D450" i="6"/>
  <c r="Q450" i="6" s="1"/>
  <c r="O20" i="5"/>
  <c r="D455" i="6"/>
  <c r="O50" i="5" s="1"/>
  <c r="O25" i="5"/>
  <c r="D134" i="6"/>
  <c r="E36" i="5" s="1"/>
  <c r="D210" i="6"/>
  <c r="Q210" i="6" s="1"/>
  <c r="C9" i="5"/>
  <c r="C14" i="5"/>
  <c r="C17" i="5"/>
  <c r="C19" i="5"/>
  <c r="C22" i="5"/>
  <c r="D103" i="6"/>
  <c r="Q103" i="6" s="1"/>
  <c r="D105" i="6"/>
  <c r="D38" i="5" s="1"/>
  <c r="D12" i="5"/>
  <c r="D113" i="6"/>
  <c r="D46" i="5" s="1"/>
  <c r="D115" i="6"/>
  <c r="D48" i="5" s="1"/>
  <c r="D24" i="5"/>
  <c r="L47" i="6"/>
  <c r="B100" i="5" s="1"/>
  <c r="L165" i="6"/>
  <c r="R165" i="6" s="1"/>
  <c r="L167" i="6"/>
  <c r="F97" i="5" s="1"/>
  <c r="L170" i="6"/>
  <c r="F100" i="5" s="1"/>
  <c r="L172" i="6"/>
  <c r="F102" i="5" s="1"/>
  <c r="L175" i="6"/>
  <c r="F105" i="5" s="1"/>
  <c r="L177" i="6"/>
  <c r="R177" i="6" s="1"/>
  <c r="L180" i="6"/>
  <c r="F110" i="5" s="1"/>
  <c r="B68" i="5"/>
  <c r="B71" i="5"/>
  <c r="B76" i="5"/>
  <c r="C68" i="5"/>
  <c r="D71" i="5"/>
  <c r="D73" i="5"/>
  <c r="D78" i="5"/>
  <c r="D81" i="5"/>
  <c r="D83" i="5"/>
  <c r="Q194" i="6"/>
  <c r="L77" i="6"/>
  <c r="R77" i="6" s="1"/>
  <c r="L82" i="6"/>
  <c r="R82" i="6" s="1"/>
  <c r="L87" i="6"/>
  <c r="R87" i="6" s="1"/>
  <c r="L102" i="6"/>
  <c r="R102" i="6" s="1"/>
  <c r="L107" i="6"/>
  <c r="R107" i="6" s="1"/>
  <c r="L112" i="6"/>
  <c r="D104" i="5" s="1"/>
  <c r="L117" i="6"/>
  <c r="D109" i="5" s="1"/>
  <c r="D268" i="6"/>
  <c r="I47" i="5" s="1"/>
  <c r="D320" i="6"/>
  <c r="K37" i="5" s="1"/>
  <c r="D330" i="6"/>
  <c r="K47" i="5" s="1"/>
  <c r="D195" i="6"/>
  <c r="G36" i="5" s="1"/>
  <c r="D227" i="6"/>
  <c r="M37" i="5" s="1"/>
  <c r="L182" i="6"/>
  <c r="R182" i="6" s="1"/>
  <c r="D47" i="6"/>
  <c r="Q47" i="6" s="1"/>
  <c r="D49" i="6"/>
  <c r="B43" i="5" s="1"/>
  <c r="L57" i="6"/>
  <c r="B110" i="5" s="1"/>
  <c r="D85" i="6"/>
  <c r="Q85" i="6" s="1"/>
  <c r="K14" i="5"/>
  <c r="K19" i="5"/>
  <c r="K24" i="5"/>
  <c r="N9" i="5"/>
  <c r="D413" i="6"/>
  <c r="N38" i="5" s="1"/>
  <c r="O9" i="5"/>
  <c r="O19" i="5"/>
  <c r="O24" i="5"/>
  <c r="B8" i="5"/>
  <c r="B13" i="5"/>
  <c r="B15" i="5"/>
  <c r="B18" i="5"/>
  <c r="B20" i="5"/>
  <c r="L54" i="6"/>
  <c r="B107" i="5" s="1"/>
  <c r="B23" i="5"/>
  <c r="B25" i="5"/>
  <c r="L59" i="6"/>
  <c r="B112" i="5" s="1"/>
  <c r="D237" i="6"/>
  <c r="M47" i="5" s="1"/>
  <c r="D351" i="6"/>
  <c r="L37" i="5" s="1"/>
  <c r="D392" i="6"/>
  <c r="Q392" i="6" s="1"/>
  <c r="D331" i="6"/>
  <c r="K48" i="5" s="1"/>
  <c r="C8" i="5"/>
  <c r="C10" i="5"/>
  <c r="L75" i="6"/>
  <c r="C97" i="5" s="1"/>
  <c r="L78" i="6"/>
  <c r="R78" i="6" s="1"/>
  <c r="L80" i="6"/>
  <c r="C102" i="5" s="1"/>
  <c r="C18" i="5"/>
  <c r="L83" i="6"/>
  <c r="C105" i="5" s="1"/>
  <c r="C20" i="5"/>
  <c r="L85" i="6"/>
  <c r="C107" i="5" s="1"/>
  <c r="C23" i="5"/>
  <c r="L88" i="6"/>
  <c r="C110" i="5" s="1"/>
  <c r="L90" i="6"/>
  <c r="R90" i="6" s="1"/>
  <c r="D8" i="5"/>
  <c r="L103" i="6"/>
  <c r="R103" i="6" s="1"/>
  <c r="D10" i="5"/>
  <c r="L105" i="6"/>
  <c r="D97" i="5" s="1"/>
  <c r="D13" i="5"/>
  <c r="L108" i="6"/>
  <c r="D100" i="5" s="1"/>
  <c r="L110" i="6"/>
  <c r="R110" i="6" s="1"/>
  <c r="L113" i="6"/>
  <c r="D105" i="5" s="1"/>
  <c r="D20" i="5"/>
  <c r="L115" i="6"/>
  <c r="R115" i="6" s="1"/>
  <c r="L118" i="6"/>
  <c r="D110" i="5" s="1"/>
  <c r="D25" i="5"/>
  <c r="L120" i="6"/>
  <c r="D112" i="5" s="1"/>
  <c r="I12" i="5"/>
  <c r="I17" i="5"/>
  <c r="I22" i="5"/>
  <c r="J12" i="5"/>
  <c r="J17" i="5"/>
  <c r="J22" i="5"/>
  <c r="K12" i="5"/>
  <c r="K17" i="5"/>
  <c r="K22" i="5"/>
  <c r="O8" i="5"/>
  <c r="D442" i="6"/>
  <c r="Q442" i="6" s="1"/>
  <c r="O13" i="5"/>
  <c r="O18" i="5"/>
  <c r="D452" i="6"/>
  <c r="O47" i="5" s="1"/>
  <c r="D453" i="6"/>
  <c r="Q453" i="6" s="1"/>
  <c r="O23" i="5"/>
  <c r="D318" i="6"/>
  <c r="Q318" i="6" s="1"/>
  <c r="D323" i="6"/>
  <c r="Q323" i="6" s="1"/>
  <c r="D328" i="6"/>
  <c r="Q328" i="6" s="1"/>
  <c r="D333" i="6"/>
  <c r="K50" i="5" s="1"/>
  <c r="B9" i="5"/>
  <c r="B12" i="5"/>
  <c r="B14" i="5"/>
  <c r="B17" i="5"/>
  <c r="B19" i="5"/>
  <c r="B22" i="5"/>
  <c r="B24" i="5"/>
  <c r="E73" i="5"/>
  <c r="D144" i="6"/>
  <c r="E46" i="5" s="1"/>
  <c r="E78" i="5"/>
  <c r="E83" i="5"/>
  <c r="D349" i="6"/>
  <c r="Q349" i="6" s="1"/>
  <c r="L10" i="5"/>
  <c r="D354" i="6"/>
  <c r="Q354" i="6" s="1"/>
  <c r="L15" i="5"/>
  <c r="D359" i="6"/>
  <c r="L45" i="5" s="1"/>
  <c r="L20" i="5"/>
  <c r="P10" i="5"/>
  <c r="P20" i="5"/>
  <c r="P25" i="5"/>
  <c r="B67" i="5"/>
  <c r="E9" i="5"/>
  <c r="E12" i="5"/>
  <c r="L164" i="6"/>
  <c r="R164" i="6" s="1"/>
  <c r="L166" i="6"/>
  <c r="F96" i="5" s="1"/>
  <c r="D167" i="6"/>
  <c r="F38" i="5" s="1"/>
  <c r="L169" i="6"/>
  <c r="R169" i="6" s="1"/>
  <c r="F14" i="5"/>
  <c r="L171" i="6"/>
  <c r="F101" i="5" s="1"/>
  <c r="L174" i="6"/>
  <c r="R174" i="6" s="1"/>
  <c r="L176" i="6"/>
  <c r="F106" i="5" s="1"/>
  <c r="F22" i="5"/>
  <c r="L179" i="6"/>
  <c r="F109" i="5" s="1"/>
  <c r="L181" i="6"/>
  <c r="F111" i="5" s="1"/>
  <c r="D200" i="6"/>
  <c r="G41" i="5" s="1"/>
  <c r="L200" i="6"/>
  <c r="G100" i="5" s="1"/>
  <c r="D205" i="6"/>
  <c r="Q205" i="6" s="1"/>
  <c r="G78" i="5"/>
  <c r="P9" i="5"/>
  <c r="D383" i="6"/>
  <c r="P38" i="5" s="1"/>
  <c r="P14" i="5"/>
  <c r="P19" i="5"/>
  <c r="D27" i="6"/>
  <c r="H53" i="5" s="1"/>
  <c r="L42" i="6"/>
  <c r="R42" i="6" s="1"/>
  <c r="L44" i="6"/>
  <c r="B97" i="5" s="1"/>
  <c r="D52" i="6"/>
  <c r="B46" i="5" s="1"/>
  <c r="L52" i="6"/>
  <c r="B105" i="5" s="1"/>
  <c r="L53" i="6"/>
  <c r="B106" i="5" s="1"/>
  <c r="L72" i="6"/>
  <c r="R72" i="6" s="1"/>
  <c r="D73" i="6"/>
  <c r="Q73" i="6" s="1"/>
  <c r="L73" i="6"/>
  <c r="R73" i="6" s="1"/>
  <c r="D75" i="6"/>
  <c r="Q75" i="6" s="1"/>
  <c r="D83" i="6"/>
  <c r="C46" i="5" s="1"/>
  <c r="D44" i="6"/>
  <c r="B38" i="5" s="1"/>
  <c r="L46" i="6"/>
  <c r="R46" i="6" s="1"/>
  <c r="L49" i="6"/>
  <c r="B102" i="5" s="1"/>
  <c r="C71" i="5"/>
  <c r="C72" i="5"/>
  <c r="C73" i="5"/>
  <c r="C74" i="5"/>
  <c r="C76" i="5"/>
  <c r="C77" i="5"/>
  <c r="C79" i="5"/>
  <c r="C81" i="5"/>
  <c r="D88" i="6"/>
  <c r="C51" i="5" s="1"/>
  <c r="C83" i="5"/>
  <c r="D90" i="6"/>
  <c r="C53" i="5" s="1"/>
  <c r="C84" i="5"/>
  <c r="D256" i="6"/>
  <c r="Q256" i="6" s="1"/>
  <c r="I8" i="5"/>
  <c r="D258" i="6"/>
  <c r="I37" i="5" s="1"/>
  <c r="I10" i="5"/>
  <c r="D261" i="6"/>
  <c r="I40" i="5" s="1"/>
  <c r="D262" i="6"/>
  <c r="I41" i="5" s="1"/>
  <c r="D266" i="6"/>
  <c r="Q266" i="6" s="1"/>
  <c r="I18" i="5"/>
  <c r="I20" i="5"/>
  <c r="D271" i="6"/>
  <c r="Q271" i="6" s="1"/>
  <c r="D272" i="6"/>
  <c r="I51" i="5" s="1"/>
  <c r="I25" i="5"/>
  <c r="D287" i="6"/>
  <c r="Q287" i="6" s="1"/>
  <c r="J8" i="5"/>
  <c r="D289" i="6"/>
  <c r="Q289" i="6" s="1"/>
  <c r="D292" i="6"/>
  <c r="Q292" i="6" s="1"/>
  <c r="J13" i="5"/>
  <c r="J15" i="5"/>
  <c r="D297" i="6"/>
  <c r="J45" i="5" s="1"/>
  <c r="D299" i="6"/>
  <c r="Q299" i="6" s="1"/>
  <c r="J20" i="5"/>
  <c r="D302" i="6"/>
  <c r="J50" i="5" s="1"/>
  <c r="J23" i="5"/>
  <c r="J25" i="5"/>
  <c r="L9" i="5"/>
  <c r="D352" i="6"/>
  <c r="Q352" i="6" s="1"/>
  <c r="L12" i="5"/>
  <c r="L14" i="5"/>
  <c r="L17" i="5"/>
  <c r="L19" i="5"/>
  <c r="L22" i="5"/>
  <c r="L24" i="5"/>
  <c r="D410" i="6"/>
  <c r="Q410" i="6" s="1"/>
  <c r="N8" i="5"/>
  <c r="D412" i="6"/>
  <c r="N37" i="5" s="1"/>
  <c r="N10" i="5"/>
  <c r="D415" i="6"/>
  <c r="Q415" i="6" s="1"/>
  <c r="N15" i="5"/>
  <c r="D420" i="6"/>
  <c r="N45" i="5" s="1"/>
  <c r="N18" i="5"/>
  <c r="D423" i="6"/>
  <c r="N48" i="5" s="1"/>
  <c r="D425" i="6"/>
  <c r="N50" i="5" s="1"/>
  <c r="N23" i="5"/>
  <c r="N25" i="5"/>
  <c r="D211" i="6"/>
  <c r="Q211" i="6" s="1"/>
  <c r="G84" i="5"/>
  <c r="M9" i="5"/>
  <c r="D228" i="6"/>
  <c r="M38" i="5" s="1"/>
  <c r="M12" i="5"/>
  <c r="M14" i="5"/>
  <c r="M17" i="5"/>
  <c r="M19" i="5"/>
  <c r="D238" i="6"/>
  <c r="Q238" i="6" s="1"/>
  <c r="D362" i="6"/>
  <c r="Q362" i="6" s="1"/>
  <c r="D364" i="6"/>
  <c r="L50" i="5" s="1"/>
  <c r="L25" i="5"/>
  <c r="N12" i="5"/>
  <c r="N14" i="5"/>
  <c r="N17" i="5"/>
  <c r="N19" i="5"/>
  <c r="N22" i="5"/>
  <c r="N24" i="5"/>
  <c r="D54" i="6"/>
  <c r="Q54" i="6" s="1"/>
  <c r="B79" i="5"/>
  <c r="B83" i="5"/>
  <c r="D59" i="6"/>
  <c r="Q59" i="6" s="1"/>
  <c r="D108" i="6"/>
  <c r="D41" i="5" s="1"/>
  <c r="D110" i="6"/>
  <c r="D43" i="5" s="1"/>
  <c r="D118" i="6"/>
  <c r="D51" i="5" s="1"/>
  <c r="D120" i="6"/>
  <c r="D53" i="5" s="1"/>
  <c r="L133" i="6"/>
  <c r="R133" i="6" s="1"/>
  <c r="L134" i="6"/>
  <c r="R134" i="6" s="1"/>
  <c r="D136" i="6"/>
  <c r="E38" i="5" s="1"/>
  <c r="L136" i="6"/>
  <c r="E97" i="5" s="1"/>
  <c r="L138" i="6"/>
  <c r="E99" i="5" s="1"/>
  <c r="D139" i="6"/>
  <c r="E41" i="5" s="1"/>
  <c r="L139" i="6"/>
  <c r="E100" i="5" s="1"/>
  <c r="E14" i="5"/>
  <c r="E15" i="5"/>
  <c r="D141" i="6"/>
  <c r="Q141" i="6" s="1"/>
  <c r="L141" i="6"/>
  <c r="R141" i="6" s="1"/>
  <c r="E17" i="5"/>
  <c r="L143" i="6"/>
  <c r="E104" i="5" s="1"/>
  <c r="E18" i="5"/>
  <c r="L144" i="6"/>
  <c r="E105" i="5" s="1"/>
  <c r="E19" i="5"/>
  <c r="E20" i="5"/>
  <c r="D146" i="6"/>
  <c r="E48" i="5" s="1"/>
  <c r="L146" i="6"/>
  <c r="E107" i="5" s="1"/>
  <c r="E22" i="5"/>
  <c r="L148" i="6"/>
  <c r="E109" i="5" s="1"/>
  <c r="E23" i="5"/>
  <c r="D149" i="6"/>
  <c r="Q149" i="6" s="1"/>
  <c r="L149" i="6"/>
  <c r="E110" i="5" s="1"/>
  <c r="E24" i="5"/>
  <c r="D151" i="6"/>
  <c r="E53" i="5" s="1"/>
  <c r="F67" i="5"/>
  <c r="F68" i="5"/>
  <c r="F69" i="5"/>
  <c r="F71" i="5"/>
  <c r="D170" i="6"/>
  <c r="F41" i="5" s="1"/>
  <c r="F72" i="5"/>
  <c r="F73" i="5"/>
  <c r="F76" i="5"/>
  <c r="D175" i="6"/>
  <c r="F46" i="5" s="1"/>
  <c r="F77" i="5"/>
  <c r="D177" i="6"/>
  <c r="F48" i="5" s="1"/>
  <c r="F79" i="5"/>
  <c r="F81" i="5"/>
  <c r="F82" i="5"/>
  <c r="F83" i="5"/>
  <c r="D182" i="6"/>
  <c r="Q182" i="6" s="1"/>
  <c r="F84" i="5"/>
  <c r="G8" i="5"/>
  <c r="G10" i="5"/>
  <c r="G12" i="5"/>
  <c r="G14" i="5"/>
  <c r="G15" i="5"/>
  <c r="G18" i="5"/>
  <c r="G19" i="5"/>
  <c r="G20" i="5"/>
  <c r="G22" i="5"/>
  <c r="G23" i="5"/>
  <c r="L210" i="6"/>
  <c r="R210" i="6" s="1"/>
  <c r="G24" i="5"/>
  <c r="M10" i="5"/>
  <c r="D230" i="6"/>
  <c r="Q230" i="6" s="1"/>
  <c r="M13" i="5"/>
  <c r="D235" i="6"/>
  <c r="Q235" i="6" s="1"/>
  <c r="M18" i="5"/>
  <c r="M20" i="5"/>
  <c r="D240" i="6"/>
  <c r="M50" i="5" s="1"/>
  <c r="M23" i="5"/>
  <c r="M25" i="5"/>
  <c r="D321" i="6"/>
  <c r="K38" i="5" s="1"/>
  <c r="D380" i="6"/>
  <c r="Q380" i="6" s="1"/>
  <c r="D382" i="6"/>
  <c r="P37" i="5" s="1"/>
  <c r="D385" i="6"/>
  <c r="P40" i="5" s="1"/>
  <c r="D390" i="6"/>
  <c r="Q390" i="6" s="1"/>
  <c r="D393" i="6"/>
  <c r="P48" i="5" s="1"/>
  <c r="D395" i="6"/>
  <c r="P50" i="5" s="1"/>
  <c r="D443" i="6"/>
  <c r="Q443" i="6" s="1"/>
  <c r="B10" i="5"/>
  <c r="D78" i="6"/>
  <c r="C41" i="5" s="1"/>
  <c r="D80" i="6"/>
  <c r="C43" i="5" s="1"/>
  <c r="H84" i="5"/>
  <c r="C12" i="5"/>
  <c r="C13" i="5"/>
  <c r="C15" i="5"/>
  <c r="D22" i="5"/>
  <c r="F9" i="5"/>
  <c r="F12" i="5"/>
  <c r="F15" i="5"/>
  <c r="F17" i="5"/>
  <c r="F24" i="5"/>
  <c r="G71" i="5"/>
  <c r="G72" i="5"/>
  <c r="G83" i="5"/>
  <c r="J18" i="5"/>
  <c r="E25" i="5"/>
  <c r="F19" i="5"/>
  <c r="F20" i="5"/>
  <c r="G67" i="5"/>
  <c r="G68" i="5"/>
  <c r="G73" i="5"/>
  <c r="G76" i="5"/>
  <c r="G81" i="5"/>
  <c r="J10" i="5"/>
  <c r="H25" i="5"/>
  <c r="D259" i="6"/>
  <c r="I38" i="5" s="1"/>
  <c r="D269" i="6"/>
  <c r="Q269" i="6" s="1"/>
  <c r="K10" i="5"/>
  <c r="C24" i="5"/>
  <c r="C25" i="5"/>
  <c r="D9" i="5"/>
  <c r="D17" i="5"/>
  <c r="D18" i="5"/>
  <c r="L27" i="6"/>
  <c r="H112" i="5" s="1"/>
  <c r="D42" i="6"/>
  <c r="B69" i="5"/>
  <c r="B73" i="5"/>
  <c r="D51" i="6"/>
  <c r="B45" i="5" s="1"/>
  <c r="L51" i="6"/>
  <c r="R51" i="6" s="1"/>
  <c r="B77" i="5"/>
  <c r="B78" i="5"/>
  <c r="B81" i="5"/>
  <c r="D57" i="6"/>
  <c r="D72" i="6"/>
  <c r="Q72" i="6" s="1"/>
  <c r="D77" i="6"/>
  <c r="C40" i="5" s="1"/>
  <c r="D79" i="6"/>
  <c r="C42" i="5" s="1"/>
  <c r="L79" i="6"/>
  <c r="C101" i="5" s="1"/>
  <c r="D82" i="6"/>
  <c r="C78" i="5"/>
  <c r="D87" i="6"/>
  <c r="D89" i="6"/>
  <c r="C52" i="5" s="1"/>
  <c r="L89" i="6"/>
  <c r="D102" i="6"/>
  <c r="Q102" i="6" s="1"/>
  <c r="L104" i="6"/>
  <c r="D96" i="5" s="1"/>
  <c r="D107" i="6"/>
  <c r="D72" i="5"/>
  <c r="D112" i="6"/>
  <c r="D45" i="5" s="1"/>
  <c r="D114" i="6"/>
  <c r="D47" i="5" s="1"/>
  <c r="L114" i="6"/>
  <c r="D133" i="6"/>
  <c r="Q133" i="6" s="1"/>
  <c r="D135" i="6"/>
  <c r="Q135" i="6" s="1"/>
  <c r="E68" i="5"/>
  <c r="L135" i="6"/>
  <c r="E96" i="5" s="1"/>
  <c r="E69" i="5"/>
  <c r="D138" i="6"/>
  <c r="E40" i="5" s="1"/>
  <c r="E71" i="5"/>
  <c r="E72" i="5"/>
  <c r="D140" i="6"/>
  <c r="E42" i="5" s="1"/>
  <c r="L140" i="6"/>
  <c r="D143" i="6"/>
  <c r="Q143" i="6" s="1"/>
  <c r="E76" i="5"/>
  <c r="E77" i="5"/>
  <c r="D145" i="6"/>
  <c r="Q145" i="6" s="1"/>
  <c r="L145" i="6"/>
  <c r="R145" i="6" s="1"/>
  <c r="E79" i="5"/>
  <c r="D148" i="6"/>
  <c r="E50" i="5" s="1"/>
  <c r="E81" i="5"/>
  <c r="D150" i="6"/>
  <c r="E52" i="5" s="1"/>
  <c r="L150" i="6"/>
  <c r="R150" i="6" s="1"/>
  <c r="E84" i="5"/>
  <c r="D164" i="6"/>
  <c r="Q164" i="6" s="1"/>
  <c r="D165" i="6"/>
  <c r="F36" i="5" s="1"/>
  <c r="D166" i="6"/>
  <c r="F37" i="5" s="1"/>
  <c r="D169" i="6"/>
  <c r="F40" i="5" s="1"/>
  <c r="D171" i="6"/>
  <c r="Q171" i="6" s="1"/>
  <c r="D172" i="6"/>
  <c r="F43" i="5" s="1"/>
  <c r="F74" i="5"/>
  <c r="D174" i="6"/>
  <c r="F45" i="5" s="1"/>
  <c r="D176" i="6"/>
  <c r="F47" i="5" s="1"/>
  <c r="F78" i="5"/>
  <c r="D179" i="6"/>
  <c r="F50" i="5" s="1"/>
  <c r="D180" i="6"/>
  <c r="Q180" i="6" s="1"/>
  <c r="D181" i="6"/>
  <c r="F52" i="5" s="1"/>
  <c r="L194" i="6"/>
  <c r="R194" i="6" s="1"/>
  <c r="L195" i="6"/>
  <c r="R195" i="6" s="1"/>
  <c r="G9" i="5"/>
  <c r="L196" i="6"/>
  <c r="G96" i="5" s="1"/>
  <c r="D197" i="6"/>
  <c r="G38" i="5" s="1"/>
  <c r="L197" i="6"/>
  <c r="G97" i="5" s="1"/>
  <c r="L199" i="6"/>
  <c r="G99" i="5" s="1"/>
  <c r="G13" i="5"/>
  <c r="L201" i="6"/>
  <c r="G101" i="5" s="1"/>
  <c r="D202" i="6"/>
  <c r="Q202" i="6" s="1"/>
  <c r="L202" i="6"/>
  <c r="R202" i="6" s="1"/>
  <c r="G17" i="5"/>
  <c r="L204" i="6"/>
  <c r="G104" i="5" s="1"/>
  <c r="L205" i="6"/>
  <c r="G105" i="5" s="1"/>
  <c r="L206" i="6"/>
  <c r="R206" i="6" s="1"/>
  <c r="D207" i="6"/>
  <c r="L207" i="6"/>
  <c r="R207" i="6" s="1"/>
  <c r="L209" i="6"/>
  <c r="G109" i="5" s="1"/>
  <c r="L211" i="6"/>
  <c r="G111" i="5" s="1"/>
  <c r="G25" i="5"/>
  <c r="D212" i="6"/>
  <c r="G53" i="5" s="1"/>
  <c r="L212" i="6"/>
  <c r="R212" i="6" s="1"/>
  <c r="D225" i="6"/>
  <c r="Q225" i="6" s="1"/>
  <c r="M8" i="5"/>
  <c r="M15" i="5"/>
  <c r="D290" i="6"/>
  <c r="J38" i="5" s="1"/>
  <c r="D300" i="6"/>
  <c r="J48" i="5" s="1"/>
  <c r="D14" i="5"/>
  <c r="D15" i="5"/>
  <c r="D19" i="5"/>
  <c r="D23" i="5"/>
  <c r="D41" i="6"/>
  <c r="Q41" i="6" s="1"/>
  <c r="L41" i="6"/>
  <c r="R41" i="6" s="1"/>
  <c r="D43" i="6"/>
  <c r="B37" i="5" s="1"/>
  <c r="L43" i="6"/>
  <c r="B96" i="5" s="1"/>
  <c r="D46" i="6"/>
  <c r="B40" i="5" s="1"/>
  <c r="B72" i="5"/>
  <c r="D48" i="6"/>
  <c r="Q48" i="6" s="1"/>
  <c r="L48" i="6"/>
  <c r="B101" i="5" s="1"/>
  <c r="B74" i="5"/>
  <c r="D53" i="6"/>
  <c r="B47" i="5" s="1"/>
  <c r="D56" i="6"/>
  <c r="B50" i="5" s="1"/>
  <c r="L56" i="6"/>
  <c r="B109" i="5" s="1"/>
  <c r="B82" i="5"/>
  <c r="D58" i="6"/>
  <c r="Q58" i="6" s="1"/>
  <c r="L58" i="6"/>
  <c r="R58" i="6" s="1"/>
  <c r="B84" i="5"/>
  <c r="D74" i="6"/>
  <c r="C37" i="5" s="1"/>
  <c r="L74" i="6"/>
  <c r="C96" i="5" s="1"/>
  <c r="D84" i="6"/>
  <c r="C47" i="5" s="1"/>
  <c r="L84" i="6"/>
  <c r="C106" i="5" s="1"/>
  <c r="C82" i="5"/>
  <c r="D104" i="6"/>
  <c r="D37" i="5" s="1"/>
  <c r="D68" i="5"/>
  <c r="D109" i="6"/>
  <c r="D42" i="5" s="1"/>
  <c r="L109" i="6"/>
  <c r="D101" i="5" s="1"/>
  <c r="D76" i="5"/>
  <c r="D117" i="6"/>
  <c r="D50" i="5" s="1"/>
  <c r="D119" i="6"/>
  <c r="Q119" i="6" s="1"/>
  <c r="L119" i="6"/>
  <c r="R119" i="6" s="1"/>
  <c r="D84" i="5"/>
  <c r="I13" i="5"/>
  <c r="I15" i="5"/>
  <c r="I23" i="5"/>
  <c r="L151" i="6"/>
  <c r="E112" i="5" s="1"/>
  <c r="M24" i="5"/>
  <c r="P23" i="5"/>
  <c r="L23" i="5"/>
  <c r="O22" i="5"/>
  <c r="N20" i="5"/>
  <c r="I19" i="5"/>
  <c r="P18" i="5"/>
  <c r="P15" i="5"/>
  <c r="O14" i="5"/>
  <c r="N13" i="5"/>
  <c r="P24" i="5"/>
  <c r="K18" i="5"/>
  <c r="D356" i="6"/>
  <c r="L42" i="5" s="1"/>
  <c r="D366" i="6"/>
  <c r="M22" i="5"/>
  <c r="D226" i="6"/>
  <c r="M36" i="5" s="1"/>
  <c r="D231" i="6"/>
  <c r="Q231" i="6" s="1"/>
  <c r="D232" i="6"/>
  <c r="M42" i="5" s="1"/>
  <c r="D233" i="6"/>
  <c r="M43" i="5" s="1"/>
  <c r="D236" i="6"/>
  <c r="M46" i="5" s="1"/>
  <c r="D241" i="6"/>
  <c r="D242" i="6"/>
  <c r="M52" i="5" s="1"/>
  <c r="D243" i="6"/>
  <c r="D257" i="6"/>
  <c r="Q257" i="6" s="1"/>
  <c r="D263" i="6"/>
  <c r="I42" i="5" s="1"/>
  <c r="D264" i="6"/>
  <c r="I43" i="5" s="1"/>
  <c r="D267" i="6"/>
  <c r="I46" i="5" s="1"/>
  <c r="D273" i="6"/>
  <c r="Q273" i="6" s="1"/>
  <c r="D274" i="6"/>
  <c r="Q274" i="6" s="1"/>
  <c r="D288" i="6"/>
  <c r="J36" i="5" s="1"/>
  <c r="D293" i="6"/>
  <c r="J41" i="5" s="1"/>
  <c r="D294" i="6"/>
  <c r="D295" i="6"/>
  <c r="J43" i="5" s="1"/>
  <c r="D298" i="6"/>
  <c r="J46" i="5" s="1"/>
  <c r="D303" i="6"/>
  <c r="J51" i="5" s="1"/>
  <c r="D304" i="6"/>
  <c r="J52" i="5" s="1"/>
  <c r="D305" i="6"/>
  <c r="D319" i="6"/>
  <c r="Q319" i="6" s="1"/>
  <c r="D324" i="6"/>
  <c r="K41" i="5" s="1"/>
  <c r="D325" i="6"/>
  <c r="K42" i="5" s="1"/>
  <c r="D326" i="6"/>
  <c r="D329" i="6"/>
  <c r="K46" i="5" s="1"/>
  <c r="D334" i="6"/>
  <c r="K51" i="5" s="1"/>
  <c r="D335" i="6"/>
  <c r="K52" i="5" s="1"/>
  <c r="D336" i="6"/>
  <c r="K53" i="5" s="1"/>
  <c r="D350" i="6"/>
  <c r="L36" i="5" s="1"/>
  <c r="D355" i="6"/>
  <c r="L41" i="5" s="1"/>
  <c r="D357" i="6"/>
  <c r="L43" i="5" s="1"/>
  <c r="D360" i="6"/>
  <c r="L46" i="5" s="1"/>
  <c r="D365" i="6"/>
  <c r="L51" i="5" s="1"/>
  <c r="D367" i="6"/>
  <c r="L53" i="5" s="1"/>
  <c r="D381" i="6"/>
  <c r="P36" i="5" s="1"/>
  <c r="D386" i="6"/>
  <c r="P41" i="5" s="1"/>
  <c r="D387" i="6"/>
  <c r="P42" i="5" s="1"/>
  <c r="D388" i="6"/>
  <c r="P43" i="5" s="1"/>
  <c r="D391" i="6"/>
  <c r="P46" i="5" s="1"/>
  <c r="D396" i="6"/>
  <c r="P51" i="5" s="1"/>
  <c r="D397" i="6"/>
  <c r="P52" i="5" s="1"/>
  <c r="D398" i="6"/>
  <c r="P53" i="5" s="1"/>
  <c r="D411" i="6"/>
  <c r="Q411" i="6" s="1"/>
  <c r="D416" i="6"/>
  <c r="N41" i="5" s="1"/>
  <c r="D417" i="6"/>
  <c r="N42" i="5" s="1"/>
  <c r="D418" i="6"/>
  <c r="N43" i="5" s="1"/>
  <c r="D421" i="6"/>
  <c r="Q421" i="6" s="1"/>
  <c r="D426" i="6"/>
  <c r="N51" i="5" s="1"/>
  <c r="D427" i="6"/>
  <c r="D428" i="6"/>
  <c r="D441" i="6"/>
  <c r="O36" i="5" s="1"/>
  <c r="D446" i="6"/>
  <c r="Q446" i="6" s="1"/>
  <c r="D447" i="6"/>
  <c r="O42" i="5" s="1"/>
  <c r="D448" i="6"/>
  <c r="O43" i="5" s="1"/>
  <c r="D451" i="6"/>
  <c r="O46" i="5" s="1"/>
  <c r="D456" i="6"/>
  <c r="Q456" i="6" s="1"/>
  <c r="D457" i="6"/>
  <c r="O52" i="5" s="1"/>
  <c r="D458" i="6"/>
  <c r="Q320" i="6"/>
  <c r="B16" i="6"/>
  <c r="C16" i="6"/>
  <c r="E16" i="6"/>
  <c r="F16" i="6"/>
  <c r="G16" i="6"/>
  <c r="H16" i="6"/>
  <c r="J16" i="6"/>
  <c r="K16" i="6"/>
  <c r="M16" i="6"/>
  <c r="N16" i="6"/>
  <c r="P16" i="6"/>
  <c r="Q422" i="6" l="1"/>
  <c r="Q196" i="6"/>
  <c r="I45" i="5"/>
  <c r="L47" i="5"/>
  <c r="Q115" i="6"/>
  <c r="D107" i="5"/>
  <c r="B52" i="5"/>
  <c r="R120" i="6"/>
  <c r="Q204" i="6"/>
  <c r="C38" i="5"/>
  <c r="G106" i="5"/>
  <c r="O41" i="5"/>
  <c r="Q120" i="6"/>
  <c r="Q262" i="6"/>
  <c r="Q209" i="6"/>
  <c r="Q199" i="6"/>
  <c r="Q201" i="6"/>
  <c r="I53" i="5"/>
  <c r="Q206" i="6"/>
  <c r="Q302" i="6"/>
  <c r="Q445" i="6"/>
  <c r="G51" i="5"/>
  <c r="R146" i="6"/>
  <c r="D111" i="5"/>
  <c r="C109" i="5"/>
  <c r="Q56" i="6"/>
  <c r="Q144" i="6"/>
  <c r="G46" i="5"/>
  <c r="Q227" i="6"/>
  <c r="R172" i="6"/>
  <c r="R44" i="6"/>
  <c r="R175" i="6"/>
  <c r="R85" i="6"/>
  <c r="O45" i="5"/>
  <c r="C48" i="5"/>
  <c r="Q200" i="6"/>
  <c r="Q105" i="6"/>
  <c r="Q113" i="6"/>
  <c r="Q27" i="6"/>
  <c r="Q455" i="6"/>
  <c r="Q134" i="6"/>
  <c r="F99" i="5"/>
  <c r="M41" i="5"/>
  <c r="R171" i="6"/>
  <c r="R167" i="6"/>
  <c r="R176" i="6"/>
  <c r="B42" i="5"/>
  <c r="Q258" i="6"/>
  <c r="R59" i="6"/>
  <c r="Q80" i="6"/>
  <c r="Q79" i="6"/>
  <c r="L38" i="5"/>
  <c r="Q148" i="6"/>
  <c r="Q272" i="6"/>
  <c r="Q51" i="6"/>
  <c r="R143" i="6"/>
  <c r="R136" i="6"/>
  <c r="D99" i="5"/>
  <c r="B99" i="5"/>
  <c r="Q146" i="6"/>
  <c r="K40" i="5"/>
  <c r="O51" i="5"/>
  <c r="R108" i="6"/>
  <c r="Q88" i="6"/>
  <c r="Q84" i="6"/>
  <c r="Q382" i="6"/>
  <c r="R88" i="6"/>
  <c r="R75" i="6"/>
  <c r="Q412" i="6"/>
  <c r="R47" i="6"/>
  <c r="F107" i="5"/>
  <c r="B53" i="5"/>
  <c r="Q108" i="6"/>
  <c r="Q297" i="6"/>
  <c r="E45" i="5"/>
  <c r="Q425" i="6"/>
  <c r="L40" i="5"/>
  <c r="Q451" i="6"/>
  <c r="B41" i="5"/>
  <c r="R170" i="6"/>
  <c r="G110" i="5"/>
  <c r="M48" i="5"/>
  <c r="Q330" i="6"/>
  <c r="M45" i="5"/>
  <c r="C99" i="5"/>
  <c r="Q46" i="6"/>
  <c r="E102" i="5"/>
  <c r="R180" i="6"/>
  <c r="Q197" i="6"/>
  <c r="Q259" i="6"/>
  <c r="Q261" i="6"/>
  <c r="Q268" i="6"/>
  <c r="Q175" i="6"/>
  <c r="Q139" i="6"/>
  <c r="C36" i="5"/>
  <c r="D36" i="5"/>
  <c r="R179" i="6"/>
  <c r="G107" i="5"/>
  <c r="P45" i="5"/>
  <c r="Q110" i="6"/>
  <c r="C104" i="5"/>
  <c r="Q49" i="6"/>
  <c r="Q150" i="6"/>
  <c r="C112" i="5"/>
  <c r="Q136" i="6"/>
  <c r="Q300" i="6"/>
  <c r="Q237" i="6"/>
  <c r="Q413" i="6"/>
  <c r="R80" i="6"/>
  <c r="B48" i="5"/>
  <c r="E106" i="5"/>
  <c r="K45" i="5"/>
  <c r="Q420" i="6"/>
  <c r="B111" i="5"/>
  <c r="D102" i="5"/>
  <c r="Q195" i="6"/>
  <c r="R205" i="6"/>
  <c r="I48" i="5"/>
  <c r="Q417" i="6"/>
  <c r="R49" i="6"/>
  <c r="O37" i="5"/>
  <c r="J40" i="5"/>
  <c r="F104" i="5"/>
  <c r="R83" i="6"/>
  <c r="R52" i="6"/>
  <c r="Q74" i="6"/>
  <c r="R113" i="6"/>
  <c r="L48" i="5"/>
  <c r="N40" i="5"/>
  <c r="R139" i="6"/>
  <c r="G52" i="5"/>
  <c r="R117" i="6"/>
  <c r="Q165" i="6"/>
  <c r="G112" i="5"/>
  <c r="Q334" i="6"/>
  <c r="Q385" i="6"/>
  <c r="R112" i="6"/>
  <c r="R57" i="6"/>
  <c r="R144" i="6"/>
  <c r="C100" i="5"/>
  <c r="Q52" i="6"/>
  <c r="Q83" i="6"/>
  <c r="R149" i="6"/>
  <c r="Q140" i="6"/>
  <c r="F112" i="5"/>
  <c r="K36" i="5"/>
  <c r="O38" i="5"/>
  <c r="Q396" i="6"/>
  <c r="R148" i="6"/>
  <c r="R138" i="6"/>
  <c r="P47" i="5"/>
  <c r="E43" i="5"/>
  <c r="F53" i="5"/>
  <c r="R54" i="6"/>
  <c r="R166" i="6"/>
  <c r="M40" i="5"/>
  <c r="Q228" i="6"/>
  <c r="E47" i="5"/>
  <c r="Q236" i="6"/>
  <c r="R79" i="6"/>
  <c r="Q170" i="6"/>
  <c r="Q304" i="6"/>
  <c r="Q351" i="6"/>
  <c r="R105" i="6"/>
  <c r="F51" i="5"/>
  <c r="Q324" i="6"/>
  <c r="Q364" i="6"/>
  <c r="Q452" i="6"/>
  <c r="Q90" i="6"/>
  <c r="Q53" i="6"/>
  <c r="R181" i="6"/>
  <c r="R197" i="6"/>
  <c r="Q393" i="6"/>
  <c r="Q43" i="6"/>
  <c r="R118" i="6"/>
  <c r="Q167" i="6"/>
  <c r="I52" i="5"/>
  <c r="Q395" i="6"/>
  <c r="Q179" i="6"/>
  <c r="J37" i="5"/>
  <c r="R104" i="6"/>
  <c r="Q114" i="6"/>
  <c r="R84" i="6"/>
  <c r="R43" i="6"/>
  <c r="R74" i="6"/>
  <c r="D52" i="5"/>
  <c r="R109" i="6"/>
  <c r="Q138" i="6"/>
  <c r="G43" i="5"/>
  <c r="Q232" i="6"/>
  <c r="Q267" i="6"/>
  <c r="J47" i="5"/>
  <c r="Q333" i="6"/>
  <c r="Q398" i="6"/>
  <c r="O48" i="5"/>
  <c r="Q383" i="6"/>
  <c r="R53" i="6"/>
  <c r="Q151" i="6"/>
  <c r="R200" i="6"/>
  <c r="E111" i="5"/>
  <c r="N36" i="5"/>
  <c r="B104" i="5"/>
  <c r="Q295" i="6"/>
  <c r="Q331" i="6"/>
  <c r="I50" i="5"/>
  <c r="Q44" i="6"/>
  <c r="E37" i="5"/>
  <c r="F42" i="5"/>
  <c r="G102" i="5"/>
  <c r="E51" i="5"/>
  <c r="Q359" i="6"/>
  <c r="Q118" i="6"/>
  <c r="H73" i="5"/>
  <c r="Q350" i="6"/>
  <c r="Q293" i="6"/>
  <c r="Q360" i="6"/>
  <c r="Q418" i="6"/>
  <c r="Q447" i="6"/>
  <c r="R48" i="6"/>
  <c r="Q89" i="6"/>
  <c r="Q321" i="6"/>
  <c r="Q177" i="6"/>
  <c r="Q423" i="6"/>
  <c r="Q387" i="6"/>
  <c r="R209" i="6"/>
  <c r="Q367" i="6"/>
  <c r="Q264" i="6"/>
  <c r="Q212" i="6"/>
  <c r="Q240" i="6"/>
  <c r="Q288" i="6"/>
  <c r="Q457" i="6"/>
  <c r="Q386" i="6"/>
  <c r="Q109" i="6"/>
  <c r="H14" i="5"/>
  <c r="Q263" i="6"/>
  <c r="Q303" i="6"/>
  <c r="Q335" i="6"/>
  <c r="Q336" i="6"/>
  <c r="Q448" i="6"/>
  <c r="Q427" i="6"/>
  <c r="N52" i="5"/>
  <c r="Q356" i="6"/>
  <c r="Q388" i="6"/>
  <c r="Q233" i="6"/>
  <c r="Q226" i="6"/>
  <c r="Q107" i="6"/>
  <c r="D40" i="5"/>
  <c r="Q82" i="6"/>
  <c r="C45" i="5"/>
  <c r="R204" i="6"/>
  <c r="R196" i="6"/>
  <c r="Q298" i="6"/>
  <c r="Q174" i="6"/>
  <c r="Q166" i="6"/>
  <c r="Q78" i="6"/>
  <c r="Q77" i="6"/>
  <c r="N46" i="5"/>
  <c r="Q326" i="6"/>
  <c r="K43" i="5"/>
  <c r="Q305" i="6"/>
  <c r="J53" i="5"/>
  <c r="Q241" i="6"/>
  <c r="M51" i="5"/>
  <c r="Q366" i="6"/>
  <c r="L52" i="5"/>
  <c r="Q381" i="6"/>
  <c r="R151" i="6"/>
  <c r="R140" i="6"/>
  <c r="E101" i="5"/>
  <c r="Q87" i="6"/>
  <c r="C50" i="5"/>
  <c r="Q57" i="6"/>
  <c r="B51" i="5"/>
  <c r="Q104" i="6"/>
  <c r="Q397" i="6"/>
  <c r="Q290" i="6"/>
  <c r="Q181" i="6"/>
  <c r="Q172" i="6"/>
  <c r="R27" i="6"/>
  <c r="Q294" i="6"/>
  <c r="J42" i="5"/>
  <c r="Q207" i="6"/>
  <c r="G48" i="5"/>
  <c r="R56" i="6"/>
  <c r="Q42" i="6"/>
  <c r="B36" i="5"/>
  <c r="Q329" i="6"/>
  <c r="R201" i="6"/>
  <c r="Q176" i="6"/>
  <c r="I36" i="5"/>
  <c r="Q325" i="6"/>
  <c r="Q426" i="6"/>
  <c r="Q441" i="6"/>
  <c r="Q357" i="6"/>
  <c r="Q458" i="6"/>
  <c r="O53" i="5"/>
  <c r="Q428" i="6"/>
  <c r="N53" i="5"/>
  <c r="Q243" i="6"/>
  <c r="M53" i="5"/>
  <c r="Q355" i="6"/>
  <c r="Q391" i="6"/>
  <c r="Q365" i="6"/>
  <c r="R135" i="6"/>
  <c r="R114" i="6"/>
  <c r="D106" i="5"/>
  <c r="R89" i="6"/>
  <c r="C111" i="5"/>
  <c r="Q112" i="6"/>
  <c r="Q242" i="6"/>
  <c r="Q416" i="6"/>
  <c r="R211" i="6"/>
  <c r="R199" i="6"/>
  <c r="Q169" i="6"/>
  <c r="Q117" i="6"/>
  <c r="L16" i="6"/>
  <c r="H101" i="5" s="1"/>
  <c r="D16" i="6"/>
  <c r="H42" i="5" s="1"/>
  <c r="H398" i="8" l="1"/>
  <c r="G398" i="8"/>
  <c r="F398" i="8"/>
  <c r="E398" i="8"/>
  <c r="C398" i="8"/>
  <c r="B398" i="8"/>
  <c r="H397" i="8"/>
  <c r="G397" i="8"/>
  <c r="F397" i="8"/>
  <c r="E397" i="8"/>
  <c r="C397" i="8"/>
  <c r="B397" i="8"/>
  <c r="H396" i="8"/>
  <c r="G396" i="8"/>
  <c r="F396" i="8"/>
  <c r="E396" i="8"/>
  <c r="C396" i="8"/>
  <c r="B396" i="8"/>
  <c r="H395" i="8"/>
  <c r="G395" i="8"/>
  <c r="F395" i="8"/>
  <c r="E395" i="8"/>
  <c r="C395" i="8"/>
  <c r="B395" i="8"/>
  <c r="H393" i="8"/>
  <c r="G393" i="8"/>
  <c r="F393" i="8"/>
  <c r="E393" i="8"/>
  <c r="C393" i="8"/>
  <c r="B393" i="8"/>
  <c r="H392" i="8"/>
  <c r="G392" i="8"/>
  <c r="F392" i="8"/>
  <c r="E392" i="8"/>
  <c r="C392" i="8"/>
  <c r="B392" i="8"/>
  <c r="H391" i="8"/>
  <c r="G391" i="8"/>
  <c r="F391" i="8"/>
  <c r="E391" i="8"/>
  <c r="C391" i="8"/>
  <c r="B391" i="8"/>
  <c r="H390" i="8"/>
  <c r="G390" i="8"/>
  <c r="F390" i="8"/>
  <c r="E390" i="8"/>
  <c r="C390" i="8"/>
  <c r="B390" i="8"/>
  <c r="H388" i="8"/>
  <c r="G388" i="8"/>
  <c r="F388" i="8"/>
  <c r="E388" i="8"/>
  <c r="C388" i="8"/>
  <c r="B388" i="8"/>
  <c r="H387" i="8"/>
  <c r="G387" i="8"/>
  <c r="F387" i="8"/>
  <c r="E387" i="8"/>
  <c r="C387" i="8"/>
  <c r="B387" i="8"/>
  <c r="H386" i="8"/>
  <c r="G386" i="8"/>
  <c r="F386" i="8"/>
  <c r="E386" i="8"/>
  <c r="C386" i="8"/>
  <c r="B386" i="8"/>
  <c r="H385" i="8"/>
  <c r="G385" i="8"/>
  <c r="F385" i="8"/>
  <c r="E385" i="8"/>
  <c r="C385" i="8"/>
  <c r="B385" i="8"/>
  <c r="H383" i="8"/>
  <c r="G383" i="8"/>
  <c r="F383" i="8"/>
  <c r="E383" i="8"/>
  <c r="C383" i="8"/>
  <c r="B383" i="8"/>
  <c r="H382" i="8"/>
  <c r="G382" i="8"/>
  <c r="F382" i="8"/>
  <c r="E382" i="8"/>
  <c r="C382" i="8"/>
  <c r="B382" i="8"/>
  <c r="H381" i="8"/>
  <c r="G381" i="8"/>
  <c r="F381" i="8"/>
  <c r="E381" i="8"/>
  <c r="C381" i="8"/>
  <c r="B381" i="8"/>
  <c r="H380" i="8"/>
  <c r="G380" i="8"/>
  <c r="F380" i="8"/>
  <c r="E380" i="8"/>
  <c r="C380" i="8"/>
  <c r="B380" i="8"/>
  <c r="H458" i="8"/>
  <c r="G458" i="8"/>
  <c r="F458" i="8"/>
  <c r="E458" i="8"/>
  <c r="C458" i="8"/>
  <c r="B458" i="8"/>
  <c r="H457" i="8"/>
  <c r="G457" i="8"/>
  <c r="F457" i="8"/>
  <c r="E457" i="8"/>
  <c r="C457" i="8"/>
  <c r="B457" i="8"/>
  <c r="H456" i="8"/>
  <c r="G456" i="8"/>
  <c r="F456" i="8"/>
  <c r="E456" i="8"/>
  <c r="C456" i="8"/>
  <c r="B456" i="8"/>
  <c r="H455" i="8"/>
  <c r="G455" i="8"/>
  <c r="F455" i="8"/>
  <c r="E455" i="8"/>
  <c r="C455" i="8"/>
  <c r="B455" i="8"/>
  <c r="H453" i="8"/>
  <c r="G453" i="8"/>
  <c r="F453" i="8"/>
  <c r="E453" i="8"/>
  <c r="C453" i="8"/>
  <c r="B453" i="8"/>
  <c r="H452" i="8"/>
  <c r="G452" i="8"/>
  <c r="F452" i="8"/>
  <c r="E452" i="8"/>
  <c r="C452" i="8"/>
  <c r="B452" i="8"/>
  <c r="H451" i="8"/>
  <c r="G451" i="8"/>
  <c r="F451" i="8"/>
  <c r="E451" i="8"/>
  <c r="C451" i="8"/>
  <c r="B451" i="8"/>
  <c r="H450" i="8"/>
  <c r="G450" i="8"/>
  <c r="F450" i="8"/>
  <c r="E450" i="8"/>
  <c r="C450" i="8"/>
  <c r="B450" i="8"/>
  <c r="H448" i="8"/>
  <c r="G448" i="8"/>
  <c r="F448" i="8"/>
  <c r="E448" i="8"/>
  <c r="C448" i="8"/>
  <c r="B448" i="8"/>
  <c r="H447" i="8"/>
  <c r="G447" i="8"/>
  <c r="F447" i="8"/>
  <c r="E447" i="8"/>
  <c r="C447" i="8"/>
  <c r="B447" i="8"/>
  <c r="H446" i="8"/>
  <c r="G446" i="8"/>
  <c r="F446" i="8"/>
  <c r="E446" i="8"/>
  <c r="C446" i="8"/>
  <c r="B446" i="8"/>
  <c r="H445" i="8"/>
  <c r="G445" i="8"/>
  <c r="F445" i="8"/>
  <c r="E445" i="8"/>
  <c r="C445" i="8"/>
  <c r="B445" i="8"/>
  <c r="H443" i="8"/>
  <c r="G443" i="8"/>
  <c r="F443" i="8"/>
  <c r="E443" i="8"/>
  <c r="C443" i="8"/>
  <c r="B443" i="8"/>
  <c r="H442" i="8"/>
  <c r="G442" i="8"/>
  <c r="F442" i="8"/>
  <c r="E442" i="8"/>
  <c r="C442" i="8"/>
  <c r="B442" i="8"/>
  <c r="H441" i="8"/>
  <c r="G441" i="8"/>
  <c r="F441" i="8"/>
  <c r="E441" i="8"/>
  <c r="C441" i="8"/>
  <c r="B441" i="8"/>
  <c r="H440" i="8"/>
  <c r="G440" i="8"/>
  <c r="F440" i="8"/>
  <c r="E440" i="8"/>
  <c r="C440" i="8"/>
  <c r="B440" i="8"/>
  <c r="H428" i="8"/>
  <c r="G428" i="8"/>
  <c r="F428" i="8"/>
  <c r="E428" i="8"/>
  <c r="C428" i="8"/>
  <c r="B428" i="8"/>
  <c r="H427" i="8"/>
  <c r="G427" i="8"/>
  <c r="F427" i="8"/>
  <c r="E427" i="8"/>
  <c r="C427" i="8"/>
  <c r="B427" i="8"/>
  <c r="H426" i="8"/>
  <c r="G426" i="8"/>
  <c r="F426" i="8"/>
  <c r="E426" i="8"/>
  <c r="C426" i="8"/>
  <c r="B426" i="8"/>
  <c r="H425" i="8"/>
  <c r="G425" i="8"/>
  <c r="F425" i="8"/>
  <c r="E425" i="8"/>
  <c r="C425" i="8"/>
  <c r="B425" i="8"/>
  <c r="H423" i="8"/>
  <c r="G423" i="8"/>
  <c r="F423" i="8"/>
  <c r="E423" i="8"/>
  <c r="C423" i="8"/>
  <c r="B423" i="8"/>
  <c r="H422" i="8"/>
  <c r="G422" i="8"/>
  <c r="F422" i="8"/>
  <c r="E422" i="8"/>
  <c r="C422" i="8"/>
  <c r="B422" i="8"/>
  <c r="H421" i="8"/>
  <c r="G421" i="8"/>
  <c r="F421" i="8"/>
  <c r="E421" i="8"/>
  <c r="C421" i="8"/>
  <c r="B421" i="8"/>
  <c r="H420" i="8"/>
  <c r="G420" i="8"/>
  <c r="F420" i="8"/>
  <c r="E420" i="8"/>
  <c r="C420" i="8"/>
  <c r="B420" i="8"/>
  <c r="H418" i="8"/>
  <c r="G418" i="8"/>
  <c r="F418" i="8"/>
  <c r="E418" i="8"/>
  <c r="C418" i="8"/>
  <c r="B418" i="8"/>
  <c r="H417" i="8"/>
  <c r="G417" i="8"/>
  <c r="F417" i="8"/>
  <c r="E417" i="8"/>
  <c r="C417" i="8"/>
  <c r="B417" i="8"/>
  <c r="H416" i="8"/>
  <c r="G416" i="8"/>
  <c r="F416" i="8"/>
  <c r="E416" i="8"/>
  <c r="C416" i="8"/>
  <c r="B416" i="8"/>
  <c r="H415" i="8"/>
  <c r="G415" i="8"/>
  <c r="F415" i="8"/>
  <c r="E415" i="8"/>
  <c r="C415" i="8"/>
  <c r="B415" i="8"/>
  <c r="H413" i="8"/>
  <c r="G413" i="8"/>
  <c r="F413" i="8"/>
  <c r="E413" i="8"/>
  <c r="C413" i="8"/>
  <c r="B413" i="8"/>
  <c r="H412" i="8"/>
  <c r="G412" i="8"/>
  <c r="F412" i="8"/>
  <c r="E412" i="8"/>
  <c r="C412" i="8"/>
  <c r="B412" i="8"/>
  <c r="H411" i="8"/>
  <c r="G411" i="8"/>
  <c r="F411" i="8"/>
  <c r="E411" i="8"/>
  <c r="C411" i="8"/>
  <c r="B411" i="8"/>
  <c r="H410" i="8"/>
  <c r="G410" i="8"/>
  <c r="F410" i="8"/>
  <c r="E410" i="8"/>
  <c r="C410" i="8"/>
  <c r="B410" i="8"/>
  <c r="H367" i="8"/>
  <c r="G367" i="8"/>
  <c r="F367" i="8"/>
  <c r="E367" i="8"/>
  <c r="C367" i="8"/>
  <c r="B367" i="8"/>
  <c r="H366" i="8"/>
  <c r="G366" i="8"/>
  <c r="F366" i="8"/>
  <c r="E366" i="8"/>
  <c r="C366" i="8"/>
  <c r="B366" i="8"/>
  <c r="H365" i="8"/>
  <c r="G365" i="8"/>
  <c r="F365" i="8"/>
  <c r="E365" i="8"/>
  <c r="C365" i="8"/>
  <c r="B365" i="8"/>
  <c r="H364" i="8"/>
  <c r="G364" i="8"/>
  <c r="F364" i="8"/>
  <c r="E364" i="8"/>
  <c r="C364" i="8"/>
  <c r="B364" i="8"/>
  <c r="H362" i="8"/>
  <c r="G362" i="8"/>
  <c r="F362" i="8"/>
  <c r="E362" i="8"/>
  <c r="C362" i="8"/>
  <c r="B362" i="8"/>
  <c r="H361" i="8"/>
  <c r="G361" i="8"/>
  <c r="F361" i="8"/>
  <c r="E361" i="8"/>
  <c r="C361" i="8"/>
  <c r="B361" i="8"/>
  <c r="H360" i="8"/>
  <c r="G360" i="8"/>
  <c r="F360" i="8"/>
  <c r="E360" i="8"/>
  <c r="C360" i="8"/>
  <c r="B360" i="8"/>
  <c r="H359" i="8"/>
  <c r="G359" i="8"/>
  <c r="F359" i="8"/>
  <c r="E359" i="8"/>
  <c r="C359" i="8"/>
  <c r="B359" i="8"/>
  <c r="H357" i="8"/>
  <c r="G357" i="8"/>
  <c r="F357" i="8"/>
  <c r="E357" i="8"/>
  <c r="C357" i="8"/>
  <c r="B357" i="8"/>
  <c r="H356" i="8"/>
  <c r="G356" i="8"/>
  <c r="F356" i="8"/>
  <c r="E356" i="8"/>
  <c r="C356" i="8"/>
  <c r="B356" i="8"/>
  <c r="H355" i="8"/>
  <c r="G355" i="8"/>
  <c r="F355" i="8"/>
  <c r="E355" i="8"/>
  <c r="C355" i="8"/>
  <c r="B355" i="8"/>
  <c r="H354" i="8"/>
  <c r="G354" i="8"/>
  <c r="F354" i="8"/>
  <c r="E354" i="8"/>
  <c r="C354" i="8"/>
  <c r="B354" i="8"/>
  <c r="H352" i="8"/>
  <c r="G352" i="8"/>
  <c r="F352" i="8"/>
  <c r="E352" i="8"/>
  <c r="C352" i="8"/>
  <c r="B352" i="8"/>
  <c r="H351" i="8"/>
  <c r="G351" i="8"/>
  <c r="F351" i="8"/>
  <c r="E351" i="8"/>
  <c r="C351" i="8"/>
  <c r="B351" i="8"/>
  <c r="H350" i="8"/>
  <c r="G350" i="8"/>
  <c r="F350" i="8"/>
  <c r="E350" i="8"/>
  <c r="C350" i="8"/>
  <c r="B350" i="8"/>
  <c r="H349" i="8"/>
  <c r="G349" i="8"/>
  <c r="F349" i="8"/>
  <c r="E349" i="8"/>
  <c r="C349" i="8"/>
  <c r="B349" i="8"/>
  <c r="H336" i="8"/>
  <c r="G336" i="8"/>
  <c r="F336" i="8"/>
  <c r="E336" i="8"/>
  <c r="C336" i="8"/>
  <c r="B336" i="8"/>
  <c r="H335" i="8"/>
  <c r="G335" i="8"/>
  <c r="F335" i="8"/>
  <c r="E335" i="8"/>
  <c r="C335" i="8"/>
  <c r="B335" i="8"/>
  <c r="H334" i="8"/>
  <c r="G334" i="8"/>
  <c r="F334" i="8"/>
  <c r="E334" i="8"/>
  <c r="C334" i="8"/>
  <c r="B334" i="8"/>
  <c r="H333" i="8"/>
  <c r="G333" i="8"/>
  <c r="F333" i="8"/>
  <c r="E333" i="8"/>
  <c r="C333" i="8"/>
  <c r="B333" i="8"/>
  <c r="H331" i="8"/>
  <c r="G331" i="8"/>
  <c r="F331" i="8"/>
  <c r="E331" i="8"/>
  <c r="C331" i="8"/>
  <c r="B331" i="8"/>
  <c r="H330" i="8"/>
  <c r="G330" i="8"/>
  <c r="F330" i="8"/>
  <c r="E330" i="8"/>
  <c r="C330" i="8"/>
  <c r="B330" i="8"/>
  <c r="H329" i="8"/>
  <c r="G329" i="8"/>
  <c r="F329" i="8"/>
  <c r="E329" i="8"/>
  <c r="C329" i="8"/>
  <c r="B329" i="8"/>
  <c r="H328" i="8"/>
  <c r="G328" i="8"/>
  <c r="F328" i="8"/>
  <c r="E328" i="8"/>
  <c r="C328" i="8"/>
  <c r="B328" i="8"/>
  <c r="H326" i="8"/>
  <c r="G326" i="8"/>
  <c r="F326" i="8"/>
  <c r="E326" i="8"/>
  <c r="C326" i="8"/>
  <c r="B326" i="8"/>
  <c r="H325" i="8"/>
  <c r="G325" i="8"/>
  <c r="F325" i="8"/>
  <c r="E325" i="8"/>
  <c r="C325" i="8"/>
  <c r="B325" i="8"/>
  <c r="H324" i="8"/>
  <c r="G324" i="8"/>
  <c r="F324" i="8"/>
  <c r="E324" i="8"/>
  <c r="C324" i="8"/>
  <c r="B324" i="8"/>
  <c r="H323" i="8"/>
  <c r="G323" i="8"/>
  <c r="F323" i="8"/>
  <c r="E323" i="8"/>
  <c r="C323" i="8"/>
  <c r="B323" i="8"/>
  <c r="H321" i="8"/>
  <c r="G321" i="8"/>
  <c r="F321" i="8"/>
  <c r="E321" i="8"/>
  <c r="C321" i="8"/>
  <c r="B321" i="8"/>
  <c r="H320" i="8"/>
  <c r="G320" i="8"/>
  <c r="F320" i="8"/>
  <c r="E320" i="8"/>
  <c r="C320" i="8"/>
  <c r="B320" i="8"/>
  <c r="H319" i="8"/>
  <c r="G319" i="8"/>
  <c r="F319" i="8"/>
  <c r="E319" i="8"/>
  <c r="C319" i="8"/>
  <c r="B319" i="8"/>
  <c r="H318" i="8"/>
  <c r="G318" i="8"/>
  <c r="F318" i="8"/>
  <c r="E318" i="8"/>
  <c r="C318" i="8"/>
  <c r="B318" i="8"/>
  <c r="H305" i="8"/>
  <c r="G305" i="8"/>
  <c r="F305" i="8"/>
  <c r="E305" i="8"/>
  <c r="C305" i="8"/>
  <c r="B305" i="8"/>
  <c r="H304" i="8"/>
  <c r="G304" i="8"/>
  <c r="F304" i="8"/>
  <c r="E304" i="8"/>
  <c r="C304" i="8"/>
  <c r="B304" i="8"/>
  <c r="H303" i="8"/>
  <c r="G303" i="8"/>
  <c r="F303" i="8"/>
  <c r="E303" i="8"/>
  <c r="C303" i="8"/>
  <c r="B303" i="8"/>
  <c r="H302" i="8"/>
  <c r="G302" i="8"/>
  <c r="F302" i="8"/>
  <c r="E302" i="8"/>
  <c r="C302" i="8"/>
  <c r="B302" i="8"/>
  <c r="H300" i="8"/>
  <c r="G300" i="8"/>
  <c r="F300" i="8"/>
  <c r="E300" i="8"/>
  <c r="C300" i="8"/>
  <c r="B300" i="8"/>
  <c r="H299" i="8"/>
  <c r="G299" i="8"/>
  <c r="F299" i="8"/>
  <c r="E299" i="8"/>
  <c r="C299" i="8"/>
  <c r="B299" i="8"/>
  <c r="H298" i="8"/>
  <c r="G298" i="8"/>
  <c r="F298" i="8"/>
  <c r="E298" i="8"/>
  <c r="C298" i="8"/>
  <c r="B298" i="8"/>
  <c r="H297" i="8"/>
  <c r="G297" i="8"/>
  <c r="F297" i="8"/>
  <c r="E297" i="8"/>
  <c r="C297" i="8"/>
  <c r="B297" i="8"/>
  <c r="H295" i="8"/>
  <c r="G295" i="8"/>
  <c r="F295" i="8"/>
  <c r="E295" i="8"/>
  <c r="C295" i="8"/>
  <c r="B295" i="8"/>
  <c r="H294" i="8"/>
  <c r="G294" i="8"/>
  <c r="F294" i="8"/>
  <c r="E294" i="8"/>
  <c r="C294" i="8"/>
  <c r="B294" i="8"/>
  <c r="H293" i="8"/>
  <c r="G293" i="8"/>
  <c r="F293" i="8"/>
  <c r="E293" i="8"/>
  <c r="C293" i="8"/>
  <c r="B293" i="8"/>
  <c r="H292" i="8"/>
  <c r="G292" i="8"/>
  <c r="F292" i="8"/>
  <c r="E292" i="8"/>
  <c r="C292" i="8"/>
  <c r="B292" i="8"/>
  <c r="H290" i="8"/>
  <c r="G290" i="8"/>
  <c r="F290" i="8"/>
  <c r="E290" i="8"/>
  <c r="C290" i="8"/>
  <c r="B290" i="8"/>
  <c r="H289" i="8"/>
  <c r="G289" i="8"/>
  <c r="F289" i="8"/>
  <c r="E289" i="8"/>
  <c r="C289" i="8"/>
  <c r="B289" i="8"/>
  <c r="H288" i="8"/>
  <c r="G288" i="8"/>
  <c r="F288" i="8"/>
  <c r="E288" i="8"/>
  <c r="C288" i="8"/>
  <c r="B288" i="8"/>
  <c r="H287" i="8"/>
  <c r="G287" i="8"/>
  <c r="F287" i="8"/>
  <c r="E287" i="8"/>
  <c r="C287" i="8"/>
  <c r="B287" i="8"/>
  <c r="H274" i="8"/>
  <c r="G274" i="8"/>
  <c r="F274" i="8"/>
  <c r="E274" i="8"/>
  <c r="C274" i="8"/>
  <c r="B274" i="8"/>
  <c r="H273" i="8"/>
  <c r="G273" i="8"/>
  <c r="F273" i="8"/>
  <c r="E273" i="8"/>
  <c r="C273" i="8"/>
  <c r="B273" i="8"/>
  <c r="H272" i="8"/>
  <c r="G272" i="8"/>
  <c r="F272" i="8"/>
  <c r="E272" i="8"/>
  <c r="C272" i="8"/>
  <c r="B272" i="8"/>
  <c r="H271" i="8"/>
  <c r="G271" i="8"/>
  <c r="F271" i="8"/>
  <c r="E271" i="8"/>
  <c r="C271" i="8"/>
  <c r="B271" i="8"/>
  <c r="H269" i="8"/>
  <c r="G269" i="8"/>
  <c r="F269" i="8"/>
  <c r="E269" i="8"/>
  <c r="C269" i="8"/>
  <c r="B269" i="8"/>
  <c r="H268" i="8"/>
  <c r="G268" i="8"/>
  <c r="F268" i="8"/>
  <c r="E268" i="8"/>
  <c r="C268" i="8"/>
  <c r="B268" i="8"/>
  <c r="H267" i="8"/>
  <c r="G267" i="8"/>
  <c r="F267" i="8"/>
  <c r="E267" i="8"/>
  <c r="C267" i="8"/>
  <c r="B267" i="8"/>
  <c r="H266" i="8"/>
  <c r="G266" i="8"/>
  <c r="F266" i="8"/>
  <c r="E266" i="8"/>
  <c r="C266" i="8"/>
  <c r="B266" i="8"/>
  <c r="H264" i="8"/>
  <c r="G264" i="8"/>
  <c r="F264" i="8"/>
  <c r="E264" i="8"/>
  <c r="C264" i="8"/>
  <c r="B264" i="8"/>
  <c r="H263" i="8"/>
  <c r="G263" i="8"/>
  <c r="F263" i="8"/>
  <c r="E263" i="8"/>
  <c r="C263" i="8"/>
  <c r="B263" i="8"/>
  <c r="H262" i="8"/>
  <c r="G262" i="8"/>
  <c r="F262" i="8"/>
  <c r="E262" i="8"/>
  <c r="C262" i="8"/>
  <c r="B262" i="8"/>
  <c r="H261" i="8"/>
  <c r="G261" i="8"/>
  <c r="F261" i="8"/>
  <c r="E261" i="8"/>
  <c r="C261" i="8"/>
  <c r="B261" i="8"/>
  <c r="H259" i="8"/>
  <c r="G259" i="8"/>
  <c r="F259" i="8"/>
  <c r="E259" i="8"/>
  <c r="C259" i="8"/>
  <c r="B259" i="8"/>
  <c r="H258" i="8"/>
  <c r="G258" i="8"/>
  <c r="F258" i="8"/>
  <c r="E258" i="8"/>
  <c r="C258" i="8"/>
  <c r="B258" i="8"/>
  <c r="H257" i="8"/>
  <c r="G257" i="8"/>
  <c r="F257" i="8"/>
  <c r="E257" i="8"/>
  <c r="C257" i="8"/>
  <c r="B257" i="8"/>
  <c r="H256" i="8"/>
  <c r="G256" i="8"/>
  <c r="F256" i="8"/>
  <c r="E256" i="8"/>
  <c r="C256" i="8"/>
  <c r="B256" i="8"/>
  <c r="H243" i="8"/>
  <c r="G243" i="8"/>
  <c r="F243" i="8"/>
  <c r="E243" i="8"/>
  <c r="C243" i="8"/>
  <c r="B243" i="8"/>
  <c r="H242" i="8"/>
  <c r="G242" i="8"/>
  <c r="F242" i="8"/>
  <c r="E242" i="8"/>
  <c r="C242" i="8"/>
  <c r="B242" i="8"/>
  <c r="H241" i="8"/>
  <c r="G241" i="8"/>
  <c r="F241" i="8"/>
  <c r="E241" i="8"/>
  <c r="C241" i="8"/>
  <c r="B241" i="8"/>
  <c r="H240" i="8"/>
  <c r="G240" i="8"/>
  <c r="F240" i="8"/>
  <c r="E240" i="8"/>
  <c r="C240" i="8"/>
  <c r="B240" i="8"/>
  <c r="H238" i="8"/>
  <c r="G238" i="8"/>
  <c r="F238" i="8"/>
  <c r="E238" i="8"/>
  <c r="C238" i="8"/>
  <c r="B238" i="8"/>
  <c r="H237" i="8"/>
  <c r="G237" i="8"/>
  <c r="F237" i="8"/>
  <c r="E237" i="8"/>
  <c r="C237" i="8"/>
  <c r="B237" i="8"/>
  <c r="H236" i="8"/>
  <c r="G236" i="8"/>
  <c r="F236" i="8"/>
  <c r="E236" i="8"/>
  <c r="C236" i="8"/>
  <c r="B236" i="8"/>
  <c r="H235" i="8"/>
  <c r="G235" i="8"/>
  <c r="F235" i="8"/>
  <c r="E235" i="8"/>
  <c r="C235" i="8"/>
  <c r="B235" i="8"/>
  <c r="H233" i="8"/>
  <c r="G233" i="8"/>
  <c r="F233" i="8"/>
  <c r="E233" i="8"/>
  <c r="C233" i="8"/>
  <c r="B233" i="8"/>
  <c r="H232" i="8"/>
  <c r="G232" i="8"/>
  <c r="F232" i="8"/>
  <c r="E232" i="8"/>
  <c r="C232" i="8"/>
  <c r="B232" i="8"/>
  <c r="H231" i="8"/>
  <c r="G231" i="8"/>
  <c r="F231" i="8"/>
  <c r="E231" i="8"/>
  <c r="C231" i="8"/>
  <c r="B231" i="8"/>
  <c r="H230" i="8"/>
  <c r="G230" i="8"/>
  <c r="F230" i="8"/>
  <c r="E230" i="8"/>
  <c r="C230" i="8"/>
  <c r="B230" i="8"/>
  <c r="H228" i="8"/>
  <c r="G228" i="8"/>
  <c r="F228" i="8"/>
  <c r="E228" i="8"/>
  <c r="C228" i="8"/>
  <c r="B228" i="8"/>
  <c r="H227" i="8"/>
  <c r="G227" i="8"/>
  <c r="F227" i="8"/>
  <c r="E227" i="8"/>
  <c r="C227" i="8"/>
  <c r="B227" i="8"/>
  <c r="H226" i="8"/>
  <c r="G226" i="8"/>
  <c r="F226" i="8"/>
  <c r="E226" i="8"/>
  <c r="C226" i="8"/>
  <c r="B226" i="8"/>
  <c r="H225" i="8"/>
  <c r="G225" i="8"/>
  <c r="F225" i="8"/>
  <c r="E225" i="8"/>
  <c r="C225" i="8"/>
  <c r="B225" i="8"/>
  <c r="P212" i="8"/>
  <c r="O212" i="8"/>
  <c r="N212" i="8"/>
  <c r="M212" i="8"/>
  <c r="K212" i="8"/>
  <c r="J212" i="8"/>
  <c r="H212" i="8"/>
  <c r="G212" i="8"/>
  <c r="F212" i="8"/>
  <c r="E212" i="8"/>
  <c r="C212" i="8"/>
  <c r="B212" i="8"/>
  <c r="P211" i="8"/>
  <c r="O211" i="8"/>
  <c r="N211" i="8"/>
  <c r="M211" i="8"/>
  <c r="K211" i="8"/>
  <c r="J211" i="8"/>
  <c r="H211" i="8"/>
  <c r="G211" i="8"/>
  <c r="F211" i="8"/>
  <c r="E211" i="8"/>
  <c r="C211" i="8"/>
  <c r="B211" i="8"/>
  <c r="P210" i="8"/>
  <c r="O210" i="8"/>
  <c r="N210" i="8"/>
  <c r="M210" i="8"/>
  <c r="K210" i="8"/>
  <c r="J210" i="8"/>
  <c r="H210" i="8"/>
  <c r="G210" i="8"/>
  <c r="F210" i="8"/>
  <c r="E210" i="8"/>
  <c r="C210" i="8"/>
  <c r="B210" i="8"/>
  <c r="P209" i="8"/>
  <c r="O209" i="8"/>
  <c r="N209" i="8"/>
  <c r="M209" i="8"/>
  <c r="K209" i="8"/>
  <c r="J209" i="8"/>
  <c r="H209" i="8"/>
  <c r="G209" i="8"/>
  <c r="F209" i="8"/>
  <c r="E209" i="8"/>
  <c r="C209" i="8"/>
  <c r="B209" i="8"/>
  <c r="P207" i="8"/>
  <c r="O207" i="8"/>
  <c r="N207" i="8"/>
  <c r="M207" i="8"/>
  <c r="K207" i="8"/>
  <c r="J207" i="8"/>
  <c r="H207" i="8"/>
  <c r="G207" i="8"/>
  <c r="F207" i="8"/>
  <c r="E207" i="8"/>
  <c r="C207" i="8"/>
  <c r="B207" i="8"/>
  <c r="P206" i="8"/>
  <c r="O206" i="8"/>
  <c r="N206" i="8"/>
  <c r="M206" i="8"/>
  <c r="K206" i="8"/>
  <c r="J206" i="8"/>
  <c r="H206" i="8"/>
  <c r="G206" i="8"/>
  <c r="F206" i="8"/>
  <c r="E206" i="8"/>
  <c r="C206" i="8"/>
  <c r="B206" i="8"/>
  <c r="P205" i="8"/>
  <c r="O205" i="8"/>
  <c r="N205" i="8"/>
  <c r="M205" i="8"/>
  <c r="K205" i="8"/>
  <c r="J205" i="8"/>
  <c r="H205" i="8"/>
  <c r="G205" i="8"/>
  <c r="F205" i="8"/>
  <c r="E205" i="8"/>
  <c r="C205" i="8"/>
  <c r="B205" i="8"/>
  <c r="P204" i="8"/>
  <c r="O204" i="8"/>
  <c r="N204" i="8"/>
  <c r="M204" i="8"/>
  <c r="K204" i="8"/>
  <c r="J204" i="8"/>
  <c r="H204" i="8"/>
  <c r="G204" i="8"/>
  <c r="F204" i="8"/>
  <c r="E204" i="8"/>
  <c r="C204" i="8"/>
  <c r="B204" i="8"/>
  <c r="P202" i="8"/>
  <c r="O202" i="8"/>
  <c r="N202" i="8"/>
  <c r="M202" i="8"/>
  <c r="K202" i="8"/>
  <c r="J202" i="8"/>
  <c r="H202" i="8"/>
  <c r="G202" i="8"/>
  <c r="F202" i="8"/>
  <c r="E202" i="8"/>
  <c r="C202" i="8"/>
  <c r="B202" i="8"/>
  <c r="P201" i="8"/>
  <c r="O201" i="8"/>
  <c r="N201" i="8"/>
  <c r="M201" i="8"/>
  <c r="K201" i="8"/>
  <c r="J201" i="8"/>
  <c r="H201" i="8"/>
  <c r="G201" i="8"/>
  <c r="F201" i="8"/>
  <c r="E201" i="8"/>
  <c r="C201" i="8"/>
  <c r="B201" i="8"/>
  <c r="P200" i="8"/>
  <c r="O200" i="8"/>
  <c r="N200" i="8"/>
  <c r="M200" i="8"/>
  <c r="K200" i="8"/>
  <c r="J200" i="8"/>
  <c r="H200" i="8"/>
  <c r="G200" i="8"/>
  <c r="F200" i="8"/>
  <c r="E200" i="8"/>
  <c r="C200" i="8"/>
  <c r="B200" i="8"/>
  <c r="P199" i="8"/>
  <c r="O199" i="8"/>
  <c r="N199" i="8"/>
  <c r="M199" i="8"/>
  <c r="K199" i="8"/>
  <c r="J199" i="8"/>
  <c r="H199" i="8"/>
  <c r="G199" i="8"/>
  <c r="F199" i="8"/>
  <c r="E199" i="8"/>
  <c r="C199" i="8"/>
  <c r="B199" i="8"/>
  <c r="P197" i="8"/>
  <c r="O197" i="8"/>
  <c r="N197" i="8"/>
  <c r="M197" i="8"/>
  <c r="K197" i="8"/>
  <c r="J197" i="8"/>
  <c r="H197" i="8"/>
  <c r="G197" i="8"/>
  <c r="F197" i="8"/>
  <c r="E197" i="8"/>
  <c r="C197" i="8"/>
  <c r="B197" i="8"/>
  <c r="P196" i="8"/>
  <c r="O196" i="8"/>
  <c r="N196" i="8"/>
  <c r="M196" i="8"/>
  <c r="K196" i="8"/>
  <c r="J196" i="8"/>
  <c r="H196" i="8"/>
  <c r="G196" i="8"/>
  <c r="F196" i="8"/>
  <c r="E196" i="8"/>
  <c r="C196" i="8"/>
  <c r="B196" i="8"/>
  <c r="P195" i="8"/>
  <c r="O195" i="8"/>
  <c r="N195" i="8"/>
  <c r="M195" i="8"/>
  <c r="K195" i="8"/>
  <c r="J195" i="8"/>
  <c r="H195" i="8"/>
  <c r="G195" i="8"/>
  <c r="F195" i="8"/>
  <c r="E195" i="8"/>
  <c r="C195" i="8"/>
  <c r="B195" i="8"/>
  <c r="P194" i="8"/>
  <c r="O194" i="8"/>
  <c r="N194" i="8"/>
  <c r="M194" i="8"/>
  <c r="K194" i="8"/>
  <c r="J194" i="8"/>
  <c r="H194" i="8"/>
  <c r="G194" i="8"/>
  <c r="F194" i="8"/>
  <c r="E194" i="8"/>
  <c r="C194" i="8"/>
  <c r="B194" i="8"/>
  <c r="P182" i="8"/>
  <c r="O182" i="8"/>
  <c r="N182" i="8"/>
  <c r="M182" i="8"/>
  <c r="K182" i="8"/>
  <c r="J182" i="8"/>
  <c r="H182" i="8"/>
  <c r="G182" i="8"/>
  <c r="F182" i="8"/>
  <c r="E182" i="8"/>
  <c r="C182" i="8"/>
  <c r="B182" i="8"/>
  <c r="P181" i="8"/>
  <c r="O181" i="8"/>
  <c r="N181" i="8"/>
  <c r="M181" i="8"/>
  <c r="K181" i="8"/>
  <c r="J181" i="8"/>
  <c r="H181" i="8"/>
  <c r="G181" i="8"/>
  <c r="F181" i="8"/>
  <c r="E181" i="8"/>
  <c r="C181" i="8"/>
  <c r="B181" i="8"/>
  <c r="P180" i="8"/>
  <c r="O180" i="8"/>
  <c r="N180" i="8"/>
  <c r="M180" i="8"/>
  <c r="K180" i="8"/>
  <c r="J180" i="8"/>
  <c r="H180" i="8"/>
  <c r="G180" i="8"/>
  <c r="F180" i="8"/>
  <c r="E180" i="8"/>
  <c r="C180" i="8"/>
  <c r="B180" i="8"/>
  <c r="P179" i="8"/>
  <c r="O179" i="8"/>
  <c r="N179" i="8"/>
  <c r="M179" i="8"/>
  <c r="K179" i="8"/>
  <c r="J179" i="8"/>
  <c r="H179" i="8"/>
  <c r="G179" i="8"/>
  <c r="F179" i="8"/>
  <c r="E179" i="8"/>
  <c r="C179" i="8"/>
  <c r="B179" i="8"/>
  <c r="P177" i="8"/>
  <c r="O177" i="8"/>
  <c r="N177" i="8"/>
  <c r="M177" i="8"/>
  <c r="K177" i="8"/>
  <c r="J177" i="8"/>
  <c r="H177" i="8"/>
  <c r="G177" i="8"/>
  <c r="F177" i="8"/>
  <c r="E177" i="8"/>
  <c r="C177" i="8"/>
  <c r="B177" i="8"/>
  <c r="P176" i="8"/>
  <c r="O176" i="8"/>
  <c r="N176" i="8"/>
  <c r="M176" i="8"/>
  <c r="K176" i="8"/>
  <c r="J176" i="8"/>
  <c r="H176" i="8"/>
  <c r="G176" i="8"/>
  <c r="F176" i="8"/>
  <c r="E176" i="8"/>
  <c r="C176" i="8"/>
  <c r="B176" i="8"/>
  <c r="P175" i="8"/>
  <c r="O175" i="8"/>
  <c r="N175" i="8"/>
  <c r="M175" i="8"/>
  <c r="K175" i="8"/>
  <c r="J175" i="8"/>
  <c r="H175" i="8"/>
  <c r="G175" i="8"/>
  <c r="F175" i="8"/>
  <c r="E175" i="8"/>
  <c r="C175" i="8"/>
  <c r="B175" i="8"/>
  <c r="P174" i="8"/>
  <c r="O174" i="8"/>
  <c r="N174" i="8"/>
  <c r="M174" i="8"/>
  <c r="K174" i="8"/>
  <c r="J174" i="8"/>
  <c r="H174" i="8"/>
  <c r="G174" i="8"/>
  <c r="F174" i="8"/>
  <c r="E174" i="8"/>
  <c r="C174" i="8"/>
  <c r="B174" i="8"/>
  <c r="P172" i="8"/>
  <c r="O172" i="8"/>
  <c r="N172" i="8"/>
  <c r="M172" i="8"/>
  <c r="K172" i="8"/>
  <c r="J172" i="8"/>
  <c r="H172" i="8"/>
  <c r="G172" i="8"/>
  <c r="F172" i="8"/>
  <c r="E172" i="8"/>
  <c r="C172" i="8"/>
  <c r="B172" i="8"/>
  <c r="P171" i="8"/>
  <c r="O171" i="8"/>
  <c r="N171" i="8"/>
  <c r="M171" i="8"/>
  <c r="K171" i="8"/>
  <c r="J171" i="8"/>
  <c r="H171" i="8"/>
  <c r="G171" i="8"/>
  <c r="F171" i="8"/>
  <c r="E171" i="8"/>
  <c r="C171" i="8"/>
  <c r="B171" i="8"/>
  <c r="P170" i="8"/>
  <c r="O170" i="8"/>
  <c r="N170" i="8"/>
  <c r="M170" i="8"/>
  <c r="K170" i="8"/>
  <c r="J170" i="8"/>
  <c r="H170" i="8"/>
  <c r="G170" i="8"/>
  <c r="F170" i="8"/>
  <c r="E170" i="8"/>
  <c r="C170" i="8"/>
  <c r="B170" i="8"/>
  <c r="P169" i="8"/>
  <c r="O169" i="8"/>
  <c r="N169" i="8"/>
  <c r="M169" i="8"/>
  <c r="K169" i="8"/>
  <c r="J169" i="8"/>
  <c r="H169" i="8"/>
  <c r="G169" i="8"/>
  <c r="F169" i="8"/>
  <c r="E169" i="8"/>
  <c r="C169" i="8"/>
  <c r="B169" i="8"/>
  <c r="P167" i="8"/>
  <c r="O167" i="8"/>
  <c r="N167" i="8"/>
  <c r="M167" i="8"/>
  <c r="K167" i="8"/>
  <c r="J167" i="8"/>
  <c r="H167" i="8"/>
  <c r="G167" i="8"/>
  <c r="F167" i="8"/>
  <c r="E167" i="8"/>
  <c r="C167" i="8"/>
  <c r="B167" i="8"/>
  <c r="P166" i="8"/>
  <c r="O166" i="8"/>
  <c r="N166" i="8"/>
  <c r="M166" i="8"/>
  <c r="K166" i="8"/>
  <c r="J166" i="8"/>
  <c r="H166" i="8"/>
  <c r="G166" i="8"/>
  <c r="F166" i="8"/>
  <c r="E166" i="8"/>
  <c r="C166" i="8"/>
  <c r="B166" i="8"/>
  <c r="P165" i="8"/>
  <c r="O165" i="8"/>
  <c r="N165" i="8"/>
  <c r="M165" i="8"/>
  <c r="K165" i="8"/>
  <c r="J165" i="8"/>
  <c r="H165" i="8"/>
  <c r="G165" i="8"/>
  <c r="F165" i="8"/>
  <c r="E165" i="8"/>
  <c r="C165" i="8"/>
  <c r="B165" i="8"/>
  <c r="P164" i="8"/>
  <c r="O164" i="8"/>
  <c r="N164" i="8"/>
  <c r="M164" i="8"/>
  <c r="K164" i="8"/>
  <c r="J164" i="8"/>
  <c r="H164" i="8"/>
  <c r="G164" i="8"/>
  <c r="F164" i="8"/>
  <c r="E164" i="8"/>
  <c r="C164" i="8"/>
  <c r="B164" i="8"/>
  <c r="P151" i="8"/>
  <c r="O151" i="8"/>
  <c r="N151" i="8"/>
  <c r="M151" i="8"/>
  <c r="K151" i="8"/>
  <c r="J151" i="8"/>
  <c r="H151" i="8"/>
  <c r="G151" i="8"/>
  <c r="F151" i="8"/>
  <c r="E151" i="8"/>
  <c r="C151" i="8"/>
  <c r="B151" i="8"/>
  <c r="P150" i="8"/>
  <c r="O150" i="8"/>
  <c r="N150" i="8"/>
  <c r="M150" i="8"/>
  <c r="K150" i="8"/>
  <c r="J150" i="8"/>
  <c r="H150" i="8"/>
  <c r="G150" i="8"/>
  <c r="F150" i="8"/>
  <c r="E150" i="8"/>
  <c r="C150" i="8"/>
  <c r="B150" i="8"/>
  <c r="P149" i="8"/>
  <c r="O149" i="8"/>
  <c r="N149" i="8"/>
  <c r="M149" i="8"/>
  <c r="K149" i="8"/>
  <c r="J149" i="8"/>
  <c r="H149" i="8"/>
  <c r="G149" i="8"/>
  <c r="F149" i="8"/>
  <c r="E149" i="8"/>
  <c r="C149" i="8"/>
  <c r="B149" i="8"/>
  <c r="P148" i="8"/>
  <c r="O148" i="8"/>
  <c r="N148" i="8"/>
  <c r="M148" i="8"/>
  <c r="K148" i="8"/>
  <c r="J148" i="8"/>
  <c r="H148" i="8"/>
  <c r="G148" i="8"/>
  <c r="F148" i="8"/>
  <c r="E148" i="8"/>
  <c r="C148" i="8"/>
  <c r="B148" i="8"/>
  <c r="P146" i="8"/>
  <c r="O146" i="8"/>
  <c r="N146" i="8"/>
  <c r="M146" i="8"/>
  <c r="K146" i="8"/>
  <c r="J146" i="8"/>
  <c r="H146" i="8"/>
  <c r="G146" i="8"/>
  <c r="F146" i="8"/>
  <c r="E146" i="8"/>
  <c r="C146" i="8"/>
  <c r="B146" i="8"/>
  <c r="P145" i="8"/>
  <c r="O145" i="8"/>
  <c r="N145" i="8"/>
  <c r="M145" i="8"/>
  <c r="K145" i="8"/>
  <c r="J145" i="8"/>
  <c r="H145" i="8"/>
  <c r="G145" i="8"/>
  <c r="F145" i="8"/>
  <c r="E145" i="8"/>
  <c r="C145" i="8"/>
  <c r="B145" i="8"/>
  <c r="P144" i="8"/>
  <c r="O144" i="8"/>
  <c r="N144" i="8"/>
  <c r="M144" i="8"/>
  <c r="K144" i="8"/>
  <c r="J144" i="8"/>
  <c r="H144" i="8"/>
  <c r="G144" i="8"/>
  <c r="F144" i="8"/>
  <c r="E144" i="8"/>
  <c r="C144" i="8"/>
  <c r="B144" i="8"/>
  <c r="P143" i="8"/>
  <c r="O143" i="8"/>
  <c r="N143" i="8"/>
  <c r="M143" i="8"/>
  <c r="K143" i="8"/>
  <c r="J143" i="8"/>
  <c r="H143" i="8"/>
  <c r="G143" i="8"/>
  <c r="F143" i="8"/>
  <c r="E143" i="8"/>
  <c r="C143" i="8"/>
  <c r="B143" i="8"/>
  <c r="P141" i="8"/>
  <c r="O141" i="8"/>
  <c r="N141" i="8"/>
  <c r="M141" i="8"/>
  <c r="K141" i="8"/>
  <c r="J141" i="8"/>
  <c r="H141" i="8"/>
  <c r="G141" i="8"/>
  <c r="F141" i="8"/>
  <c r="E141" i="8"/>
  <c r="C141" i="8"/>
  <c r="B141" i="8"/>
  <c r="P140" i="8"/>
  <c r="O140" i="8"/>
  <c r="N140" i="8"/>
  <c r="M140" i="8"/>
  <c r="K140" i="8"/>
  <c r="J140" i="8"/>
  <c r="H140" i="8"/>
  <c r="G140" i="8"/>
  <c r="F140" i="8"/>
  <c r="E140" i="8"/>
  <c r="C140" i="8"/>
  <c r="B140" i="8"/>
  <c r="P139" i="8"/>
  <c r="O139" i="8"/>
  <c r="N139" i="8"/>
  <c r="M139" i="8"/>
  <c r="K139" i="8"/>
  <c r="J139" i="8"/>
  <c r="H139" i="8"/>
  <c r="G139" i="8"/>
  <c r="F139" i="8"/>
  <c r="E139" i="8"/>
  <c r="C139" i="8"/>
  <c r="B139" i="8"/>
  <c r="P138" i="8"/>
  <c r="O138" i="8"/>
  <c r="N138" i="8"/>
  <c r="M138" i="8"/>
  <c r="K138" i="8"/>
  <c r="J138" i="8"/>
  <c r="H138" i="8"/>
  <c r="G138" i="8"/>
  <c r="F138" i="8"/>
  <c r="E138" i="8"/>
  <c r="C138" i="8"/>
  <c r="B138" i="8"/>
  <c r="P136" i="8"/>
  <c r="O136" i="8"/>
  <c r="N136" i="8"/>
  <c r="M136" i="8"/>
  <c r="K136" i="8"/>
  <c r="J136" i="8"/>
  <c r="H136" i="8"/>
  <c r="G136" i="8"/>
  <c r="F136" i="8"/>
  <c r="E136" i="8"/>
  <c r="C136" i="8"/>
  <c r="B136" i="8"/>
  <c r="P135" i="8"/>
  <c r="O135" i="8"/>
  <c r="N135" i="8"/>
  <c r="M135" i="8"/>
  <c r="K135" i="8"/>
  <c r="J135" i="8"/>
  <c r="H135" i="8"/>
  <c r="G135" i="8"/>
  <c r="F135" i="8"/>
  <c r="E135" i="8"/>
  <c r="C135" i="8"/>
  <c r="B135" i="8"/>
  <c r="P134" i="8"/>
  <c r="O134" i="8"/>
  <c r="N134" i="8"/>
  <c r="M134" i="8"/>
  <c r="K134" i="8"/>
  <c r="J134" i="8"/>
  <c r="H134" i="8"/>
  <c r="G134" i="8"/>
  <c r="F134" i="8"/>
  <c r="E134" i="8"/>
  <c r="C134" i="8"/>
  <c r="B134" i="8"/>
  <c r="P133" i="8"/>
  <c r="O133" i="8"/>
  <c r="N133" i="8"/>
  <c r="M133" i="8"/>
  <c r="K133" i="8"/>
  <c r="J133" i="8"/>
  <c r="H133" i="8"/>
  <c r="G133" i="8"/>
  <c r="F133" i="8"/>
  <c r="E133" i="8"/>
  <c r="C133" i="8"/>
  <c r="B133" i="8"/>
  <c r="P120" i="8"/>
  <c r="O120" i="8"/>
  <c r="N120" i="8"/>
  <c r="M120" i="8"/>
  <c r="K120" i="8"/>
  <c r="J120" i="8"/>
  <c r="H120" i="8"/>
  <c r="G120" i="8"/>
  <c r="F120" i="8"/>
  <c r="E120" i="8"/>
  <c r="C120" i="8"/>
  <c r="B120" i="8"/>
  <c r="P119" i="8"/>
  <c r="O119" i="8"/>
  <c r="N119" i="8"/>
  <c r="M119" i="8"/>
  <c r="K119" i="8"/>
  <c r="J119" i="8"/>
  <c r="H119" i="8"/>
  <c r="G119" i="8"/>
  <c r="F119" i="8"/>
  <c r="E119" i="8"/>
  <c r="C119" i="8"/>
  <c r="B119" i="8"/>
  <c r="P118" i="8"/>
  <c r="O118" i="8"/>
  <c r="N118" i="8"/>
  <c r="M118" i="8"/>
  <c r="K118" i="8"/>
  <c r="J118" i="8"/>
  <c r="H118" i="8"/>
  <c r="G118" i="8"/>
  <c r="F118" i="8"/>
  <c r="E118" i="8"/>
  <c r="C118" i="8"/>
  <c r="B118" i="8"/>
  <c r="P117" i="8"/>
  <c r="O117" i="8"/>
  <c r="N117" i="8"/>
  <c r="M117" i="8"/>
  <c r="K117" i="8"/>
  <c r="J117" i="8"/>
  <c r="H117" i="8"/>
  <c r="G117" i="8"/>
  <c r="F117" i="8"/>
  <c r="E117" i="8"/>
  <c r="C117" i="8"/>
  <c r="B117" i="8"/>
  <c r="P115" i="8"/>
  <c r="O115" i="8"/>
  <c r="N115" i="8"/>
  <c r="M115" i="8"/>
  <c r="K115" i="8"/>
  <c r="J115" i="8"/>
  <c r="H115" i="8"/>
  <c r="G115" i="8"/>
  <c r="F115" i="8"/>
  <c r="E115" i="8"/>
  <c r="C115" i="8"/>
  <c r="B115" i="8"/>
  <c r="P114" i="8"/>
  <c r="O114" i="8"/>
  <c r="N114" i="8"/>
  <c r="M114" i="8"/>
  <c r="K114" i="8"/>
  <c r="J114" i="8"/>
  <c r="H114" i="8"/>
  <c r="G114" i="8"/>
  <c r="F114" i="8"/>
  <c r="E114" i="8"/>
  <c r="C114" i="8"/>
  <c r="B114" i="8"/>
  <c r="P113" i="8"/>
  <c r="O113" i="8"/>
  <c r="N113" i="8"/>
  <c r="M113" i="8"/>
  <c r="K113" i="8"/>
  <c r="J113" i="8"/>
  <c r="H113" i="8"/>
  <c r="G113" i="8"/>
  <c r="F113" i="8"/>
  <c r="E113" i="8"/>
  <c r="C113" i="8"/>
  <c r="B113" i="8"/>
  <c r="P112" i="8"/>
  <c r="O112" i="8"/>
  <c r="N112" i="8"/>
  <c r="M112" i="8"/>
  <c r="K112" i="8"/>
  <c r="J112" i="8"/>
  <c r="H112" i="8"/>
  <c r="G112" i="8"/>
  <c r="F112" i="8"/>
  <c r="E112" i="8"/>
  <c r="C112" i="8"/>
  <c r="B112" i="8"/>
  <c r="P110" i="8"/>
  <c r="O110" i="8"/>
  <c r="N110" i="8"/>
  <c r="M110" i="8"/>
  <c r="K110" i="8"/>
  <c r="J110" i="8"/>
  <c r="H110" i="8"/>
  <c r="G110" i="8"/>
  <c r="F110" i="8"/>
  <c r="E110" i="8"/>
  <c r="C110" i="8"/>
  <c r="B110" i="8"/>
  <c r="P109" i="8"/>
  <c r="O109" i="8"/>
  <c r="N109" i="8"/>
  <c r="M109" i="8"/>
  <c r="K109" i="8"/>
  <c r="J109" i="8"/>
  <c r="H109" i="8"/>
  <c r="G109" i="8"/>
  <c r="F109" i="8"/>
  <c r="E109" i="8"/>
  <c r="C109" i="8"/>
  <c r="B109" i="8"/>
  <c r="P108" i="8"/>
  <c r="O108" i="8"/>
  <c r="N108" i="8"/>
  <c r="M108" i="8"/>
  <c r="K108" i="8"/>
  <c r="J108" i="8"/>
  <c r="H108" i="8"/>
  <c r="G108" i="8"/>
  <c r="F108" i="8"/>
  <c r="E108" i="8"/>
  <c r="C108" i="8"/>
  <c r="B108" i="8"/>
  <c r="P107" i="8"/>
  <c r="O107" i="8"/>
  <c r="N107" i="8"/>
  <c r="M107" i="8"/>
  <c r="K107" i="8"/>
  <c r="J107" i="8"/>
  <c r="H107" i="8"/>
  <c r="G107" i="8"/>
  <c r="F107" i="8"/>
  <c r="E107" i="8"/>
  <c r="C107" i="8"/>
  <c r="B107" i="8"/>
  <c r="P105" i="8"/>
  <c r="O105" i="8"/>
  <c r="N105" i="8"/>
  <c r="M105" i="8"/>
  <c r="K105" i="8"/>
  <c r="J105" i="8"/>
  <c r="H105" i="8"/>
  <c r="G105" i="8"/>
  <c r="F105" i="8"/>
  <c r="E105" i="8"/>
  <c r="C105" i="8"/>
  <c r="B105" i="8"/>
  <c r="P104" i="8"/>
  <c r="O104" i="8"/>
  <c r="N104" i="8"/>
  <c r="M104" i="8"/>
  <c r="K104" i="8"/>
  <c r="J104" i="8"/>
  <c r="H104" i="8"/>
  <c r="G104" i="8"/>
  <c r="F104" i="8"/>
  <c r="E104" i="8"/>
  <c r="C104" i="8"/>
  <c r="B104" i="8"/>
  <c r="P103" i="8"/>
  <c r="O103" i="8"/>
  <c r="N103" i="8"/>
  <c r="M103" i="8"/>
  <c r="K103" i="8"/>
  <c r="J103" i="8"/>
  <c r="H103" i="8"/>
  <c r="G103" i="8"/>
  <c r="F103" i="8"/>
  <c r="E103" i="8"/>
  <c r="C103" i="8"/>
  <c r="B103" i="8"/>
  <c r="P102" i="8"/>
  <c r="O102" i="8"/>
  <c r="N102" i="8"/>
  <c r="M102" i="8"/>
  <c r="K102" i="8"/>
  <c r="J102" i="8"/>
  <c r="H102" i="8"/>
  <c r="G102" i="8"/>
  <c r="F102" i="8"/>
  <c r="E102" i="8"/>
  <c r="C102" i="8"/>
  <c r="B102" i="8"/>
  <c r="P90" i="8"/>
  <c r="O90" i="8"/>
  <c r="N90" i="8"/>
  <c r="M90" i="8"/>
  <c r="K90" i="8"/>
  <c r="J90" i="8"/>
  <c r="H90" i="8"/>
  <c r="G90" i="8"/>
  <c r="F90" i="8"/>
  <c r="E90" i="8"/>
  <c r="C90" i="8"/>
  <c r="B90" i="8"/>
  <c r="P89" i="8"/>
  <c r="O89" i="8"/>
  <c r="N89" i="8"/>
  <c r="M89" i="8"/>
  <c r="K89" i="8"/>
  <c r="J89" i="8"/>
  <c r="H89" i="8"/>
  <c r="G89" i="8"/>
  <c r="F89" i="8"/>
  <c r="E89" i="8"/>
  <c r="C89" i="8"/>
  <c r="B89" i="8"/>
  <c r="P88" i="8"/>
  <c r="O88" i="8"/>
  <c r="N88" i="8"/>
  <c r="M88" i="8"/>
  <c r="K88" i="8"/>
  <c r="J88" i="8"/>
  <c r="H88" i="8"/>
  <c r="G88" i="8"/>
  <c r="F88" i="8"/>
  <c r="E88" i="8"/>
  <c r="C88" i="8"/>
  <c r="B88" i="8"/>
  <c r="P87" i="8"/>
  <c r="O87" i="8"/>
  <c r="N87" i="8"/>
  <c r="M87" i="8"/>
  <c r="K87" i="8"/>
  <c r="J87" i="8"/>
  <c r="H87" i="8"/>
  <c r="G87" i="8"/>
  <c r="F87" i="8"/>
  <c r="E87" i="8"/>
  <c r="C87" i="8"/>
  <c r="B87" i="8"/>
  <c r="P85" i="8"/>
  <c r="O85" i="8"/>
  <c r="N85" i="8"/>
  <c r="M85" i="8"/>
  <c r="K85" i="8"/>
  <c r="J85" i="8"/>
  <c r="H85" i="8"/>
  <c r="G85" i="8"/>
  <c r="F85" i="8"/>
  <c r="E85" i="8"/>
  <c r="C85" i="8"/>
  <c r="B85" i="8"/>
  <c r="P84" i="8"/>
  <c r="O84" i="8"/>
  <c r="N84" i="8"/>
  <c r="M84" i="8"/>
  <c r="K84" i="8"/>
  <c r="J84" i="8"/>
  <c r="H84" i="8"/>
  <c r="G84" i="8"/>
  <c r="F84" i="8"/>
  <c r="E84" i="8"/>
  <c r="C84" i="8"/>
  <c r="B84" i="8"/>
  <c r="P83" i="8"/>
  <c r="O83" i="8"/>
  <c r="N83" i="8"/>
  <c r="M83" i="8"/>
  <c r="K83" i="8"/>
  <c r="J83" i="8"/>
  <c r="H83" i="8"/>
  <c r="G83" i="8"/>
  <c r="F83" i="8"/>
  <c r="E83" i="8"/>
  <c r="C83" i="8"/>
  <c r="B83" i="8"/>
  <c r="P82" i="8"/>
  <c r="O82" i="8"/>
  <c r="N82" i="8"/>
  <c r="M82" i="8"/>
  <c r="K82" i="8"/>
  <c r="J82" i="8"/>
  <c r="H82" i="8"/>
  <c r="G82" i="8"/>
  <c r="F82" i="8"/>
  <c r="E82" i="8"/>
  <c r="C82" i="8"/>
  <c r="B82" i="8"/>
  <c r="P80" i="8"/>
  <c r="O80" i="8"/>
  <c r="N80" i="8"/>
  <c r="M80" i="8"/>
  <c r="K80" i="8"/>
  <c r="J80" i="8"/>
  <c r="H80" i="8"/>
  <c r="G80" i="8"/>
  <c r="F80" i="8"/>
  <c r="E80" i="8"/>
  <c r="C80" i="8"/>
  <c r="B80" i="8"/>
  <c r="P79" i="8"/>
  <c r="O79" i="8"/>
  <c r="N79" i="8"/>
  <c r="M79" i="8"/>
  <c r="K79" i="8"/>
  <c r="J79" i="8"/>
  <c r="H79" i="8"/>
  <c r="G79" i="8"/>
  <c r="F79" i="8"/>
  <c r="E79" i="8"/>
  <c r="C79" i="8"/>
  <c r="B79" i="8"/>
  <c r="P78" i="8"/>
  <c r="O78" i="8"/>
  <c r="N78" i="8"/>
  <c r="M78" i="8"/>
  <c r="K78" i="8"/>
  <c r="J78" i="8"/>
  <c r="H78" i="8"/>
  <c r="G78" i="8"/>
  <c r="F78" i="8"/>
  <c r="E78" i="8"/>
  <c r="C78" i="8"/>
  <c r="B78" i="8"/>
  <c r="P77" i="8"/>
  <c r="O77" i="8"/>
  <c r="N77" i="8"/>
  <c r="M77" i="8"/>
  <c r="K77" i="8"/>
  <c r="J77" i="8"/>
  <c r="H77" i="8"/>
  <c r="G77" i="8"/>
  <c r="F77" i="8"/>
  <c r="E77" i="8"/>
  <c r="C77" i="8"/>
  <c r="B77" i="8"/>
  <c r="P75" i="8"/>
  <c r="O75" i="8"/>
  <c r="N75" i="8"/>
  <c r="M75" i="8"/>
  <c r="K75" i="8"/>
  <c r="J75" i="8"/>
  <c r="H75" i="8"/>
  <c r="G75" i="8"/>
  <c r="F75" i="8"/>
  <c r="E75" i="8"/>
  <c r="C75" i="8"/>
  <c r="B75" i="8"/>
  <c r="P74" i="8"/>
  <c r="O74" i="8"/>
  <c r="N74" i="8"/>
  <c r="M74" i="8"/>
  <c r="K74" i="8"/>
  <c r="J74" i="8"/>
  <c r="H74" i="8"/>
  <c r="G74" i="8"/>
  <c r="F74" i="8"/>
  <c r="E74" i="8"/>
  <c r="C74" i="8"/>
  <c r="B74" i="8"/>
  <c r="P73" i="8"/>
  <c r="O73" i="8"/>
  <c r="N73" i="8"/>
  <c r="M73" i="8"/>
  <c r="K73" i="8"/>
  <c r="J73" i="8"/>
  <c r="H73" i="8"/>
  <c r="G73" i="8"/>
  <c r="F73" i="8"/>
  <c r="E73" i="8"/>
  <c r="C73" i="8"/>
  <c r="B73" i="8"/>
  <c r="P72" i="8"/>
  <c r="O72" i="8"/>
  <c r="N72" i="8"/>
  <c r="M72" i="8"/>
  <c r="K72" i="8"/>
  <c r="J72" i="8"/>
  <c r="H72" i="8"/>
  <c r="G72" i="8"/>
  <c r="F72" i="8"/>
  <c r="E72" i="8"/>
  <c r="C72" i="8"/>
  <c r="B72" i="8"/>
  <c r="P59" i="8"/>
  <c r="O59" i="8"/>
  <c r="N59" i="8"/>
  <c r="M59" i="8"/>
  <c r="K59" i="8"/>
  <c r="J59" i="8"/>
  <c r="H59" i="8"/>
  <c r="G59" i="8"/>
  <c r="F59" i="8"/>
  <c r="E59" i="8"/>
  <c r="C59" i="8"/>
  <c r="B59" i="8"/>
  <c r="P58" i="8"/>
  <c r="O58" i="8"/>
  <c r="N58" i="8"/>
  <c r="M58" i="8"/>
  <c r="K58" i="8"/>
  <c r="J58" i="8"/>
  <c r="H58" i="8"/>
  <c r="G58" i="8"/>
  <c r="F58" i="8"/>
  <c r="E58" i="8"/>
  <c r="C58" i="8"/>
  <c r="B58" i="8"/>
  <c r="P57" i="8"/>
  <c r="O57" i="8"/>
  <c r="N57" i="8"/>
  <c r="M57" i="8"/>
  <c r="K57" i="8"/>
  <c r="J57" i="8"/>
  <c r="H57" i="8"/>
  <c r="G57" i="8"/>
  <c r="F57" i="8"/>
  <c r="E57" i="8"/>
  <c r="C57" i="8"/>
  <c r="B57" i="8"/>
  <c r="P56" i="8"/>
  <c r="O56" i="8"/>
  <c r="N56" i="8"/>
  <c r="M56" i="8"/>
  <c r="K56" i="8"/>
  <c r="J56" i="8"/>
  <c r="H56" i="8"/>
  <c r="G56" i="8"/>
  <c r="F56" i="8"/>
  <c r="E56" i="8"/>
  <c r="C56" i="8"/>
  <c r="B56" i="8"/>
  <c r="P54" i="8"/>
  <c r="O54" i="8"/>
  <c r="N54" i="8"/>
  <c r="M54" i="8"/>
  <c r="K54" i="8"/>
  <c r="J54" i="8"/>
  <c r="H54" i="8"/>
  <c r="G54" i="8"/>
  <c r="F54" i="8"/>
  <c r="E54" i="8"/>
  <c r="C54" i="8"/>
  <c r="B54" i="8"/>
  <c r="P53" i="8"/>
  <c r="O53" i="8"/>
  <c r="N53" i="8"/>
  <c r="M53" i="8"/>
  <c r="K53" i="8"/>
  <c r="J53" i="8"/>
  <c r="H53" i="8"/>
  <c r="G53" i="8"/>
  <c r="F53" i="8"/>
  <c r="E53" i="8"/>
  <c r="C53" i="8"/>
  <c r="B53" i="8"/>
  <c r="P52" i="8"/>
  <c r="O52" i="8"/>
  <c r="N52" i="8"/>
  <c r="M52" i="8"/>
  <c r="K52" i="8"/>
  <c r="J52" i="8"/>
  <c r="H52" i="8"/>
  <c r="G52" i="8"/>
  <c r="F52" i="8"/>
  <c r="E52" i="8"/>
  <c r="C52" i="8"/>
  <c r="B52" i="8"/>
  <c r="P51" i="8"/>
  <c r="O51" i="8"/>
  <c r="N51" i="8"/>
  <c r="M51" i="8"/>
  <c r="K51" i="8"/>
  <c r="J51" i="8"/>
  <c r="H51" i="8"/>
  <c r="G51" i="8"/>
  <c r="F51" i="8"/>
  <c r="E51" i="8"/>
  <c r="C51" i="8"/>
  <c r="B51" i="8"/>
  <c r="P49" i="8"/>
  <c r="O49" i="8"/>
  <c r="N49" i="8"/>
  <c r="M49" i="8"/>
  <c r="K49" i="8"/>
  <c r="J49" i="8"/>
  <c r="H49" i="8"/>
  <c r="G49" i="8"/>
  <c r="F49" i="8"/>
  <c r="E49" i="8"/>
  <c r="C49" i="8"/>
  <c r="B49" i="8"/>
  <c r="P48" i="8"/>
  <c r="O48" i="8"/>
  <c r="N48" i="8"/>
  <c r="M48" i="8"/>
  <c r="K48" i="8"/>
  <c r="J48" i="8"/>
  <c r="H48" i="8"/>
  <c r="G48" i="8"/>
  <c r="F48" i="8"/>
  <c r="E48" i="8"/>
  <c r="C48" i="8"/>
  <c r="B48" i="8"/>
  <c r="P47" i="8"/>
  <c r="O47" i="8"/>
  <c r="N47" i="8"/>
  <c r="M47" i="8"/>
  <c r="K47" i="8"/>
  <c r="J47" i="8"/>
  <c r="H47" i="8"/>
  <c r="G47" i="8"/>
  <c r="F47" i="8"/>
  <c r="E47" i="8"/>
  <c r="C47" i="8"/>
  <c r="B47" i="8"/>
  <c r="P46" i="8"/>
  <c r="O46" i="8"/>
  <c r="N46" i="8"/>
  <c r="M46" i="8"/>
  <c r="K46" i="8"/>
  <c r="J46" i="8"/>
  <c r="H46" i="8"/>
  <c r="G46" i="8"/>
  <c r="F46" i="8"/>
  <c r="E46" i="8"/>
  <c r="C46" i="8"/>
  <c r="B46" i="8"/>
  <c r="P44" i="8"/>
  <c r="O44" i="8"/>
  <c r="N44" i="8"/>
  <c r="M44" i="8"/>
  <c r="K44" i="8"/>
  <c r="J44" i="8"/>
  <c r="H44" i="8"/>
  <c r="G44" i="8"/>
  <c r="F44" i="8"/>
  <c r="E44" i="8"/>
  <c r="C44" i="8"/>
  <c r="B44" i="8"/>
  <c r="P43" i="8"/>
  <c r="O43" i="8"/>
  <c r="N43" i="8"/>
  <c r="M43" i="8"/>
  <c r="K43" i="8"/>
  <c r="J43" i="8"/>
  <c r="H43" i="8"/>
  <c r="G43" i="8"/>
  <c r="F43" i="8"/>
  <c r="E43" i="8"/>
  <c r="C43" i="8"/>
  <c r="B43" i="8"/>
  <c r="P42" i="8"/>
  <c r="O42" i="8"/>
  <c r="N42" i="8"/>
  <c r="M42" i="8"/>
  <c r="K42" i="8"/>
  <c r="J42" i="8"/>
  <c r="H42" i="8"/>
  <c r="G42" i="8"/>
  <c r="F42" i="8"/>
  <c r="E42" i="8"/>
  <c r="C42" i="8"/>
  <c r="B42" i="8"/>
  <c r="P41" i="8"/>
  <c r="O41" i="8"/>
  <c r="N41" i="8"/>
  <c r="M41" i="8"/>
  <c r="K41" i="8"/>
  <c r="J41" i="8"/>
  <c r="H41" i="8"/>
  <c r="G41" i="8"/>
  <c r="F41" i="8"/>
  <c r="E41" i="8"/>
  <c r="C41" i="8"/>
  <c r="B41" i="8"/>
  <c r="P27" i="8"/>
  <c r="O27" i="8"/>
  <c r="N27" i="8"/>
  <c r="M27" i="8"/>
  <c r="K27" i="8"/>
  <c r="J27" i="8"/>
  <c r="P26" i="8"/>
  <c r="O26" i="8"/>
  <c r="N26" i="8"/>
  <c r="M26" i="8"/>
  <c r="K26" i="8"/>
  <c r="J26" i="8"/>
  <c r="P25" i="8"/>
  <c r="O25" i="8"/>
  <c r="N25" i="8"/>
  <c r="M25" i="8"/>
  <c r="K25" i="8"/>
  <c r="J25" i="8"/>
  <c r="P24" i="8"/>
  <c r="O24" i="8"/>
  <c r="N24" i="8"/>
  <c r="M24" i="8"/>
  <c r="K24" i="8"/>
  <c r="J24" i="8"/>
  <c r="P22" i="8"/>
  <c r="O22" i="8"/>
  <c r="N22" i="8"/>
  <c r="M22" i="8"/>
  <c r="K22" i="8"/>
  <c r="J22" i="8"/>
  <c r="P21" i="8"/>
  <c r="O21" i="8"/>
  <c r="N21" i="8"/>
  <c r="M21" i="8"/>
  <c r="K21" i="8"/>
  <c r="J21" i="8"/>
  <c r="P20" i="8"/>
  <c r="O20" i="8"/>
  <c r="N20" i="8"/>
  <c r="M20" i="8"/>
  <c r="K20" i="8"/>
  <c r="J20" i="8"/>
  <c r="P19" i="8"/>
  <c r="O19" i="8"/>
  <c r="N19" i="8"/>
  <c r="M19" i="8"/>
  <c r="K19" i="8"/>
  <c r="J19" i="8"/>
  <c r="P17" i="8"/>
  <c r="O17" i="8"/>
  <c r="N17" i="8"/>
  <c r="M17" i="8"/>
  <c r="K17" i="8"/>
  <c r="J17" i="8"/>
  <c r="P16" i="8"/>
  <c r="O16" i="8"/>
  <c r="N16" i="8"/>
  <c r="M16" i="8"/>
  <c r="K16" i="8"/>
  <c r="J16" i="8"/>
  <c r="P15" i="8"/>
  <c r="O15" i="8"/>
  <c r="N15" i="8"/>
  <c r="M15" i="8"/>
  <c r="K15" i="8"/>
  <c r="J15" i="8"/>
  <c r="P14" i="8"/>
  <c r="O14" i="8"/>
  <c r="N14" i="8"/>
  <c r="M14" i="8"/>
  <c r="K14" i="8"/>
  <c r="J14" i="8"/>
  <c r="P12" i="8"/>
  <c r="O12" i="8"/>
  <c r="N12" i="8"/>
  <c r="M12" i="8"/>
  <c r="K12" i="8"/>
  <c r="J12" i="8"/>
  <c r="P11" i="8"/>
  <c r="O11" i="8"/>
  <c r="N11" i="8"/>
  <c r="M11" i="8"/>
  <c r="K11" i="8"/>
  <c r="J11" i="8"/>
  <c r="O10" i="8"/>
  <c r="N10" i="8"/>
  <c r="M10" i="8"/>
  <c r="K10" i="8"/>
  <c r="J10" i="8"/>
  <c r="P9" i="8"/>
  <c r="O9" i="8"/>
  <c r="N9" i="8"/>
  <c r="M9" i="8"/>
  <c r="K9" i="8"/>
  <c r="J9" i="8"/>
  <c r="H27" i="8"/>
  <c r="G27" i="8"/>
  <c r="F27" i="8"/>
  <c r="E27" i="8"/>
  <c r="C27" i="8"/>
  <c r="B27" i="8"/>
  <c r="H26" i="8"/>
  <c r="G26" i="8"/>
  <c r="F26" i="8"/>
  <c r="E26" i="8"/>
  <c r="C26" i="8"/>
  <c r="B26" i="8"/>
  <c r="H25" i="8"/>
  <c r="G25" i="8"/>
  <c r="F25" i="8"/>
  <c r="E25" i="8"/>
  <c r="C25" i="8"/>
  <c r="B25" i="8"/>
  <c r="H24" i="8"/>
  <c r="G24" i="8"/>
  <c r="F24" i="8"/>
  <c r="E24" i="8"/>
  <c r="C24" i="8"/>
  <c r="B24" i="8"/>
  <c r="H22" i="8"/>
  <c r="G22" i="8"/>
  <c r="F22" i="8"/>
  <c r="E22" i="8"/>
  <c r="C22" i="8"/>
  <c r="B22" i="8"/>
  <c r="H21" i="8"/>
  <c r="G21" i="8"/>
  <c r="F21" i="8"/>
  <c r="E21" i="8"/>
  <c r="C21" i="8"/>
  <c r="B21" i="8"/>
  <c r="H20" i="8"/>
  <c r="G20" i="8"/>
  <c r="F20" i="8"/>
  <c r="E20" i="8"/>
  <c r="C20" i="8"/>
  <c r="B20" i="8"/>
  <c r="H19" i="8"/>
  <c r="G19" i="8"/>
  <c r="F19" i="8"/>
  <c r="E19" i="8"/>
  <c r="C19" i="8"/>
  <c r="B19" i="8"/>
  <c r="H17" i="8"/>
  <c r="G17" i="8"/>
  <c r="F17" i="8"/>
  <c r="E17" i="8"/>
  <c r="C17" i="8"/>
  <c r="B17" i="8"/>
  <c r="H16" i="8"/>
  <c r="G16" i="8"/>
  <c r="F16" i="8"/>
  <c r="E16" i="8"/>
  <c r="C16" i="8"/>
  <c r="B16" i="8"/>
  <c r="H15" i="8"/>
  <c r="G15" i="8"/>
  <c r="F15" i="8"/>
  <c r="E15" i="8"/>
  <c r="C15" i="8"/>
  <c r="B15" i="8"/>
  <c r="H14" i="8"/>
  <c r="G14" i="8"/>
  <c r="F14" i="8"/>
  <c r="E14" i="8"/>
  <c r="C14" i="8"/>
  <c r="B14" i="8"/>
  <c r="H12" i="8"/>
  <c r="G12" i="8"/>
  <c r="F12" i="8"/>
  <c r="E12" i="8"/>
  <c r="C12" i="8"/>
  <c r="B12" i="8"/>
  <c r="H11" i="8"/>
  <c r="G11" i="8"/>
  <c r="F11" i="8"/>
  <c r="E11" i="8"/>
  <c r="C11" i="8"/>
  <c r="B11" i="8"/>
  <c r="H10" i="8"/>
  <c r="G10" i="8"/>
  <c r="F10" i="8"/>
  <c r="E10" i="8"/>
  <c r="H9" i="8"/>
  <c r="G9" i="8"/>
  <c r="F9" i="8"/>
  <c r="E9" i="8"/>
  <c r="C10" i="8"/>
  <c r="C9" i="8"/>
  <c r="B10" i="8"/>
  <c r="B9" i="8"/>
  <c r="Q454" i="8"/>
  <c r="Q449" i="8"/>
  <c r="Q444" i="8"/>
  <c r="Q439" i="8"/>
  <c r="Q438" i="8"/>
  <c r="Q437" i="8"/>
  <c r="Q436" i="8"/>
  <c r="Q435" i="8"/>
  <c r="Q434" i="8"/>
  <c r="Q433" i="8"/>
  <c r="Q432" i="8"/>
  <c r="Q431" i="8"/>
  <c r="Q430" i="8"/>
  <c r="Q429" i="8"/>
  <c r="Q424" i="8"/>
  <c r="Q419" i="8"/>
  <c r="Q414" i="8"/>
  <c r="Q409" i="8"/>
  <c r="Q408" i="8"/>
  <c r="Q407" i="8"/>
  <c r="Q406" i="8"/>
  <c r="Q405" i="8"/>
  <c r="Q404" i="8"/>
  <c r="Q403" i="8"/>
  <c r="Q402" i="8"/>
  <c r="Q401" i="8"/>
  <c r="Q400" i="8"/>
  <c r="Q399" i="8"/>
  <c r="Q394" i="8"/>
  <c r="Q389" i="8"/>
  <c r="Q384" i="8"/>
  <c r="Q379" i="8"/>
  <c r="Q378" i="8"/>
  <c r="Q377" i="8"/>
  <c r="Q376" i="8"/>
  <c r="Q375" i="8"/>
  <c r="Q374" i="8"/>
  <c r="Q373" i="8"/>
  <c r="Q372" i="8"/>
  <c r="Q371" i="8"/>
  <c r="Q370" i="8"/>
  <c r="Q369" i="8"/>
  <c r="Q368" i="8"/>
  <c r="Q363" i="8"/>
  <c r="Q358" i="8"/>
  <c r="Q353" i="8"/>
  <c r="Q348" i="8"/>
  <c r="Q347" i="8"/>
  <c r="Q346" i="8"/>
  <c r="Q345" i="8"/>
  <c r="Q344" i="8"/>
  <c r="Q343" i="8"/>
  <c r="Q342" i="8"/>
  <c r="Q341" i="8"/>
  <c r="Q340" i="8"/>
  <c r="Q338" i="8"/>
  <c r="Q337" i="8"/>
  <c r="Q332" i="8"/>
  <c r="Q327" i="8"/>
  <c r="Q322" i="8"/>
  <c r="Q317" i="8"/>
  <c r="Q316" i="8"/>
  <c r="Q315" i="8"/>
  <c r="Q314" i="8"/>
  <c r="Q313" i="8"/>
  <c r="Q312" i="8"/>
  <c r="Q311" i="8"/>
  <c r="Q310" i="8"/>
  <c r="Q309" i="8"/>
  <c r="Q308" i="8"/>
  <c r="Q307" i="8"/>
  <c r="Q306" i="8"/>
  <c r="Q301" i="8"/>
  <c r="Q296" i="8"/>
  <c r="Q291" i="8"/>
  <c r="Q286" i="8"/>
  <c r="Q285" i="8"/>
  <c r="Q284" i="8"/>
  <c r="Q283" i="8"/>
  <c r="Q282" i="8"/>
  <c r="Q281" i="8"/>
  <c r="Q280" i="8"/>
  <c r="Q279" i="8"/>
  <c r="Q278" i="8"/>
  <c r="Q277" i="8"/>
  <c r="Q276" i="8"/>
  <c r="Q275" i="8"/>
  <c r="Q270" i="8"/>
  <c r="Q265" i="8"/>
  <c r="Q260" i="8"/>
  <c r="Q255" i="8"/>
  <c r="Q254" i="8"/>
  <c r="Q253" i="8"/>
  <c r="Q252" i="8"/>
  <c r="Q251" i="8"/>
  <c r="Q250" i="8"/>
  <c r="Q249" i="8"/>
  <c r="Q248" i="8"/>
  <c r="Q247" i="8"/>
  <c r="Q246" i="8"/>
  <c r="Q245" i="8"/>
  <c r="Q244" i="8"/>
  <c r="Q239" i="8"/>
  <c r="Q234" i="8"/>
  <c r="Q229" i="8"/>
  <c r="Q224" i="8"/>
  <c r="Q223" i="8"/>
  <c r="Q222" i="8"/>
  <c r="Q221" i="8"/>
  <c r="Q220" i="8"/>
  <c r="Q219" i="8"/>
  <c r="Q218" i="8"/>
  <c r="Q217" i="8"/>
  <c r="R216" i="8"/>
  <c r="Q216" i="8"/>
  <c r="R214" i="8"/>
  <c r="Q214" i="8"/>
  <c r="R213" i="8"/>
  <c r="Q213" i="8"/>
  <c r="R208" i="8"/>
  <c r="Q208" i="8"/>
  <c r="R203" i="8"/>
  <c r="Q203" i="8"/>
  <c r="R198" i="8"/>
  <c r="Q198" i="8"/>
  <c r="R178" i="8"/>
  <c r="Q178" i="8"/>
  <c r="R173" i="8"/>
  <c r="Q173" i="8"/>
  <c r="R168" i="8"/>
  <c r="Q168" i="8"/>
  <c r="R147" i="8"/>
  <c r="Q147" i="8"/>
  <c r="R142" i="8"/>
  <c r="Q142" i="8"/>
  <c r="R137" i="8"/>
  <c r="Q137" i="8"/>
  <c r="R116" i="8"/>
  <c r="Q116" i="8"/>
  <c r="R111" i="8"/>
  <c r="Q111" i="8"/>
  <c r="R106" i="8"/>
  <c r="Q106" i="8"/>
  <c r="R86" i="8"/>
  <c r="Q86" i="8"/>
  <c r="R81" i="8"/>
  <c r="Q81" i="8"/>
  <c r="R76" i="8"/>
  <c r="Q76" i="8"/>
  <c r="R55" i="8"/>
  <c r="Q55" i="8"/>
  <c r="R50" i="8"/>
  <c r="Q50" i="8"/>
  <c r="R45" i="8"/>
  <c r="Q45" i="8"/>
  <c r="R23" i="8"/>
  <c r="Q23" i="8"/>
  <c r="R18" i="8"/>
  <c r="Q18" i="8"/>
  <c r="R13" i="8"/>
  <c r="Q13" i="8"/>
  <c r="P26" i="6"/>
  <c r="O26" i="6"/>
  <c r="N26" i="6"/>
  <c r="M26" i="6"/>
  <c r="K26" i="6"/>
  <c r="J26" i="6"/>
  <c r="P25" i="6"/>
  <c r="O25" i="6"/>
  <c r="N25" i="6"/>
  <c r="M25" i="6"/>
  <c r="K25" i="6"/>
  <c r="J25" i="6"/>
  <c r="P24" i="6"/>
  <c r="O24" i="6"/>
  <c r="N24" i="6"/>
  <c r="M24" i="6"/>
  <c r="K24" i="6"/>
  <c r="J24" i="6"/>
  <c r="P22" i="6"/>
  <c r="O22" i="6"/>
  <c r="N22" i="6"/>
  <c r="M22" i="6"/>
  <c r="K22" i="6"/>
  <c r="J22" i="6"/>
  <c r="P21" i="6"/>
  <c r="O21" i="6"/>
  <c r="N21" i="6"/>
  <c r="M21" i="6"/>
  <c r="K21" i="6"/>
  <c r="J21" i="6"/>
  <c r="P20" i="6"/>
  <c r="O20" i="6"/>
  <c r="N20" i="6"/>
  <c r="M20" i="6"/>
  <c r="K20" i="6"/>
  <c r="J20" i="6"/>
  <c r="P19" i="6"/>
  <c r="O19" i="6"/>
  <c r="N19" i="6"/>
  <c r="M19" i="6"/>
  <c r="K19" i="6"/>
  <c r="J19" i="6"/>
  <c r="P17" i="6"/>
  <c r="O17" i="6"/>
  <c r="N17" i="6"/>
  <c r="M17" i="6"/>
  <c r="K17" i="6"/>
  <c r="J17" i="6"/>
  <c r="P15" i="6"/>
  <c r="O15" i="6"/>
  <c r="N15" i="6"/>
  <c r="M15" i="6"/>
  <c r="K15" i="6"/>
  <c r="J15" i="6"/>
  <c r="P14" i="6"/>
  <c r="O14" i="6"/>
  <c r="N14" i="6"/>
  <c r="M14" i="6"/>
  <c r="K14" i="6"/>
  <c r="J14" i="6"/>
  <c r="P12" i="6"/>
  <c r="O12" i="6"/>
  <c r="N12" i="6"/>
  <c r="M12" i="6"/>
  <c r="K12" i="6"/>
  <c r="J12" i="6"/>
  <c r="P11" i="6"/>
  <c r="O11" i="6"/>
  <c r="N11" i="6"/>
  <c r="M11" i="6"/>
  <c r="K11" i="6"/>
  <c r="J11" i="6"/>
  <c r="P10" i="6"/>
  <c r="O10" i="6"/>
  <c r="N10" i="6"/>
  <c r="M10" i="6"/>
  <c r="K10" i="6"/>
  <c r="J10" i="6"/>
  <c r="P9" i="6"/>
  <c r="O9" i="6"/>
  <c r="N9" i="6"/>
  <c r="M9" i="6"/>
  <c r="K9" i="6"/>
  <c r="J9" i="6"/>
  <c r="H26" i="6"/>
  <c r="G26" i="6"/>
  <c r="F26" i="6"/>
  <c r="E26" i="6"/>
  <c r="C26" i="6"/>
  <c r="H24" i="5" s="1"/>
  <c r="H25" i="6"/>
  <c r="G25" i="6"/>
  <c r="F25" i="6"/>
  <c r="E25" i="6"/>
  <c r="C25" i="6"/>
  <c r="B25" i="6"/>
  <c r="H24" i="6"/>
  <c r="G24" i="6"/>
  <c r="F24" i="6"/>
  <c r="E24" i="6"/>
  <c r="C24" i="6"/>
  <c r="B24" i="6"/>
  <c r="H22" i="6"/>
  <c r="G22" i="6"/>
  <c r="F22" i="6"/>
  <c r="E22" i="6"/>
  <c r="C22" i="6"/>
  <c r="B22" i="6"/>
  <c r="H21" i="6"/>
  <c r="G21" i="6"/>
  <c r="F21" i="6"/>
  <c r="E21" i="6"/>
  <c r="C21" i="6"/>
  <c r="B21" i="6"/>
  <c r="H20" i="6"/>
  <c r="G20" i="6"/>
  <c r="F20" i="6"/>
  <c r="E20" i="6"/>
  <c r="C20" i="6"/>
  <c r="B20" i="6"/>
  <c r="H19" i="6"/>
  <c r="G19" i="6"/>
  <c r="F19" i="6"/>
  <c r="E19" i="6"/>
  <c r="C19" i="6"/>
  <c r="B19" i="6"/>
  <c r="H17" i="6"/>
  <c r="G17" i="6"/>
  <c r="F17" i="6"/>
  <c r="E17" i="6"/>
  <c r="C17" i="6"/>
  <c r="B17" i="6"/>
  <c r="H15" i="6"/>
  <c r="G15" i="6"/>
  <c r="F15" i="6"/>
  <c r="E15" i="6"/>
  <c r="C15" i="6"/>
  <c r="B15" i="6"/>
  <c r="H14" i="6"/>
  <c r="G14" i="6"/>
  <c r="F14" i="6"/>
  <c r="E14" i="6"/>
  <c r="C14" i="6"/>
  <c r="B14" i="6"/>
  <c r="H12" i="6"/>
  <c r="G12" i="6"/>
  <c r="F12" i="6"/>
  <c r="E12" i="6"/>
  <c r="C12" i="6"/>
  <c r="B12" i="6"/>
  <c r="H11" i="6"/>
  <c r="G11" i="6"/>
  <c r="F11" i="6"/>
  <c r="E11" i="6"/>
  <c r="C11" i="6"/>
  <c r="B11" i="6"/>
  <c r="H10" i="6"/>
  <c r="G10" i="6"/>
  <c r="F10" i="6"/>
  <c r="E10" i="6"/>
  <c r="C10" i="6"/>
  <c r="H9" i="6"/>
  <c r="G9" i="6"/>
  <c r="F9" i="6"/>
  <c r="E9" i="6"/>
  <c r="C9" i="6"/>
  <c r="B10" i="6"/>
  <c r="B9" i="6"/>
  <c r="R23" i="6"/>
  <c r="Q23" i="6"/>
  <c r="R18" i="6"/>
  <c r="Q18" i="6"/>
  <c r="R13" i="6"/>
  <c r="H10" i="5" l="1"/>
  <c r="H17" i="5"/>
  <c r="H22" i="5"/>
  <c r="H13" i="5"/>
  <c r="H19" i="5"/>
  <c r="H69" i="5"/>
  <c r="H76" i="5"/>
  <c r="H81" i="5"/>
  <c r="H8" i="5"/>
  <c r="H67" i="5"/>
  <c r="H72" i="5"/>
  <c r="H78" i="5"/>
  <c r="H83" i="5"/>
  <c r="H9" i="5"/>
  <c r="H12" i="5"/>
  <c r="H15" i="5"/>
  <c r="H18" i="5"/>
  <c r="H20" i="5"/>
  <c r="H23" i="5"/>
  <c r="H68" i="5"/>
  <c r="H71" i="5"/>
  <c r="H74" i="5"/>
  <c r="H77" i="5"/>
  <c r="H79" i="5"/>
  <c r="H82" i="5"/>
  <c r="L90" i="8"/>
  <c r="R90" i="8" s="1"/>
  <c r="L151" i="8"/>
  <c r="E110" i="7" s="1"/>
  <c r="D428" i="8"/>
  <c r="N52" i="7" s="1"/>
  <c r="L113" i="8"/>
  <c r="R113" i="8" s="1"/>
  <c r="L141" i="8"/>
  <c r="E100" i="7" s="1"/>
  <c r="L149" i="8"/>
  <c r="E108" i="7" s="1"/>
  <c r="L202" i="8"/>
  <c r="G100" i="7" s="1"/>
  <c r="D274" i="8"/>
  <c r="I52" i="7" s="1"/>
  <c r="D290" i="8"/>
  <c r="J37" i="7" s="1"/>
  <c r="D326" i="8"/>
  <c r="K42" i="7" s="1"/>
  <c r="L103" i="8"/>
  <c r="D93" i="7" s="1"/>
  <c r="L115" i="8"/>
  <c r="R115" i="8" s="1"/>
  <c r="L139" i="8"/>
  <c r="E98" i="7" s="1"/>
  <c r="L167" i="8"/>
  <c r="F95" i="7" s="1"/>
  <c r="L177" i="8"/>
  <c r="F105" i="7" s="1"/>
  <c r="L200" i="8"/>
  <c r="G98" i="7" s="1"/>
  <c r="L210" i="8"/>
  <c r="G108" i="7" s="1"/>
  <c r="D238" i="8"/>
  <c r="M47" i="7" s="1"/>
  <c r="D321" i="8"/>
  <c r="Q321" i="8" s="1"/>
  <c r="D367" i="8"/>
  <c r="L52" i="7" s="1"/>
  <c r="L79" i="8"/>
  <c r="R79" i="8" s="1"/>
  <c r="L117" i="8"/>
  <c r="D107" i="7" s="1"/>
  <c r="L179" i="8"/>
  <c r="F107" i="7" s="1"/>
  <c r="D257" i="8"/>
  <c r="Q257" i="8" s="1"/>
  <c r="D293" i="8"/>
  <c r="J40" i="7" s="1"/>
  <c r="D298" i="8"/>
  <c r="J45" i="7" s="1"/>
  <c r="L80" i="8"/>
  <c r="R80" i="8" s="1"/>
  <c r="L88" i="8"/>
  <c r="R88" i="8" s="1"/>
  <c r="L105" i="8"/>
  <c r="D95" i="7" s="1"/>
  <c r="D233" i="8"/>
  <c r="M42" i="7" s="1"/>
  <c r="D269" i="8"/>
  <c r="Q269" i="8" s="1"/>
  <c r="D362" i="8"/>
  <c r="Q362" i="8" s="1"/>
  <c r="D330" i="8"/>
  <c r="K46" i="7" s="1"/>
  <c r="D393" i="8"/>
  <c r="P47" i="7" s="1"/>
  <c r="D87" i="8"/>
  <c r="Q87" i="8" s="1"/>
  <c r="D89" i="8"/>
  <c r="C51" i="7" s="1"/>
  <c r="D102" i="8"/>
  <c r="D34" i="7" s="1"/>
  <c r="D104" i="8"/>
  <c r="Q104" i="8" s="1"/>
  <c r="D112" i="8"/>
  <c r="Q112" i="8" s="1"/>
  <c r="D114" i="8"/>
  <c r="D46" i="7" s="1"/>
  <c r="D138" i="8"/>
  <c r="E39" i="7" s="1"/>
  <c r="D140" i="8"/>
  <c r="Q140" i="8" s="1"/>
  <c r="D148" i="8"/>
  <c r="E49" i="7" s="1"/>
  <c r="D150" i="8"/>
  <c r="E51" i="7" s="1"/>
  <c r="D164" i="8"/>
  <c r="F34" i="7" s="1"/>
  <c r="D166" i="8"/>
  <c r="F36" i="7" s="1"/>
  <c r="D174" i="8"/>
  <c r="F44" i="7" s="1"/>
  <c r="D176" i="8"/>
  <c r="F46" i="7" s="1"/>
  <c r="D199" i="8"/>
  <c r="G39" i="7" s="1"/>
  <c r="D201" i="8"/>
  <c r="G41" i="7" s="1"/>
  <c r="D209" i="8"/>
  <c r="G49" i="7" s="1"/>
  <c r="D211" i="8"/>
  <c r="G51" i="7" s="1"/>
  <c r="D230" i="8"/>
  <c r="Q230" i="8" s="1"/>
  <c r="D235" i="8"/>
  <c r="M44" i="7" s="1"/>
  <c r="D240" i="8"/>
  <c r="Q240" i="8" s="1"/>
  <c r="D256" i="8"/>
  <c r="I34" i="7" s="1"/>
  <c r="D266" i="8"/>
  <c r="Q266" i="8" s="1"/>
  <c r="D271" i="8"/>
  <c r="I49" i="7" s="1"/>
  <c r="D287" i="8"/>
  <c r="J34" i="7" s="1"/>
  <c r="D292" i="8"/>
  <c r="J39" i="7" s="1"/>
  <c r="D302" i="8"/>
  <c r="Q302" i="8" s="1"/>
  <c r="D318" i="8"/>
  <c r="K34" i="7" s="1"/>
  <c r="D323" i="8"/>
  <c r="K39" i="7" s="1"/>
  <c r="D328" i="8"/>
  <c r="K44" i="7" s="1"/>
  <c r="D349" i="8"/>
  <c r="Q349" i="8" s="1"/>
  <c r="D359" i="8"/>
  <c r="Q359" i="8" s="1"/>
  <c r="D364" i="8"/>
  <c r="L49" i="7" s="1"/>
  <c r="D415" i="8"/>
  <c r="N39" i="7" s="1"/>
  <c r="D420" i="8"/>
  <c r="Q420" i="8" s="1"/>
  <c r="D425" i="8"/>
  <c r="N49" i="7" s="1"/>
  <c r="D440" i="8"/>
  <c r="O34" i="7" s="1"/>
  <c r="D445" i="8"/>
  <c r="Q445" i="8" s="1"/>
  <c r="D450" i="8"/>
  <c r="O44" i="7" s="1"/>
  <c r="D455" i="8"/>
  <c r="Q455" i="8" s="1"/>
  <c r="L165" i="8"/>
  <c r="F93" i="7" s="1"/>
  <c r="L175" i="8"/>
  <c r="F103" i="7" s="1"/>
  <c r="L212" i="8"/>
  <c r="G110" i="7" s="1"/>
  <c r="D305" i="8"/>
  <c r="J52" i="7" s="1"/>
  <c r="D413" i="8"/>
  <c r="N37" i="7" s="1"/>
  <c r="D423" i="8"/>
  <c r="N47" i="7" s="1"/>
  <c r="D443" i="8"/>
  <c r="Q443" i="8" s="1"/>
  <c r="D453" i="8"/>
  <c r="O47" i="7" s="1"/>
  <c r="D458" i="8"/>
  <c r="Q458" i="8" s="1"/>
  <c r="D242" i="8"/>
  <c r="M51" i="7" s="1"/>
  <c r="D351" i="8"/>
  <c r="L36" i="7" s="1"/>
  <c r="H12" i="7"/>
  <c r="H17" i="7"/>
  <c r="H22" i="7"/>
  <c r="H64" i="7"/>
  <c r="H69" i="7"/>
  <c r="H74" i="7"/>
  <c r="H79" i="7"/>
  <c r="B7" i="7"/>
  <c r="B9" i="7"/>
  <c r="B12" i="7"/>
  <c r="B14" i="7"/>
  <c r="B17" i="7"/>
  <c r="B19" i="7"/>
  <c r="L58" i="8"/>
  <c r="B109" i="7" s="1"/>
  <c r="L72" i="8"/>
  <c r="R72" i="8" s="1"/>
  <c r="L82" i="8"/>
  <c r="C102" i="7" s="1"/>
  <c r="L84" i="8"/>
  <c r="R84" i="8" s="1"/>
  <c r="L107" i="8"/>
  <c r="D97" i="7" s="1"/>
  <c r="L109" i="8"/>
  <c r="R109" i="8" s="1"/>
  <c r="L119" i="8"/>
  <c r="D109" i="7" s="1"/>
  <c r="L133" i="8"/>
  <c r="R133" i="8" s="1"/>
  <c r="L135" i="8"/>
  <c r="R135" i="8" s="1"/>
  <c r="L143" i="8"/>
  <c r="R143" i="8" s="1"/>
  <c r="L145" i="8"/>
  <c r="E104" i="7" s="1"/>
  <c r="L169" i="8"/>
  <c r="F97" i="7" s="1"/>
  <c r="L171" i="8"/>
  <c r="F99" i="7" s="1"/>
  <c r="L181" i="8"/>
  <c r="F109" i="7" s="1"/>
  <c r="L194" i="8"/>
  <c r="G92" i="7" s="1"/>
  <c r="L196" i="8"/>
  <c r="G94" i="7" s="1"/>
  <c r="L204" i="8"/>
  <c r="G102" i="7" s="1"/>
  <c r="L206" i="8"/>
  <c r="G104" i="7" s="1"/>
  <c r="D226" i="8"/>
  <c r="M35" i="7" s="1"/>
  <c r="D241" i="8"/>
  <c r="M50" i="7" s="1"/>
  <c r="D258" i="8"/>
  <c r="I36" i="7" s="1"/>
  <c r="D262" i="8"/>
  <c r="I40" i="7" s="1"/>
  <c r="D294" i="8"/>
  <c r="Q294" i="8" s="1"/>
  <c r="D329" i="8"/>
  <c r="K45" i="7" s="1"/>
  <c r="D334" i="8"/>
  <c r="K50" i="7" s="1"/>
  <c r="D350" i="8"/>
  <c r="L35" i="7" s="1"/>
  <c r="D355" i="8"/>
  <c r="L40" i="7" s="1"/>
  <c r="D411" i="8"/>
  <c r="N35" i="7" s="1"/>
  <c r="D416" i="8"/>
  <c r="N40" i="7" s="1"/>
  <c r="D446" i="8"/>
  <c r="O40" i="7" s="1"/>
  <c r="K35" i="5"/>
  <c r="L75" i="8"/>
  <c r="R75" i="8" s="1"/>
  <c r="D83" i="8"/>
  <c r="C45" i="7" s="1"/>
  <c r="D85" i="8"/>
  <c r="Q85" i="8" s="1"/>
  <c r="L85" i="8"/>
  <c r="R85" i="8" s="1"/>
  <c r="D108" i="8"/>
  <c r="D40" i="7" s="1"/>
  <c r="D110" i="8"/>
  <c r="Q110" i="8" s="1"/>
  <c r="L110" i="8"/>
  <c r="D100" i="7" s="1"/>
  <c r="D118" i="8"/>
  <c r="Q118" i="8" s="1"/>
  <c r="D120" i="8"/>
  <c r="D52" i="7" s="1"/>
  <c r="L120" i="8"/>
  <c r="R120" i="8" s="1"/>
  <c r="D134" i="8"/>
  <c r="E35" i="7" s="1"/>
  <c r="D136" i="8"/>
  <c r="Q136" i="8" s="1"/>
  <c r="L136" i="8"/>
  <c r="R136" i="8" s="1"/>
  <c r="D144" i="8"/>
  <c r="Q144" i="8" s="1"/>
  <c r="D146" i="8"/>
  <c r="E47" i="7" s="1"/>
  <c r="L146" i="8"/>
  <c r="E105" i="7" s="1"/>
  <c r="D170" i="8"/>
  <c r="F40" i="7" s="1"/>
  <c r="D172" i="8"/>
  <c r="F42" i="7" s="1"/>
  <c r="L172" i="8"/>
  <c r="F100" i="7" s="1"/>
  <c r="D180" i="8"/>
  <c r="F50" i="7" s="1"/>
  <c r="D182" i="8"/>
  <c r="F52" i="7" s="1"/>
  <c r="L182" i="8"/>
  <c r="F110" i="7" s="1"/>
  <c r="D195" i="8"/>
  <c r="G35" i="7" s="1"/>
  <c r="D197" i="8"/>
  <c r="G37" i="7" s="1"/>
  <c r="L197" i="8"/>
  <c r="G95" i="7" s="1"/>
  <c r="D205" i="8"/>
  <c r="G45" i="7" s="1"/>
  <c r="D207" i="8"/>
  <c r="G47" i="7" s="1"/>
  <c r="L207" i="8"/>
  <c r="G105" i="7" s="1"/>
  <c r="D227" i="8"/>
  <c r="M36" i="7" s="1"/>
  <c r="D232" i="8"/>
  <c r="Q232" i="8" s="1"/>
  <c r="D243" i="8"/>
  <c r="Q243" i="8" s="1"/>
  <c r="D263" i="8"/>
  <c r="I41" i="7" s="1"/>
  <c r="D264" i="8"/>
  <c r="I42" i="7" s="1"/>
  <c r="D268" i="8"/>
  <c r="Q268" i="8" s="1"/>
  <c r="D295" i="8"/>
  <c r="Q295" i="8" s="1"/>
  <c r="D299" i="8"/>
  <c r="J46" i="7" s="1"/>
  <c r="D304" i="8"/>
  <c r="Q304" i="8" s="1"/>
  <c r="D320" i="8"/>
  <c r="K36" i="7" s="1"/>
  <c r="D335" i="8"/>
  <c r="K51" i="7" s="1"/>
  <c r="D336" i="8"/>
  <c r="K52" i="7" s="1"/>
  <c r="D356" i="8"/>
  <c r="L41" i="7" s="1"/>
  <c r="D357" i="8"/>
  <c r="L42" i="7" s="1"/>
  <c r="D361" i="8"/>
  <c r="L46" i="7" s="1"/>
  <c r="D412" i="8"/>
  <c r="Q412" i="8" s="1"/>
  <c r="D417" i="8"/>
  <c r="N41" i="7" s="1"/>
  <c r="D418" i="8"/>
  <c r="N42" i="7" s="1"/>
  <c r="D422" i="8"/>
  <c r="N46" i="7" s="1"/>
  <c r="D442" i="8"/>
  <c r="O36" i="7" s="1"/>
  <c r="D447" i="8"/>
  <c r="O41" i="7" s="1"/>
  <c r="D448" i="8"/>
  <c r="O42" i="7" s="1"/>
  <c r="D452" i="8"/>
  <c r="O46" i="7" s="1"/>
  <c r="D398" i="8"/>
  <c r="P52" i="7" s="1"/>
  <c r="L74" i="8"/>
  <c r="C94" i="7" s="1"/>
  <c r="L77" i="8"/>
  <c r="C97" i="7" s="1"/>
  <c r="L87" i="8"/>
  <c r="C107" i="7" s="1"/>
  <c r="L89" i="8"/>
  <c r="R89" i="8" s="1"/>
  <c r="L102" i="8"/>
  <c r="R102" i="8" s="1"/>
  <c r="L104" i="8"/>
  <c r="R104" i="8" s="1"/>
  <c r="L112" i="8"/>
  <c r="D102" i="7" s="1"/>
  <c r="L114" i="8"/>
  <c r="R114" i="8" s="1"/>
  <c r="L138" i="8"/>
  <c r="E97" i="7" s="1"/>
  <c r="L140" i="8"/>
  <c r="R140" i="8" s="1"/>
  <c r="L148" i="8"/>
  <c r="E107" i="7" s="1"/>
  <c r="L150" i="8"/>
  <c r="E109" i="7" s="1"/>
  <c r="L164" i="8"/>
  <c r="F92" i="7" s="1"/>
  <c r="L166" i="8"/>
  <c r="F94" i="7" s="1"/>
  <c r="L174" i="8"/>
  <c r="F102" i="7" s="1"/>
  <c r="L176" i="8"/>
  <c r="F104" i="7" s="1"/>
  <c r="L199" i="8"/>
  <c r="G97" i="7" s="1"/>
  <c r="L201" i="8"/>
  <c r="G99" i="7" s="1"/>
  <c r="L209" i="8"/>
  <c r="G107" i="7" s="1"/>
  <c r="L211" i="8"/>
  <c r="G109" i="7" s="1"/>
  <c r="D231" i="8"/>
  <c r="Q231" i="8" s="1"/>
  <c r="D236" i="8"/>
  <c r="M45" i="7" s="1"/>
  <c r="D267" i="8"/>
  <c r="Q267" i="8" s="1"/>
  <c r="D272" i="8"/>
  <c r="I50" i="7" s="1"/>
  <c r="D288" i="8"/>
  <c r="J35" i="7" s="1"/>
  <c r="D303" i="8"/>
  <c r="Q303" i="8" s="1"/>
  <c r="D319" i="8"/>
  <c r="K35" i="7" s="1"/>
  <c r="D324" i="8"/>
  <c r="K40" i="7" s="1"/>
  <c r="D360" i="8"/>
  <c r="Q360" i="8" s="1"/>
  <c r="D365" i="8"/>
  <c r="L50" i="7" s="1"/>
  <c r="D421" i="8"/>
  <c r="N45" i="7" s="1"/>
  <c r="D426" i="8"/>
  <c r="N50" i="7" s="1"/>
  <c r="D441" i="8"/>
  <c r="O35" i="7" s="1"/>
  <c r="D451" i="8"/>
  <c r="O45" i="7" s="1"/>
  <c r="D456" i="8"/>
  <c r="Q456" i="8" s="1"/>
  <c r="D396" i="8"/>
  <c r="P50" i="7" s="1"/>
  <c r="H9" i="7"/>
  <c r="H19" i="7"/>
  <c r="H66" i="7"/>
  <c r="H76" i="7"/>
  <c r="B8" i="7"/>
  <c r="B13" i="7"/>
  <c r="B18" i="7"/>
  <c r="L78" i="8"/>
  <c r="C98" i="7" s="1"/>
  <c r="L83" i="8"/>
  <c r="C103" i="7" s="1"/>
  <c r="L108" i="8"/>
  <c r="R108" i="8" s="1"/>
  <c r="L118" i="8"/>
  <c r="R118" i="8" s="1"/>
  <c r="L134" i="8"/>
  <c r="E93" i="7" s="1"/>
  <c r="L144" i="8"/>
  <c r="R144" i="8" s="1"/>
  <c r="L170" i="8"/>
  <c r="F98" i="7" s="1"/>
  <c r="L180" i="8"/>
  <c r="F108" i="7" s="1"/>
  <c r="L195" i="8"/>
  <c r="G93" i="7" s="1"/>
  <c r="L205" i="8"/>
  <c r="G103" i="7" s="1"/>
  <c r="D228" i="8"/>
  <c r="M37" i="7" s="1"/>
  <c r="D259" i="8"/>
  <c r="Q259" i="8" s="1"/>
  <c r="D300" i="8"/>
  <c r="J47" i="7" s="1"/>
  <c r="D331" i="8"/>
  <c r="Q331" i="8" s="1"/>
  <c r="D352" i="8"/>
  <c r="L37" i="7" s="1"/>
  <c r="D90" i="8"/>
  <c r="Q90" i="8" s="1"/>
  <c r="D105" i="8"/>
  <c r="Q105" i="8" s="1"/>
  <c r="D115" i="8"/>
  <c r="Q115" i="8" s="1"/>
  <c r="D141" i="8"/>
  <c r="E42" i="7" s="1"/>
  <c r="D151" i="8"/>
  <c r="E52" i="7" s="1"/>
  <c r="D167" i="8"/>
  <c r="F37" i="7" s="1"/>
  <c r="D177" i="8"/>
  <c r="F47" i="7" s="1"/>
  <c r="D202" i="8"/>
  <c r="G42" i="7" s="1"/>
  <c r="D212" i="8"/>
  <c r="G52" i="7" s="1"/>
  <c r="D273" i="8"/>
  <c r="I51" i="7" s="1"/>
  <c r="D325" i="8"/>
  <c r="K41" i="7" s="1"/>
  <c r="D366" i="8"/>
  <c r="L51" i="7" s="1"/>
  <c r="D427" i="8"/>
  <c r="N51" i="7" s="1"/>
  <c r="D457" i="8"/>
  <c r="Q457" i="8" s="1"/>
  <c r="D388" i="8"/>
  <c r="P42" i="7" s="1"/>
  <c r="D84" i="8"/>
  <c r="Q84" i="8" s="1"/>
  <c r="D109" i="8"/>
  <c r="D41" i="7" s="1"/>
  <c r="D119" i="8"/>
  <c r="D51" i="7" s="1"/>
  <c r="D135" i="8"/>
  <c r="E36" i="7" s="1"/>
  <c r="D145" i="8"/>
  <c r="E46" i="7" s="1"/>
  <c r="D171" i="8"/>
  <c r="F41" i="7" s="1"/>
  <c r="D181" i="8"/>
  <c r="F51" i="7" s="1"/>
  <c r="D196" i="8"/>
  <c r="G36" i="7" s="1"/>
  <c r="D206" i="8"/>
  <c r="G46" i="7" s="1"/>
  <c r="D261" i="8"/>
  <c r="I39" i="7" s="1"/>
  <c r="D333" i="8"/>
  <c r="K49" i="7" s="1"/>
  <c r="D354" i="8"/>
  <c r="L39" i="7" s="1"/>
  <c r="D88" i="8"/>
  <c r="C50" i="7" s="1"/>
  <c r="D103" i="8"/>
  <c r="Q103" i="8" s="1"/>
  <c r="D113" i="8"/>
  <c r="D45" i="7" s="1"/>
  <c r="D139" i="8"/>
  <c r="E40" i="7" s="1"/>
  <c r="D149" i="8"/>
  <c r="E50" i="7" s="1"/>
  <c r="D165" i="8"/>
  <c r="F35" i="7" s="1"/>
  <c r="D175" i="8"/>
  <c r="F45" i="7" s="1"/>
  <c r="D200" i="8"/>
  <c r="G40" i="7" s="1"/>
  <c r="D210" i="8"/>
  <c r="G50" i="7" s="1"/>
  <c r="D237" i="8"/>
  <c r="M46" i="7" s="1"/>
  <c r="D289" i="8"/>
  <c r="J36" i="7" s="1"/>
  <c r="D410" i="8"/>
  <c r="N34" i="7" s="1"/>
  <c r="D82" i="8"/>
  <c r="Q82" i="8" s="1"/>
  <c r="D107" i="8"/>
  <c r="Q107" i="8" s="1"/>
  <c r="D117" i="8"/>
  <c r="Q117" i="8" s="1"/>
  <c r="D133" i="8"/>
  <c r="Q133" i="8" s="1"/>
  <c r="D143" i="8"/>
  <c r="Q143" i="8" s="1"/>
  <c r="D169" i="8"/>
  <c r="F39" i="7" s="1"/>
  <c r="D179" i="8"/>
  <c r="F49" i="7" s="1"/>
  <c r="D194" i="8"/>
  <c r="G34" i="7" s="1"/>
  <c r="D204" i="8"/>
  <c r="G44" i="7" s="1"/>
  <c r="D225" i="8"/>
  <c r="M34" i="7" s="1"/>
  <c r="D297" i="8"/>
  <c r="J44" i="7" s="1"/>
  <c r="D391" i="8"/>
  <c r="P45" i="7" s="1"/>
  <c r="L35" i="5"/>
  <c r="H14" i="7"/>
  <c r="H24" i="7"/>
  <c r="H71" i="7"/>
  <c r="H81" i="7"/>
  <c r="B10" i="7"/>
  <c r="B15" i="7"/>
  <c r="B20" i="7"/>
  <c r="D11" i="8"/>
  <c r="H36" i="7" s="1"/>
  <c r="D16" i="8"/>
  <c r="H41" i="7" s="1"/>
  <c r="D21" i="8"/>
  <c r="Q21" i="8" s="1"/>
  <c r="H23" i="7"/>
  <c r="H65" i="7"/>
  <c r="L16" i="8"/>
  <c r="H99" i="7" s="1"/>
  <c r="H75" i="7"/>
  <c r="H80" i="7"/>
  <c r="B64" i="7"/>
  <c r="B66" i="7"/>
  <c r="D47" i="8"/>
  <c r="B71" i="7"/>
  <c r="D52" i="8"/>
  <c r="B45" i="7" s="1"/>
  <c r="B76" i="7"/>
  <c r="D392" i="8"/>
  <c r="Q392" i="8" s="1"/>
  <c r="D397" i="8"/>
  <c r="P51" i="7" s="1"/>
  <c r="H13" i="7"/>
  <c r="H18" i="7"/>
  <c r="D26" i="8"/>
  <c r="L11" i="8"/>
  <c r="H94" i="7" s="1"/>
  <c r="H70" i="7"/>
  <c r="L21" i="8"/>
  <c r="L26" i="8"/>
  <c r="R26" i="8" s="1"/>
  <c r="D42" i="8"/>
  <c r="D44" i="8"/>
  <c r="B69" i="7"/>
  <c r="D49" i="8"/>
  <c r="B42" i="7" s="1"/>
  <c r="B74" i="7"/>
  <c r="D54" i="8"/>
  <c r="Q54" i="8" s="1"/>
  <c r="H7" i="5"/>
  <c r="D9" i="8"/>
  <c r="Q9" i="8" s="1"/>
  <c r="D12" i="8"/>
  <c r="H37" i="7" s="1"/>
  <c r="D17" i="8"/>
  <c r="H42" i="7" s="1"/>
  <c r="D22" i="8"/>
  <c r="D27" i="8"/>
  <c r="Q27" i="8" s="1"/>
  <c r="L12" i="8"/>
  <c r="H95" i="7" s="1"/>
  <c r="L17" i="8"/>
  <c r="R17" i="8" s="1"/>
  <c r="L22" i="8"/>
  <c r="L27" i="8"/>
  <c r="L42" i="8"/>
  <c r="L44" i="8"/>
  <c r="L47" i="8"/>
  <c r="L49" i="8"/>
  <c r="B100" i="7" s="1"/>
  <c r="L52" i="8"/>
  <c r="R52" i="8" s="1"/>
  <c r="L54" i="8"/>
  <c r="B105" i="7" s="1"/>
  <c r="H10" i="7"/>
  <c r="H15" i="7"/>
  <c r="H20" i="7"/>
  <c r="H25" i="7"/>
  <c r="L14" i="8"/>
  <c r="H97" i="7" s="1"/>
  <c r="H72" i="7"/>
  <c r="H77" i="7"/>
  <c r="H82" i="7"/>
  <c r="B65" i="7"/>
  <c r="B67" i="7"/>
  <c r="B70" i="7"/>
  <c r="B72" i="7"/>
  <c r="B75" i="7"/>
  <c r="B77" i="7"/>
  <c r="H8" i="7"/>
  <c r="D395" i="8"/>
  <c r="P49" i="7" s="1"/>
  <c r="D14" i="8"/>
  <c r="H39" i="7" s="1"/>
  <c r="D19" i="8"/>
  <c r="Q19" i="8" s="1"/>
  <c r="D24" i="8"/>
  <c r="L9" i="8"/>
  <c r="R9" i="8" s="1"/>
  <c r="H67" i="7"/>
  <c r="L19" i="8"/>
  <c r="H102" i="7" s="1"/>
  <c r="L24" i="8"/>
  <c r="D41" i="8"/>
  <c r="D43" i="8"/>
  <c r="D46" i="8"/>
  <c r="D48" i="8"/>
  <c r="D51" i="8"/>
  <c r="Q51" i="8" s="1"/>
  <c r="D53" i="8"/>
  <c r="B46" i="7" s="1"/>
  <c r="H7" i="7"/>
  <c r="D10" i="8"/>
  <c r="H35" i="7" s="1"/>
  <c r="D15" i="8"/>
  <c r="H40" i="7" s="1"/>
  <c r="D20" i="8"/>
  <c r="H45" i="7" s="1"/>
  <c r="D25" i="8"/>
  <c r="Q25" i="8" s="1"/>
  <c r="L10" i="8"/>
  <c r="R10" i="8" s="1"/>
  <c r="L15" i="8"/>
  <c r="H98" i="7" s="1"/>
  <c r="L20" i="8"/>
  <c r="H103" i="7" s="1"/>
  <c r="L25" i="8"/>
  <c r="R25" i="8" s="1"/>
  <c r="L41" i="8"/>
  <c r="L43" i="8"/>
  <c r="L46" i="8"/>
  <c r="L48" i="8"/>
  <c r="R48" i="8" s="1"/>
  <c r="L51" i="8"/>
  <c r="B102" i="7" s="1"/>
  <c r="L53" i="8"/>
  <c r="B104" i="7" s="1"/>
  <c r="B22" i="7"/>
  <c r="D56" i="8"/>
  <c r="B49" i="7" s="1"/>
  <c r="B79" i="7"/>
  <c r="L56" i="8"/>
  <c r="B107" i="7" s="1"/>
  <c r="B23" i="7"/>
  <c r="D57" i="8"/>
  <c r="Q57" i="8" s="1"/>
  <c r="B80" i="7"/>
  <c r="L57" i="8"/>
  <c r="R57" i="8" s="1"/>
  <c r="B24" i="7"/>
  <c r="D58" i="8"/>
  <c r="Q58" i="8" s="1"/>
  <c r="B81" i="7"/>
  <c r="B25" i="7"/>
  <c r="D59" i="8"/>
  <c r="B52" i="7" s="1"/>
  <c r="B82" i="7"/>
  <c r="L59" i="8"/>
  <c r="B110" i="7" s="1"/>
  <c r="C7" i="7"/>
  <c r="D72" i="8"/>
  <c r="Q72" i="8" s="1"/>
  <c r="C64" i="7"/>
  <c r="C8" i="7"/>
  <c r="D73" i="8"/>
  <c r="Q73" i="8" s="1"/>
  <c r="C65" i="7"/>
  <c r="L73" i="8"/>
  <c r="C93" i="7" s="1"/>
  <c r="C9" i="7"/>
  <c r="D74" i="8"/>
  <c r="Q74" i="8" s="1"/>
  <c r="C66" i="7"/>
  <c r="C10" i="7"/>
  <c r="D75" i="8"/>
  <c r="C37" i="7" s="1"/>
  <c r="C67" i="7"/>
  <c r="C12" i="7"/>
  <c r="D77" i="8"/>
  <c r="C39" i="7" s="1"/>
  <c r="C69" i="7"/>
  <c r="C13" i="7"/>
  <c r="D78" i="8"/>
  <c r="Q78" i="8" s="1"/>
  <c r="C70" i="7"/>
  <c r="C14" i="7"/>
  <c r="D79" i="8"/>
  <c r="Q79" i="8" s="1"/>
  <c r="C71" i="7"/>
  <c r="C15" i="7"/>
  <c r="D80" i="8"/>
  <c r="Q80" i="8" s="1"/>
  <c r="C72" i="7"/>
  <c r="C17" i="7"/>
  <c r="C74" i="7"/>
  <c r="C18" i="7"/>
  <c r="C75" i="7"/>
  <c r="C19" i="7"/>
  <c r="C76" i="7"/>
  <c r="C20" i="7"/>
  <c r="C77" i="7"/>
  <c r="C22" i="7"/>
  <c r="C79" i="7"/>
  <c r="C23" i="7"/>
  <c r="C80" i="7"/>
  <c r="C24" i="7"/>
  <c r="C81" i="7"/>
  <c r="C25" i="7"/>
  <c r="C82" i="7"/>
  <c r="D7" i="7"/>
  <c r="D64" i="7"/>
  <c r="D8" i="7"/>
  <c r="D65" i="7"/>
  <c r="D9" i="7"/>
  <c r="D66" i="7"/>
  <c r="D10" i="7"/>
  <c r="D67" i="7"/>
  <c r="D12" i="7"/>
  <c r="D69" i="7"/>
  <c r="D13" i="7"/>
  <c r="D70" i="7"/>
  <c r="D14" i="7"/>
  <c r="D71" i="7"/>
  <c r="D15" i="7"/>
  <c r="D72" i="7"/>
  <c r="D17" i="7"/>
  <c r="D74" i="7"/>
  <c r="D18" i="7"/>
  <c r="D75" i="7"/>
  <c r="D19" i="7"/>
  <c r="D76" i="7"/>
  <c r="D20" i="7"/>
  <c r="D77" i="7"/>
  <c r="D22" i="7"/>
  <c r="D79" i="7"/>
  <c r="D23" i="7"/>
  <c r="D80" i="7"/>
  <c r="D24" i="7"/>
  <c r="D81" i="7"/>
  <c r="D25" i="7"/>
  <c r="D82" i="7"/>
  <c r="P19" i="7"/>
  <c r="P20" i="7"/>
  <c r="P22" i="7"/>
  <c r="P23" i="7"/>
  <c r="D387" i="8"/>
  <c r="P41" i="7" s="1"/>
  <c r="D390" i="8"/>
  <c r="P44" i="7" s="1"/>
  <c r="E7" i="7"/>
  <c r="E64" i="7"/>
  <c r="E8" i="7"/>
  <c r="E65" i="7"/>
  <c r="E9" i="7"/>
  <c r="E66" i="7"/>
  <c r="E10" i="7"/>
  <c r="E67" i="7"/>
  <c r="E12" i="7"/>
  <c r="E69" i="7"/>
  <c r="E13" i="7"/>
  <c r="E70" i="7"/>
  <c r="E14" i="7"/>
  <c r="E71" i="7"/>
  <c r="E15" i="7"/>
  <c r="E72" i="7"/>
  <c r="E17" i="7"/>
  <c r="E74" i="7"/>
  <c r="E18" i="7"/>
  <c r="E75" i="7"/>
  <c r="E19" i="7"/>
  <c r="E20" i="7"/>
  <c r="E22" i="7"/>
  <c r="E23" i="7"/>
  <c r="E24" i="7"/>
  <c r="E25" i="7"/>
  <c r="F7" i="7"/>
  <c r="F8" i="7"/>
  <c r="F9" i="7"/>
  <c r="F10" i="7"/>
  <c r="F12" i="7"/>
  <c r="F13" i="7"/>
  <c r="F14" i="7"/>
  <c r="F15" i="7"/>
  <c r="F17" i="7"/>
  <c r="F18" i="7"/>
  <c r="F19" i="7"/>
  <c r="F20" i="7"/>
  <c r="F22" i="7"/>
  <c r="F23" i="7"/>
  <c r="F24" i="7"/>
  <c r="F25" i="7"/>
  <c r="G8" i="7"/>
  <c r="G9" i="7"/>
  <c r="G10" i="7"/>
  <c r="G12" i="7"/>
  <c r="G13" i="7"/>
  <c r="G14" i="7"/>
  <c r="G15" i="7"/>
  <c r="G17" i="7"/>
  <c r="G18" i="7"/>
  <c r="G19" i="7"/>
  <c r="G20" i="7"/>
  <c r="G22" i="7"/>
  <c r="G23" i="7"/>
  <c r="G24" i="7"/>
  <c r="G25" i="7"/>
  <c r="M8" i="7"/>
  <c r="M9" i="7"/>
  <c r="M10" i="7"/>
  <c r="M12" i="7"/>
  <c r="M13" i="7"/>
  <c r="M14" i="7"/>
  <c r="M15" i="7"/>
  <c r="M17" i="7"/>
  <c r="M18" i="7"/>
  <c r="M19" i="7"/>
  <c r="M20" i="7"/>
  <c r="M22" i="7"/>
  <c r="M23" i="7"/>
  <c r="M24" i="7"/>
  <c r="M25" i="7"/>
  <c r="I8" i="7"/>
  <c r="I9" i="7"/>
  <c r="I10" i="7"/>
  <c r="I12" i="7"/>
  <c r="I13" i="7"/>
  <c r="I14" i="7"/>
  <c r="I15" i="7"/>
  <c r="I17" i="7"/>
  <c r="I18" i="7"/>
  <c r="I19" i="7"/>
  <c r="I20" i="7"/>
  <c r="I22" i="7"/>
  <c r="I23" i="7"/>
  <c r="I24" i="7"/>
  <c r="I25" i="7"/>
  <c r="J8" i="7"/>
  <c r="J9" i="7"/>
  <c r="J10" i="7"/>
  <c r="J12" i="7"/>
  <c r="J13" i="7"/>
  <c r="J14" i="7"/>
  <c r="J15" i="7"/>
  <c r="J17" i="7"/>
  <c r="J18" i="7"/>
  <c r="J19" i="7"/>
  <c r="J22" i="7"/>
  <c r="J23" i="7"/>
  <c r="P7" i="7"/>
  <c r="D380" i="8"/>
  <c r="P34" i="7" s="1"/>
  <c r="P8" i="7"/>
  <c r="D381" i="8"/>
  <c r="P35" i="7" s="1"/>
  <c r="P9" i="7"/>
  <c r="D382" i="8"/>
  <c r="Q382" i="8" s="1"/>
  <c r="P10" i="7"/>
  <c r="D383" i="8"/>
  <c r="P12" i="7"/>
  <c r="D385" i="8"/>
  <c r="P39" i="7" s="1"/>
  <c r="P13" i="7"/>
  <c r="D386" i="8"/>
  <c r="P40" i="7" s="1"/>
  <c r="P14" i="7"/>
  <c r="P15" i="7"/>
  <c r="P17" i="7"/>
  <c r="D9" i="6"/>
  <c r="H35" i="5" s="1"/>
  <c r="L17" i="6"/>
  <c r="H102" i="5" s="1"/>
  <c r="C94" i="5"/>
  <c r="D94" i="5"/>
  <c r="D95" i="5"/>
  <c r="E35" i="5"/>
  <c r="P18" i="7"/>
  <c r="D11" i="6"/>
  <c r="D21" i="6"/>
  <c r="H47" i="5" s="1"/>
  <c r="D24" i="6"/>
  <c r="H50" i="5" s="1"/>
  <c r="L15" i="6"/>
  <c r="H100" i="5" s="1"/>
  <c r="C35" i="5"/>
  <c r="C95" i="5"/>
  <c r="E94" i="5"/>
  <c r="E95" i="5"/>
  <c r="F94" i="5"/>
  <c r="F95" i="5"/>
  <c r="D26" i="6"/>
  <c r="H52" i="5" s="1"/>
  <c r="B35" i="5"/>
  <c r="D35" i="5"/>
  <c r="I35" i="5"/>
  <c r="L26" i="6"/>
  <c r="H111" i="5" s="1"/>
  <c r="D25" i="6"/>
  <c r="H51" i="5" s="1"/>
  <c r="L25" i="6"/>
  <c r="H110" i="5" s="1"/>
  <c r="L24" i="6"/>
  <c r="H109" i="5" s="1"/>
  <c r="D22" i="6"/>
  <c r="H48" i="5" s="1"/>
  <c r="L22" i="6"/>
  <c r="H107" i="5" s="1"/>
  <c r="J20" i="7"/>
  <c r="L21" i="6"/>
  <c r="H106" i="5" s="1"/>
  <c r="D20" i="6"/>
  <c r="H46" i="5" s="1"/>
  <c r="L20" i="6"/>
  <c r="H105" i="5" s="1"/>
  <c r="D19" i="6"/>
  <c r="H45" i="5" s="1"/>
  <c r="L19" i="6"/>
  <c r="H104" i="5" s="1"/>
  <c r="D17" i="6"/>
  <c r="H43" i="5" s="1"/>
  <c r="D15" i="6"/>
  <c r="H41" i="5" s="1"/>
  <c r="D14" i="6"/>
  <c r="H40" i="5" s="1"/>
  <c r="L14" i="6"/>
  <c r="H99" i="5" s="1"/>
  <c r="D12" i="6"/>
  <c r="L12" i="6"/>
  <c r="L11" i="6"/>
  <c r="H96" i="5" s="1"/>
  <c r="D10" i="6"/>
  <c r="H36" i="5" s="1"/>
  <c r="L10" i="6"/>
  <c r="R10" i="6" s="1"/>
  <c r="B95" i="5"/>
  <c r="L9" i="6"/>
  <c r="H94" i="5" s="1"/>
  <c r="B94" i="5"/>
  <c r="G7" i="7"/>
  <c r="M7" i="7"/>
  <c r="I7" i="7"/>
  <c r="J7" i="7"/>
  <c r="J24" i="7"/>
  <c r="J25" i="7"/>
  <c r="K7" i="7"/>
  <c r="K8" i="7"/>
  <c r="K9" i="7"/>
  <c r="K10" i="7"/>
  <c r="K12" i="7"/>
  <c r="K13" i="7"/>
  <c r="K14" i="7"/>
  <c r="K15" i="7"/>
  <c r="K17" i="7"/>
  <c r="K18" i="7"/>
  <c r="K19" i="7"/>
  <c r="K20" i="7"/>
  <c r="K22" i="7"/>
  <c r="K23" i="7"/>
  <c r="K24" i="7"/>
  <c r="K25" i="7"/>
  <c r="L7" i="7"/>
  <c r="L8" i="7"/>
  <c r="L9" i="7"/>
  <c r="L10" i="7"/>
  <c r="L12" i="7"/>
  <c r="L13" i="7"/>
  <c r="L14" i="7"/>
  <c r="L15" i="7"/>
  <c r="L17" i="7"/>
  <c r="L18" i="7"/>
  <c r="L19" i="7"/>
  <c r="L20" i="7"/>
  <c r="L22" i="7"/>
  <c r="L23" i="7"/>
  <c r="L24" i="7"/>
  <c r="L25" i="7"/>
  <c r="N7" i="7"/>
  <c r="N8" i="7"/>
  <c r="N9" i="7"/>
  <c r="N10" i="7"/>
  <c r="N12" i="7"/>
  <c r="N13" i="7"/>
  <c r="N14" i="7"/>
  <c r="N15" i="7"/>
  <c r="N17" i="7"/>
  <c r="N18" i="7"/>
  <c r="N19" i="7"/>
  <c r="N20" i="7"/>
  <c r="N22" i="7"/>
  <c r="N23" i="7"/>
  <c r="N24" i="7"/>
  <c r="O7" i="7"/>
  <c r="O9" i="7"/>
  <c r="O15" i="7"/>
  <c r="O17" i="7"/>
  <c r="O19" i="7"/>
  <c r="O23" i="7"/>
  <c r="O25" i="7"/>
  <c r="O13" i="7"/>
  <c r="H66" i="5"/>
  <c r="B7" i="5"/>
  <c r="B66" i="5"/>
  <c r="C7" i="5"/>
  <c r="C66" i="5"/>
  <c r="D7" i="5"/>
  <c r="D66" i="5"/>
  <c r="E7" i="5"/>
  <c r="E66" i="5"/>
  <c r="F7" i="5"/>
  <c r="F66" i="5"/>
  <c r="P24" i="7"/>
  <c r="G7" i="5"/>
  <c r="G66" i="5"/>
  <c r="M7" i="5"/>
  <c r="I7" i="5"/>
  <c r="J7" i="5"/>
  <c r="K7" i="5"/>
  <c r="L7" i="5"/>
  <c r="N7" i="5"/>
  <c r="O7" i="5"/>
  <c r="P7" i="5"/>
  <c r="P25" i="7"/>
  <c r="E76" i="7"/>
  <c r="E77" i="7"/>
  <c r="E79" i="7"/>
  <c r="E80" i="7"/>
  <c r="E81" i="7"/>
  <c r="E82" i="7"/>
  <c r="F64" i="7"/>
  <c r="F65" i="7"/>
  <c r="F66" i="7"/>
  <c r="F67" i="7"/>
  <c r="F69" i="7"/>
  <c r="F70" i="7"/>
  <c r="F71" i="7"/>
  <c r="F72" i="7"/>
  <c r="F74" i="7"/>
  <c r="F75" i="7"/>
  <c r="F76" i="7"/>
  <c r="F77" i="7"/>
  <c r="F79" i="7"/>
  <c r="F80" i="7"/>
  <c r="F81" i="7"/>
  <c r="F82" i="7"/>
  <c r="G64" i="7"/>
  <c r="G65" i="7"/>
  <c r="G66" i="7"/>
  <c r="G67" i="7"/>
  <c r="G69" i="7"/>
  <c r="G70" i="7"/>
  <c r="G71" i="7"/>
  <c r="G72" i="7"/>
  <c r="G74" i="7"/>
  <c r="G75" i="7"/>
  <c r="G76" i="7"/>
  <c r="G77" i="7"/>
  <c r="G79" i="7"/>
  <c r="G80" i="7"/>
  <c r="G81" i="7"/>
  <c r="G82" i="7"/>
  <c r="N25" i="7"/>
  <c r="O8" i="7"/>
  <c r="O10" i="7"/>
  <c r="O12" i="7"/>
  <c r="O14" i="7"/>
  <c r="O18" i="7"/>
  <c r="O20" i="7"/>
  <c r="O22" i="7"/>
  <c r="O24" i="7"/>
  <c r="Q13" i="6"/>
  <c r="Q138" i="8" l="1"/>
  <c r="L34" i="7"/>
  <c r="C100" i="7"/>
  <c r="E45" i="7"/>
  <c r="D105" i="7"/>
  <c r="Q11" i="6"/>
  <c r="H37" i="5"/>
  <c r="R12" i="6"/>
  <c r="H97" i="5"/>
  <c r="Q12" i="6"/>
  <c r="H38" i="5"/>
  <c r="Q38" i="5" s="1"/>
  <c r="D103" i="7"/>
  <c r="Q195" i="8"/>
  <c r="R117" i="8"/>
  <c r="Q233" i="8"/>
  <c r="R177" i="8"/>
  <c r="R175" i="8"/>
  <c r="Q292" i="8"/>
  <c r="R202" i="8"/>
  <c r="R151" i="8"/>
  <c r="Q150" i="8"/>
  <c r="Q119" i="8"/>
  <c r="Q89" i="8"/>
  <c r="R107" i="8"/>
  <c r="C41" i="7"/>
  <c r="O37" i="7"/>
  <c r="S50" i="5"/>
  <c r="E37" i="7"/>
  <c r="Q416" i="8"/>
  <c r="Q450" i="8"/>
  <c r="D50" i="7"/>
  <c r="I44" i="7"/>
  <c r="R171" i="8"/>
  <c r="Q113" i="8"/>
  <c r="R112" i="8"/>
  <c r="Q393" i="8"/>
  <c r="Q367" i="8"/>
  <c r="Q258" i="8"/>
  <c r="R105" i="8"/>
  <c r="Q199" i="8"/>
  <c r="R52" i="5"/>
  <c r="Q397" i="8"/>
  <c r="Q20" i="8"/>
  <c r="R119" i="8"/>
  <c r="S40" i="5"/>
  <c r="Q442" i="8"/>
  <c r="Q52" i="8"/>
  <c r="Q318" i="8"/>
  <c r="Q263" i="8"/>
  <c r="C110" i="7"/>
  <c r="O52" i="7"/>
  <c r="Q11" i="8"/>
  <c r="Q305" i="8"/>
  <c r="I35" i="7"/>
  <c r="J41" i="7"/>
  <c r="Q364" i="8"/>
  <c r="R206" i="8"/>
  <c r="Q145" i="8"/>
  <c r="R87" i="8"/>
  <c r="D94" i="7"/>
  <c r="Q201" i="8"/>
  <c r="Q453" i="8"/>
  <c r="R145" i="8"/>
  <c r="N44" i="7"/>
  <c r="Q355" i="8"/>
  <c r="Q236" i="8"/>
  <c r="R141" i="8"/>
  <c r="R204" i="8"/>
  <c r="R166" i="8"/>
  <c r="Q141" i="8"/>
  <c r="J49" i="7"/>
  <c r="D92" i="7"/>
  <c r="R73" i="8"/>
  <c r="Q356" i="8"/>
  <c r="B50" i="7"/>
  <c r="M39" i="7"/>
  <c r="R40" i="5" s="1"/>
  <c r="R20" i="8"/>
  <c r="S43" i="5"/>
  <c r="O49" i="7"/>
  <c r="Q196" i="8"/>
  <c r="D39" i="7"/>
  <c r="C95" i="7"/>
  <c r="Q225" i="8"/>
  <c r="Q194" i="8"/>
  <c r="Q427" i="8"/>
  <c r="Q440" i="8"/>
  <c r="L44" i="7"/>
  <c r="R181" i="8"/>
  <c r="Q256" i="8"/>
  <c r="C109" i="7"/>
  <c r="Q262" i="8"/>
  <c r="D37" i="7"/>
  <c r="M49" i="7"/>
  <c r="R50" i="5" s="1"/>
  <c r="C108" i="7"/>
  <c r="Q212" i="8"/>
  <c r="Q197" i="8"/>
  <c r="Q174" i="8"/>
  <c r="C104" i="7"/>
  <c r="Q390" i="8"/>
  <c r="Q77" i="8"/>
  <c r="R103" i="8"/>
  <c r="R82" i="8"/>
  <c r="R19" i="8"/>
  <c r="J42" i="7"/>
  <c r="Q336" i="8"/>
  <c r="O50" i="7"/>
  <c r="Q293" i="8"/>
  <c r="E41" i="7"/>
  <c r="D44" i="7"/>
  <c r="R139" i="8"/>
  <c r="R200" i="8"/>
  <c r="Q149" i="8"/>
  <c r="R43" i="5"/>
  <c r="Q323" i="8"/>
  <c r="H108" i="7"/>
  <c r="D99" i="7"/>
  <c r="Q200" i="8"/>
  <c r="Q177" i="8"/>
  <c r="R146" i="8"/>
  <c r="Q298" i="8"/>
  <c r="Q330" i="8"/>
  <c r="Q169" i="8"/>
  <c r="Q398" i="8"/>
  <c r="Q326" i="8"/>
  <c r="K37" i="7"/>
  <c r="Q241" i="8"/>
  <c r="Q114" i="8"/>
  <c r="Q102" i="8"/>
  <c r="Q423" i="8"/>
  <c r="Q328" i="8"/>
  <c r="Q226" i="8"/>
  <c r="R134" i="8"/>
  <c r="H93" i="7"/>
  <c r="Q207" i="8"/>
  <c r="R176" i="8"/>
  <c r="S52" i="5"/>
  <c r="R169" i="8"/>
  <c r="O39" i="7"/>
  <c r="L45" i="7"/>
  <c r="I47" i="7"/>
  <c r="E94" i="7"/>
  <c r="Q22" i="6"/>
  <c r="Q324" i="8"/>
  <c r="Q238" i="8"/>
  <c r="C105" i="7"/>
  <c r="Q176" i="8"/>
  <c r="Q164" i="8"/>
  <c r="Q300" i="8"/>
  <c r="R110" i="8"/>
  <c r="O35" i="5"/>
  <c r="N36" i="7"/>
  <c r="Q428" i="8"/>
  <c r="Q299" i="8"/>
  <c r="Q422" i="8"/>
  <c r="D42" i="7"/>
  <c r="R58" i="8"/>
  <c r="N35" i="5"/>
  <c r="M35" i="5"/>
  <c r="R35" i="5" s="1"/>
  <c r="R182" i="8"/>
  <c r="Q413" i="8"/>
  <c r="Q426" i="8"/>
  <c r="Q272" i="8"/>
  <c r="D104" i="7"/>
  <c r="Q17" i="8"/>
  <c r="S36" i="5"/>
  <c r="Q415" i="8"/>
  <c r="Q334" i="8"/>
  <c r="Q329" i="8"/>
  <c r="R15" i="8"/>
  <c r="Q211" i="8"/>
  <c r="Q167" i="8"/>
  <c r="Q350" i="8"/>
  <c r="Q75" i="8"/>
  <c r="Q287" i="8"/>
  <c r="C49" i="7"/>
  <c r="C92" i="7"/>
  <c r="R149" i="8"/>
  <c r="Q418" i="8"/>
  <c r="Q366" i="8"/>
  <c r="L47" i="7"/>
  <c r="I37" i="7"/>
  <c r="D36" i="7"/>
  <c r="C46" i="7"/>
  <c r="Q351" i="8"/>
  <c r="Q320" i="8"/>
  <c r="M41" i="7"/>
  <c r="R42" i="5" s="1"/>
  <c r="E102" i="7"/>
  <c r="D98" i="7"/>
  <c r="C99" i="7"/>
  <c r="R59" i="8"/>
  <c r="F35" i="5"/>
  <c r="R48" i="5"/>
  <c r="G94" i="5"/>
  <c r="Q209" i="8"/>
  <c r="R179" i="8"/>
  <c r="R165" i="8"/>
  <c r="Q148" i="8"/>
  <c r="S41" i="5"/>
  <c r="S42" i="5"/>
  <c r="S51" i="5"/>
  <c r="R51" i="5"/>
  <c r="Q352" i="8"/>
  <c r="Q290" i="8"/>
  <c r="Q235" i="8"/>
  <c r="Q365" i="8"/>
  <c r="Q271" i="8"/>
  <c r="Q380" i="8"/>
  <c r="C44" i="7"/>
  <c r="Q171" i="8"/>
  <c r="Q165" i="8"/>
  <c r="Q36" i="5"/>
  <c r="R45" i="5"/>
  <c r="Q385" i="8"/>
  <c r="P36" i="7"/>
  <c r="M52" i="7"/>
  <c r="R53" i="5" s="1"/>
  <c r="Q421" i="8"/>
  <c r="R36" i="5"/>
  <c r="Q10" i="8"/>
  <c r="R212" i="8"/>
  <c r="R167" i="8"/>
  <c r="Q151" i="8"/>
  <c r="Q391" i="8"/>
  <c r="S53" i="5"/>
  <c r="B51" i="7"/>
  <c r="Q175" i="8"/>
  <c r="Q425" i="8"/>
  <c r="Q274" i="8"/>
  <c r="Q228" i="8"/>
  <c r="P35" i="5"/>
  <c r="S35" i="5" s="1"/>
  <c r="R210" i="8"/>
  <c r="Q181" i="8"/>
  <c r="Q166" i="8"/>
  <c r="Q446" i="8"/>
  <c r="M40" i="7"/>
  <c r="R41" i="5" s="1"/>
  <c r="D47" i="7"/>
  <c r="R164" i="8"/>
  <c r="Q135" i="8"/>
  <c r="C36" i="7"/>
  <c r="J51" i="7"/>
  <c r="E92" i="7"/>
  <c r="R38" i="5"/>
  <c r="Q396" i="8"/>
  <c r="Q289" i="8"/>
  <c r="K47" i="7"/>
  <c r="Q139" i="8"/>
  <c r="Q120" i="8"/>
  <c r="Q108" i="8"/>
  <c r="C42" i="7"/>
  <c r="Q59" i="8"/>
  <c r="B44" i="7"/>
  <c r="H92" i="7"/>
  <c r="E95" i="7"/>
  <c r="D110" i="7"/>
  <c r="R83" i="8"/>
  <c r="R78" i="8"/>
  <c r="R53" i="8"/>
  <c r="H95" i="5"/>
  <c r="R207" i="8"/>
  <c r="Q411" i="8"/>
  <c r="Q53" i="8"/>
  <c r="B108" i="7"/>
  <c r="Q227" i="8"/>
  <c r="Q242" i="8"/>
  <c r="R21" i="6"/>
  <c r="G95" i="5"/>
  <c r="Q395" i="8"/>
  <c r="Q357" i="8"/>
  <c r="Q325" i="8"/>
  <c r="Q288" i="8"/>
  <c r="R77" i="8"/>
  <c r="R194" i="8"/>
  <c r="Q179" i="8"/>
  <c r="Q172" i="8"/>
  <c r="R150" i="8"/>
  <c r="H46" i="7"/>
  <c r="Q47" i="5" s="1"/>
  <c r="Q43" i="5"/>
  <c r="R205" i="8"/>
  <c r="Q417" i="8"/>
  <c r="Q354" i="8"/>
  <c r="Q273" i="8"/>
  <c r="Q441" i="8"/>
  <c r="R74" i="8"/>
  <c r="R22" i="6"/>
  <c r="R211" i="8"/>
  <c r="Q182" i="8"/>
  <c r="Q170" i="8"/>
  <c r="Q12" i="8"/>
  <c r="R196" i="8"/>
  <c r="I46" i="7"/>
  <c r="Q202" i="8"/>
  <c r="Q333" i="8"/>
  <c r="Q264" i="8"/>
  <c r="R138" i="8"/>
  <c r="R14" i="6"/>
  <c r="R201" i="8"/>
  <c r="R195" i="8"/>
  <c r="Q180" i="8"/>
  <c r="Q361" i="8"/>
  <c r="B99" i="7"/>
  <c r="Q206" i="8"/>
  <c r="Q386" i="8"/>
  <c r="Q448" i="8"/>
  <c r="Q319" i="8"/>
  <c r="Q109" i="8"/>
  <c r="Q88" i="8"/>
  <c r="Q83" i="8"/>
  <c r="E99" i="7"/>
  <c r="S48" i="5"/>
  <c r="R17" i="6"/>
  <c r="R180" i="8"/>
  <c r="R170" i="8"/>
  <c r="Q452" i="8"/>
  <c r="H100" i="7"/>
  <c r="R14" i="8"/>
  <c r="D35" i="7"/>
  <c r="B47" i="7"/>
  <c r="S46" i="5"/>
  <c r="Q146" i="8"/>
  <c r="Q335" i="8"/>
  <c r="Q134" i="8"/>
  <c r="O51" i="7"/>
  <c r="E103" i="7"/>
  <c r="D108" i="7"/>
  <c r="J35" i="5"/>
  <c r="R209" i="8"/>
  <c r="R199" i="8"/>
  <c r="R174" i="8"/>
  <c r="R148" i="8"/>
  <c r="Q451" i="8"/>
  <c r="R15" i="6"/>
  <c r="Q205" i="8"/>
  <c r="P46" i="7"/>
  <c r="J50" i="7"/>
  <c r="I45" i="7"/>
  <c r="E34" i="7"/>
  <c r="D49" i="7"/>
  <c r="C47" i="7"/>
  <c r="H44" i="7"/>
  <c r="Q45" i="5" s="1"/>
  <c r="G35" i="5"/>
  <c r="Q10" i="6"/>
  <c r="Q204" i="8"/>
  <c r="Q210" i="8"/>
  <c r="Q447" i="8"/>
  <c r="Q381" i="8"/>
  <c r="Q297" i="8"/>
  <c r="R54" i="8"/>
  <c r="S45" i="5"/>
  <c r="R37" i="5"/>
  <c r="Q24" i="6"/>
  <c r="R12" i="8"/>
  <c r="R197" i="8"/>
  <c r="R172" i="8"/>
  <c r="E44" i="7"/>
  <c r="C52" i="7"/>
  <c r="Q388" i="8"/>
  <c r="H52" i="7"/>
  <c r="Q53" i="5" s="1"/>
  <c r="Q261" i="8"/>
  <c r="Q410" i="8"/>
  <c r="Q237" i="8"/>
  <c r="R47" i="5"/>
  <c r="Q46" i="5"/>
  <c r="Q40" i="5"/>
  <c r="R16" i="6"/>
  <c r="Q15" i="8"/>
  <c r="C34" i="7"/>
  <c r="R51" i="8"/>
  <c r="R24" i="6"/>
  <c r="C40" i="7"/>
  <c r="C35" i="7"/>
  <c r="B103" i="7"/>
  <c r="H109" i="7"/>
  <c r="H34" i="7"/>
  <c r="Q35" i="5" s="1"/>
  <c r="Q21" i="6"/>
  <c r="Q15" i="6"/>
  <c r="R9" i="6"/>
  <c r="R11" i="8"/>
  <c r="Q49" i="8"/>
  <c r="Q14" i="8"/>
  <c r="Q41" i="5"/>
  <c r="R49" i="8"/>
  <c r="Q56" i="8"/>
  <c r="Q19" i="6"/>
  <c r="R56" i="8"/>
  <c r="R19" i="6"/>
  <c r="Q16" i="8"/>
  <c r="H50" i="7"/>
  <c r="Q51" i="5" s="1"/>
  <c r="R25" i="6"/>
  <c r="Q20" i="6"/>
  <c r="Q9" i="6"/>
  <c r="R11" i="6"/>
  <c r="Q37" i="5"/>
  <c r="R16" i="8"/>
  <c r="Q387" i="8"/>
  <c r="R26" i="6"/>
  <c r="R20" i="6"/>
  <c r="Q26" i="6"/>
  <c r="Q25" i="6"/>
  <c r="Q17" i="6"/>
  <c r="Q16" i="6"/>
  <c r="Q14" i="6"/>
  <c r="Q42" i="5"/>
  <c r="H47" i="7"/>
  <c r="Q48" i="5" s="1"/>
  <c r="Q22" i="8"/>
  <c r="H49" i="7"/>
  <c r="Q50" i="5" s="1"/>
  <c r="Q24" i="8"/>
  <c r="H51" i="7"/>
  <c r="Q52" i="5" s="1"/>
  <c r="Q26" i="8"/>
  <c r="H104" i="7"/>
  <c r="R21" i="8"/>
  <c r="H105" i="7"/>
  <c r="R22" i="8"/>
  <c r="H107" i="7"/>
  <c r="R24" i="8"/>
  <c r="H110" i="7"/>
  <c r="R27" i="8"/>
  <c r="B34" i="7"/>
  <c r="Q41" i="8"/>
  <c r="B92" i="7"/>
  <c r="R41" i="8"/>
  <c r="B35" i="7"/>
  <c r="Q42" i="8"/>
  <c r="B93" i="7"/>
  <c r="R42" i="8"/>
  <c r="B36" i="7"/>
  <c r="Q43" i="8"/>
  <c r="B94" i="7"/>
  <c r="R43" i="8"/>
  <c r="B37" i="7"/>
  <c r="Q44" i="8"/>
  <c r="B95" i="7"/>
  <c r="R44" i="8"/>
  <c r="B39" i="7"/>
  <c r="Q46" i="8"/>
  <c r="B97" i="7"/>
  <c r="R46" i="8"/>
  <c r="B40" i="7"/>
  <c r="Q47" i="8"/>
  <c r="B98" i="7"/>
  <c r="R47" i="8"/>
  <c r="B41" i="7"/>
  <c r="Q48" i="8"/>
  <c r="P37" i="7"/>
  <c r="S38" i="5" s="1"/>
  <c r="Q383" i="8"/>
  <c r="R46" i="5"/>
  <c r="S37" i="5" l="1"/>
  <c r="S47" i="5"/>
  <c r="Z20" i="9"/>
  <c r="U39" i="9"/>
  <c r="R34" i="9"/>
  <c r="N80" i="9"/>
  <c r="F78" i="9"/>
  <c r="Q60" i="9"/>
  <c r="I6" i="9"/>
  <c r="D69" i="9"/>
  <c r="AA15" i="9"/>
  <c r="W18" i="9"/>
  <c r="E57" i="9"/>
  <c r="N29" i="9"/>
  <c r="F56" i="9"/>
  <c r="N34" i="9"/>
  <c r="F7" i="9"/>
  <c r="K33" i="9"/>
  <c r="W16" i="9"/>
  <c r="B55" i="9"/>
  <c r="P14" i="9"/>
  <c r="U16" i="9"/>
  <c r="F32" i="9"/>
  <c r="R32" i="9"/>
  <c r="M80" i="9"/>
  <c r="J13" i="9"/>
  <c r="C58" i="9"/>
  <c r="H6" i="9"/>
  <c r="Q73" i="9"/>
  <c r="H51" i="9"/>
  <c r="O26" i="9"/>
  <c r="G58" i="9"/>
  <c r="H40" i="9"/>
  <c r="E41" i="9"/>
  <c r="J5" i="9"/>
  <c r="X8" i="9"/>
  <c r="AA31" i="9"/>
  <c r="R39" i="9"/>
  <c r="W9" i="9"/>
  <c r="B17" i="9"/>
  <c r="J61" i="9"/>
  <c r="L28" i="9"/>
  <c r="I73" i="9"/>
  <c r="T32" i="9"/>
  <c r="S36" i="9"/>
  <c r="B8" i="9"/>
  <c r="D55" i="9"/>
  <c r="D53" i="9"/>
  <c r="C32" i="9"/>
  <c r="L56" i="9"/>
  <c r="D28" i="9"/>
  <c r="K39" i="9"/>
  <c r="S16" i="9"/>
  <c r="H10" i="9"/>
  <c r="E58" i="9"/>
  <c r="AA39" i="9"/>
  <c r="M33" i="9"/>
  <c r="H38" i="9"/>
  <c r="N17" i="9"/>
  <c r="H15" i="9"/>
  <c r="Y16" i="9"/>
  <c r="K82" i="9"/>
  <c r="P69" i="9"/>
  <c r="H53" i="9"/>
  <c r="S11" i="9"/>
  <c r="D77" i="9"/>
  <c r="K30" i="9"/>
  <c r="E72" i="9"/>
  <c r="Z31" i="9"/>
  <c r="J56" i="9"/>
  <c r="E80" i="9"/>
  <c r="H52" i="9"/>
  <c r="O41" i="9"/>
  <c r="T30" i="9"/>
  <c r="J36" i="9"/>
  <c r="K50" i="9"/>
  <c r="J19" i="9"/>
  <c r="I70" i="9"/>
  <c r="C48" i="9"/>
  <c r="D19" i="9"/>
  <c r="H71" i="9"/>
  <c r="M14" i="9"/>
  <c r="K61" i="9"/>
  <c r="D41" i="9"/>
  <c r="K20" i="9"/>
  <c r="N76" i="9"/>
  <c r="Q26" i="9"/>
  <c r="Q55" i="9"/>
  <c r="C18" i="9"/>
  <c r="L16" i="9"/>
  <c r="R30" i="9"/>
  <c r="O62" i="9"/>
  <c r="J26" i="9"/>
  <c r="J77" i="9"/>
  <c r="W6" i="9"/>
  <c r="B74" i="9"/>
  <c r="Q56" i="9"/>
  <c r="W30" i="9"/>
  <c r="D47" i="9"/>
  <c r="M62" i="9"/>
  <c r="I54" i="9"/>
  <c r="K56" i="9"/>
  <c r="L31" i="9"/>
  <c r="J52" i="9"/>
  <c r="N56" i="9"/>
  <c r="E34" i="9"/>
  <c r="P8" i="9"/>
  <c r="O15" i="9"/>
  <c r="I49" i="9"/>
  <c r="K47" i="9"/>
  <c r="C5" i="9"/>
  <c r="B71" i="9"/>
  <c r="W35" i="9"/>
  <c r="J78" i="9"/>
  <c r="C26" i="9"/>
  <c r="R40" i="9"/>
  <c r="C13" i="9"/>
  <c r="G14" i="9"/>
  <c r="H30" i="9"/>
  <c r="P78" i="9"/>
  <c r="C11" i="9"/>
  <c r="Z15" i="9"/>
  <c r="AA5" i="9"/>
  <c r="X39" i="9"/>
  <c r="M69" i="9"/>
  <c r="G78" i="9"/>
  <c r="V26" i="9"/>
  <c r="Q9" i="9"/>
  <c r="I5" i="9"/>
  <c r="N13" i="9"/>
  <c r="L38" i="9"/>
  <c r="D40" i="9"/>
  <c r="D34" i="9"/>
  <c r="P13" i="9"/>
  <c r="Z26" i="9"/>
  <c r="Z8" i="9"/>
  <c r="R28" i="9"/>
  <c r="K73" i="9"/>
  <c r="C40" i="9"/>
  <c r="B31" i="9"/>
  <c r="J54" i="9"/>
  <c r="O60" i="9"/>
  <c r="V29" i="9"/>
  <c r="N79" i="9"/>
  <c r="K11" i="9"/>
  <c r="P37" i="9"/>
  <c r="E36" i="9"/>
  <c r="X16" i="9"/>
  <c r="AA34" i="9"/>
  <c r="F54" i="9"/>
  <c r="Q81" i="9"/>
  <c r="AA37" i="9"/>
  <c r="J14" i="9"/>
  <c r="B10" i="9"/>
  <c r="G37" i="9"/>
  <c r="M8" i="9"/>
  <c r="S15" i="9"/>
  <c r="Q71" i="9"/>
  <c r="L61" i="9"/>
  <c r="F31" i="9"/>
  <c r="G71" i="9"/>
  <c r="M11" i="9"/>
  <c r="M37" i="9"/>
  <c r="L59" i="9"/>
  <c r="B62" i="9"/>
  <c r="M73" i="9"/>
  <c r="L74" i="9"/>
  <c r="Y30" i="9"/>
  <c r="E12" i="9"/>
  <c r="M48" i="9"/>
  <c r="M78" i="9"/>
  <c r="O80" i="9"/>
  <c r="P16" i="9"/>
  <c r="S27" i="9"/>
  <c r="Z35" i="9"/>
  <c r="M26" i="9"/>
  <c r="W19" i="9"/>
  <c r="Q33" i="9"/>
  <c r="B83" i="9"/>
  <c r="C35" i="9"/>
  <c r="C55" i="9"/>
  <c r="X33" i="9"/>
  <c r="H39" i="9"/>
  <c r="Q38" i="9"/>
  <c r="N5" i="9"/>
  <c r="T8" i="9"/>
  <c r="P27" i="9"/>
  <c r="N74" i="9"/>
  <c r="G50" i="9"/>
  <c r="O35" i="9"/>
  <c r="Q77" i="9"/>
  <c r="H55" i="9"/>
  <c r="Q57" i="9"/>
  <c r="K79" i="9"/>
  <c r="N20" i="9"/>
  <c r="O76" i="9"/>
  <c r="S9" i="9"/>
  <c r="AA6" i="9"/>
  <c r="I12" i="9"/>
  <c r="I68" i="9"/>
  <c r="M53" i="9"/>
  <c r="P71" i="9"/>
  <c r="Q70" i="9"/>
  <c r="T15" i="9"/>
  <c r="R18" i="9"/>
  <c r="Y34" i="9"/>
  <c r="D60" i="9"/>
  <c r="G41" i="9"/>
  <c r="N47" i="9"/>
  <c r="H47" i="9"/>
  <c r="L8" i="9"/>
  <c r="V16" i="9"/>
  <c r="K18" i="9"/>
  <c r="F74" i="9"/>
  <c r="N77" i="9"/>
  <c r="E60" i="9"/>
  <c r="G59" i="9"/>
  <c r="K62" i="9"/>
  <c r="X19" i="9"/>
  <c r="P32" i="9"/>
  <c r="F81" i="9"/>
  <c r="W8" i="9"/>
  <c r="C79" i="9"/>
  <c r="D16" i="9"/>
  <c r="AA41" i="9"/>
  <c r="G29" i="9"/>
  <c r="B30" i="9"/>
  <c r="U28" i="9"/>
  <c r="Y11" i="9"/>
  <c r="N49" i="9"/>
  <c r="T19" i="9"/>
  <c r="M28" i="9"/>
  <c r="Q30" i="9"/>
  <c r="S29" i="9"/>
  <c r="F29" i="9"/>
  <c r="N78" i="9"/>
  <c r="P26" i="9"/>
  <c r="G34" i="9"/>
  <c r="J80" i="9"/>
  <c r="O40" i="9"/>
  <c r="C76" i="9"/>
  <c r="C8" i="9"/>
  <c r="T5" i="9"/>
  <c r="O37" i="9"/>
  <c r="G57" i="9"/>
  <c r="J83" i="9"/>
  <c r="C80" i="9"/>
  <c r="J75" i="9"/>
  <c r="H75" i="9"/>
  <c r="R33" i="9"/>
  <c r="B5" i="9"/>
  <c r="L73" i="9"/>
  <c r="T13" i="9"/>
  <c r="O8" i="9"/>
  <c r="Q37" i="9"/>
  <c r="AA29" i="9"/>
  <c r="T38" i="9"/>
  <c r="B6" i="9"/>
  <c r="L79" i="9"/>
  <c r="C54" i="9"/>
  <c r="H12" i="9"/>
  <c r="F26" i="9"/>
  <c r="F37" i="9"/>
  <c r="U12" i="9"/>
  <c r="W20" i="9"/>
  <c r="O54" i="9"/>
  <c r="U14" i="9"/>
  <c r="C38" i="9"/>
  <c r="L30" i="9"/>
  <c r="K6" i="9"/>
  <c r="P60" i="9"/>
  <c r="B76" i="9"/>
  <c r="W12" i="9"/>
  <c r="B68" i="9"/>
  <c r="U5" i="9"/>
  <c r="P79" i="9"/>
  <c r="K51" i="9"/>
  <c r="B7" i="9"/>
  <c r="L60" i="9"/>
  <c r="C39" i="9"/>
  <c r="J35" i="9"/>
  <c r="G38" i="9"/>
  <c r="M19" i="9"/>
  <c r="G36" i="9"/>
  <c r="N75" i="9"/>
  <c r="Q28" i="9"/>
  <c r="J57" i="9"/>
  <c r="J79" i="9"/>
  <c r="B77" i="9"/>
  <c r="X26" i="9"/>
  <c r="Q47" i="9"/>
  <c r="I29" i="9"/>
  <c r="X20" i="9"/>
  <c r="Q78" i="9"/>
  <c r="D79" i="9"/>
  <c r="P70" i="9"/>
  <c r="Y35" i="9"/>
  <c r="P33" i="9"/>
  <c r="H48" i="9"/>
  <c r="V28" i="9"/>
  <c r="C10" i="9"/>
  <c r="N53" i="9"/>
  <c r="U17" i="9"/>
  <c r="G74" i="9"/>
  <c r="Q20" i="9"/>
  <c r="D13" i="9"/>
  <c r="AA7" i="9"/>
  <c r="I72" i="9"/>
  <c r="C73" i="9"/>
  <c r="AA33" i="9"/>
  <c r="W41" i="9"/>
  <c r="I61" i="9"/>
  <c r="G13" i="9"/>
  <c r="W28" i="9"/>
  <c r="O61" i="9"/>
  <c r="AA30" i="9"/>
  <c r="J40" i="9"/>
  <c r="H54" i="9"/>
  <c r="K17" i="9"/>
  <c r="E33" i="9"/>
  <c r="S33" i="9"/>
  <c r="X7" i="9"/>
  <c r="W32" i="9"/>
  <c r="F35" i="9"/>
  <c r="J12" i="9"/>
  <c r="D78" i="9"/>
  <c r="I34" i="9"/>
  <c r="S20" i="9"/>
  <c r="O81" i="9"/>
  <c r="W14" i="9"/>
  <c r="AA26" i="9"/>
  <c r="K76" i="9"/>
  <c r="F14" i="9"/>
  <c r="R16" i="9"/>
  <c r="Q40" i="9"/>
  <c r="M57" i="9"/>
  <c r="L26" i="9"/>
  <c r="J47" i="9"/>
  <c r="H33" i="9"/>
  <c r="G7" i="9"/>
  <c r="K12" i="9"/>
  <c r="D57" i="9"/>
  <c r="Y37" i="9"/>
  <c r="M51" i="9"/>
  <c r="Y26" i="9"/>
  <c r="Y36" i="9"/>
  <c r="I28" i="9"/>
  <c r="H81" i="9"/>
  <c r="K77" i="9"/>
  <c r="K29" i="9"/>
  <c r="I59" i="9"/>
  <c r="F11" i="9"/>
  <c r="AA14" i="9"/>
  <c r="R8" i="9"/>
  <c r="B12" i="9"/>
  <c r="C37" i="9"/>
  <c r="J55" i="9"/>
  <c r="R41" i="9"/>
  <c r="N62" i="9"/>
  <c r="N51" i="9"/>
  <c r="G54" i="9"/>
  <c r="D5" i="9"/>
  <c r="J7" i="9"/>
  <c r="N59" i="9"/>
  <c r="J18" i="9"/>
  <c r="R11" i="9"/>
  <c r="B73" i="9"/>
  <c r="B18" i="9"/>
  <c r="N38" i="9"/>
  <c r="O56" i="9"/>
  <c r="P52" i="9"/>
  <c r="L82" i="9"/>
  <c r="O16" i="9"/>
  <c r="N33" i="9"/>
  <c r="C50" i="9"/>
  <c r="H29" i="9"/>
  <c r="G30" i="9"/>
  <c r="H35" i="9"/>
  <c r="L68" i="9"/>
  <c r="T31" i="9"/>
  <c r="I17" i="9"/>
  <c r="X27" i="9"/>
  <c r="B51" i="9"/>
  <c r="S40" i="9"/>
  <c r="N58" i="9"/>
  <c r="T41" i="9"/>
  <c r="R9" i="9"/>
  <c r="E79" i="9"/>
  <c r="I60" i="9"/>
  <c r="D27" i="9"/>
  <c r="M20" i="9"/>
  <c r="O30" i="9"/>
  <c r="I83" i="9"/>
  <c r="S41" i="9"/>
  <c r="M39" i="9"/>
  <c r="G79" i="9"/>
  <c r="C34" i="9"/>
  <c r="B36" i="9"/>
  <c r="U11" i="9"/>
  <c r="L55" i="9"/>
  <c r="G73" i="9"/>
  <c r="D81" i="9"/>
  <c r="K36" i="9"/>
  <c r="P55" i="9"/>
  <c r="I20" i="9"/>
  <c r="H77" i="9"/>
  <c r="H20" i="9"/>
  <c r="AA32" i="9"/>
  <c r="M75" i="9"/>
  <c r="U38" i="9"/>
  <c r="L14" i="9"/>
  <c r="P59" i="9"/>
  <c r="X10" i="9"/>
  <c r="G18" i="9"/>
  <c r="O68" i="9"/>
  <c r="G68" i="9"/>
  <c r="F6" i="9"/>
  <c r="L41" i="9"/>
  <c r="N69" i="9"/>
  <c r="H9" i="9"/>
  <c r="M29" i="9"/>
  <c r="E39" i="9"/>
  <c r="C7" i="9"/>
  <c r="Q32" i="9"/>
  <c r="K48" i="9"/>
  <c r="O32" i="9"/>
  <c r="Q80" i="9"/>
  <c r="Q6" i="9"/>
  <c r="P49" i="9"/>
  <c r="P80" i="9"/>
  <c r="R17" i="9"/>
  <c r="Z34" i="9"/>
  <c r="G72" i="9"/>
  <c r="F5" i="9"/>
  <c r="H11" i="9"/>
  <c r="K52" i="9"/>
  <c r="E51" i="9"/>
  <c r="B70" i="9"/>
  <c r="P61" i="9"/>
  <c r="D30" i="9"/>
  <c r="S10" i="9"/>
  <c r="Y41" i="9"/>
  <c r="N30" i="9"/>
  <c r="Q76" i="9"/>
  <c r="P81" i="9"/>
  <c r="D62" i="9"/>
  <c r="P74" i="9"/>
  <c r="I11" i="9"/>
  <c r="N16" i="9"/>
  <c r="I33" i="9"/>
  <c r="K81" i="9"/>
  <c r="O70" i="9"/>
  <c r="O5" i="9"/>
  <c r="D82" i="9"/>
  <c r="O78" i="9"/>
  <c r="E14" i="9"/>
  <c r="N71" i="9"/>
  <c r="B54" i="9"/>
  <c r="Q19" i="9"/>
  <c r="Z29" i="9"/>
  <c r="G70" i="9"/>
  <c r="M68" i="9"/>
  <c r="C68" i="9"/>
  <c r="Y18" i="9"/>
  <c r="W31" i="9"/>
  <c r="C69" i="9"/>
  <c r="M50" i="9"/>
  <c r="O27" i="9"/>
  <c r="D72" i="9"/>
  <c r="X9" i="9"/>
  <c r="J11" i="9"/>
  <c r="O36" i="9"/>
  <c r="M6" i="9"/>
  <c r="K80" i="9"/>
  <c r="T9" i="9"/>
  <c r="O79" i="9"/>
  <c r="Y29" i="9"/>
  <c r="J68" i="9"/>
  <c r="N60" i="9"/>
  <c r="M41" i="9"/>
  <c r="T33" i="9"/>
  <c r="G16" i="9"/>
  <c r="Z18" i="9"/>
  <c r="B33" i="9"/>
  <c r="Z9" i="9"/>
  <c r="U33" i="9"/>
  <c r="E71" i="9"/>
  <c r="J60" i="9"/>
  <c r="D38" i="9"/>
  <c r="O18" i="9"/>
  <c r="X6" i="9"/>
  <c r="D32" i="9"/>
  <c r="G49" i="9"/>
  <c r="B26" i="9"/>
  <c r="V31" i="9"/>
  <c r="T17" i="9"/>
  <c r="Z7" i="9"/>
  <c r="L54" i="9"/>
  <c r="N41" i="9"/>
  <c r="G52" i="9"/>
  <c r="J74" i="9"/>
  <c r="U27" i="9"/>
  <c r="L72" i="9"/>
  <c r="E61" i="9"/>
  <c r="G81" i="9"/>
  <c r="L77" i="9"/>
  <c r="Q36" i="9"/>
  <c r="P39" i="9"/>
  <c r="AA9" i="9"/>
  <c r="P57" i="9"/>
  <c r="R27" i="9"/>
  <c r="D37" i="9"/>
  <c r="B60" i="9"/>
  <c r="F20" i="9"/>
  <c r="H60" i="9"/>
  <c r="F16" i="9"/>
  <c r="V38" i="9"/>
  <c r="L52" i="9"/>
  <c r="I40" i="9"/>
  <c r="O7" i="9"/>
  <c r="G48" i="9"/>
  <c r="V37" i="9"/>
  <c r="B61" i="9"/>
  <c r="P29" i="9"/>
  <c r="B56" i="9"/>
  <c r="I75" i="9"/>
  <c r="E55" i="9"/>
  <c r="J53" i="9"/>
  <c r="Q31" i="9"/>
  <c r="N10" i="9"/>
  <c r="U8" i="9"/>
  <c r="O9" i="9"/>
  <c r="I7" i="9"/>
  <c r="N61" i="9"/>
  <c r="K74" i="9"/>
  <c r="F10" i="9"/>
  <c r="G11" i="9"/>
  <c r="I18" i="9"/>
  <c r="X35" i="9"/>
  <c r="G35" i="9"/>
  <c r="L76" i="9"/>
  <c r="H28" i="9"/>
  <c r="T7" i="9"/>
  <c r="D54" i="9"/>
  <c r="S6" i="9"/>
  <c r="H78" i="9"/>
  <c r="C81" i="9"/>
  <c r="R13" i="9"/>
  <c r="B32" i="9"/>
  <c r="X17" i="9"/>
  <c r="AA36" i="9"/>
  <c r="Q72" i="9"/>
  <c r="P18" i="9"/>
  <c r="S7" i="9"/>
  <c r="B40" i="9"/>
  <c r="F61" i="9"/>
  <c r="K15" i="9"/>
  <c r="Y15" i="9"/>
  <c r="M52" i="9"/>
  <c r="AA10" i="9"/>
  <c r="Q29" i="9"/>
  <c r="S35" i="9"/>
  <c r="M76" i="9"/>
  <c r="T26" i="9"/>
  <c r="Z33" i="9"/>
  <c r="T28" i="9"/>
  <c r="D10" i="9"/>
  <c r="Y39" i="9"/>
  <c r="R36" i="9"/>
  <c r="E62" i="9"/>
  <c r="Q79" i="9"/>
  <c r="I51" i="9"/>
  <c r="G77" i="9"/>
  <c r="P75" i="9"/>
  <c r="K57" i="9"/>
  <c r="J69" i="9"/>
  <c r="I19" i="9"/>
  <c r="T12" i="9"/>
  <c r="Z14" i="9"/>
  <c r="Q49" i="9"/>
  <c r="L17" i="9"/>
  <c r="J38" i="9"/>
  <c r="C28" i="9"/>
  <c r="F49" i="9"/>
  <c r="O55" i="9"/>
  <c r="L20" i="9"/>
  <c r="H36" i="9"/>
  <c r="I32" i="9"/>
  <c r="F70" i="9"/>
  <c r="B37" i="9"/>
  <c r="J81" i="9"/>
  <c r="O50" i="9"/>
  <c r="P30" i="9"/>
  <c r="D35" i="9"/>
  <c r="L62" i="9"/>
  <c r="U34" i="9"/>
  <c r="G60" i="9"/>
  <c r="H31" i="9"/>
  <c r="F82" i="9"/>
  <c r="L71" i="9"/>
  <c r="U31" i="9"/>
  <c r="U6" i="9"/>
  <c r="D61" i="9"/>
  <c r="P34" i="9"/>
  <c r="L10" i="9"/>
  <c r="N54" i="9"/>
  <c r="I39" i="9"/>
  <c r="F73" i="9"/>
  <c r="N81" i="9"/>
  <c r="P15" i="9"/>
  <c r="N50" i="9"/>
  <c r="N68" i="9"/>
  <c r="G69" i="9"/>
  <c r="E30" i="9"/>
  <c r="D51" i="9"/>
  <c r="E15" i="9"/>
  <c r="P9" i="9"/>
  <c r="K19" i="9"/>
  <c r="M10" i="9"/>
  <c r="Q11" i="9"/>
  <c r="F9" i="9"/>
  <c r="X31" i="9"/>
  <c r="C78" i="9"/>
  <c r="E5" i="9"/>
  <c r="C30" i="9"/>
  <c r="K68" i="9"/>
  <c r="H26" i="9"/>
  <c r="D68" i="9"/>
  <c r="R15" i="9"/>
  <c r="C61" i="9"/>
  <c r="C14" i="9"/>
  <c r="O75" i="9"/>
  <c r="J58" i="9"/>
  <c r="N57" i="9"/>
  <c r="Q16" i="9"/>
  <c r="X30" i="9"/>
  <c r="U10" i="9"/>
  <c r="R38" i="9"/>
  <c r="F52" i="9"/>
  <c r="P7" i="9"/>
  <c r="T6" i="9"/>
  <c r="E52" i="9"/>
  <c r="H17" i="9"/>
  <c r="U13" i="9"/>
  <c r="D39" i="9"/>
  <c r="G28" i="9"/>
  <c r="J15" i="9"/>
  <c r="L34" i="9"/>
  <c r="B14" i="9"/>
  <c r="H56" i="9"/>
  <c r="N36" i="9"/>
  <c r="E50" i="9"/>
  <c r="E73" i="9"/>
  <c r="Z19" i="9"/>
  <c r="Q12" i="9"/>
  <c r="S32" i="9"/>
  <c r="B82" i="9"/>
  <c r="D80" i="9"/>
  <c r="J27" i="9"/>
  <c r="H27" i="9"/>
  <c r="P48" i="9"/>
  <c r="F36" i="9"/>
  <c r="I52" i="9"/>
  <c r="T11" i="9"/>
  <c r="I36" i="9"/>
  <c r="G8" i="9"/>
  <c r="F33" i="9"/>
  <c r="C19" i="9"/>
  <c r="I27" i="9"/>
  <c r="N9" i="9"/>
  <c r="C20" i="9"/>
  <c r="P36" i="9"/>
  <c r="O12" i="9"/>
  <c r="G6" i="9"/>
  <c r="L48" i="9"/>
  <c r="Y33" i="9"/>
  <c r="G10" i="9"/>
  <c r="F62" i="9"/>
  <c r="V20" i="9"/>
  <c r="B27" i="9"/>
  <c r="Z12" i="9"/>
  <c r="J72" i="9"/>
  <c r="P31" i="9"/>
  <c r="O10" i="9"/>
  <c r="H57" i="9"/>
  <c r="Q13" i="9"/>
  <c r="S39" i="9"/>
  <c r="I82" i="9"/>
  <c r="H72" i="9"/>
  <c r="X28" i="9"/>
  <c r="Y14" i="9"/>
  <c r="K16" i="9"/>
  <c r="U26" i="9"/>
  <c r="L19" i="9"/>
  <c r="C36" i="9"/>
  <c r="I69" i="9"/>
  <c r="O47" i="9"/>
  <c r="F17" i="9"/>
  <c r="G19" i="9"/>
  <c r="H18" i="9"/>
  <c r="N70" i="9"/>
  <c r="J16" i="9"/>
  <c r="E11" i="9"/>
  <c r="I13" i="9"/>
  <c r="G31" i="9"/>
  <c r="M27" i="9"/>
  <c r="F69" i="9"/>
  <c r="G51" i="9"/>
  <c r="C6" i="9"/>
  <c r="B20" i="9"/>
  <c r="Y17" i="9"/>
  <c r="E28" i="9"/>
  <c r="V35" i="9"/>
  <c r="H19" i="9"/>
  <c r="V15" i="9"/>
  <c r="H61" i="9"/>
  <c r="C60" i="9"/>
  <c r="V36" i="9"/>
  <c r="K28" i="9"/>
  <c r="S19" i="9"/>
  <c r="K58" i="9"/>
  <c r="O17" i="9"/>
  <c r="W34" i="9"/>
  <c r="Z32" i="9"/>
  <c r="J32" i="9"/>
  <c r="P54" i="9"/>
  <c r="H7" i="9"/>
  <c r="Y20" i="9"/>
  <c r="X41" i="9"/>
  <c r="C17" i="9"/>
  <c r="O6" i="9"/>
  <c r="Z40" i="9"/>
  <c r="I38" i="9"/>
  <c r="E6" i="9"/>
  <c r="L7" i="9"/>
  <c r="D7" i="9"/>
  <c r="D17" i="9"/>
  <c r="D18" i="9"/>
  <c r="E20" i="9"/>
  <c r="F60" i="9"/>
  <c r="J28" i="9"/>
  <c r="L50" i="9"/>
  <c r="I76" i="9"/>
  <c r="L70" i="9"/>
  <c r="W15" i="9"/>
  <c r="T29" i="9"/>
  <c r="D50" i="9"/>
  <c r="I37" i="9"/>
  <c r="J48" i="9"/>
  <c r="D52" i="9"/>
  <c r="N12" i="9"/>
  <c r="Q75" i="9"/>
  <c r="U41" i="9"/>
  <c r="O52" i="9"/>
  <c r="N35" i="9"/>
  <c r="U15" i="9"/>
  <c r="N83" i="9"/>
  <c r="S8" i="9"/>
  <c r="N52" i="9"/>
  <c r="Z28" i="9"/>
  <c r="J20" i="9"/>
  <c r="J9" i="9"/>
  <c r="L5" i="9"/>
  <c r="X11" i="9"/>
  <c r="C57" i="9"/>
  <c r="N11" i="9"/>
  <c r="P58" i="9"/>
  <c r="K32" i="9"/>
  <c r="R6" i="9"/>
  <c r="E53" i="9"/>
  <c r="D48" i="9"/>
  <c r="C56" i="9"/>
  <c r="Z16" i="9"/>
  <c r="B19" i="9"/>
  <c r="M9" i="9"/>
  <c r="F40" i="9"/>
  <c r="Q18" i="9"/>
  <c r="J62" i="9"/>
  <c r="P12" i="9"/>
  <c r="AA35" i="9"/>
  <c r="L40" i="9"/>
  <c r="F38" i="9"/>
  <c r="K9" i="9"/>
  <c r="J10" i="9"/>
  <c r="C12" i="9"/>
  <c r="K72" i="9"/>
  <c r="O20" i="9"/>
  <c r="H16" i="9"/>
  <c r="O28" i="9"/>
  <c r="Q50" i="9"/>
  <c r="N7" i="9"/>
  <c r="P51" i="9"/>
  <c r="Y28" i="9"/>
  <c r="O31" i="9"/>
  <c r="X14" i="9"/>
  <c r="D33" i="9"/>
  <c r="F72" i="9"/>
  <c r="P47" i="9"/>
  <c r="G55" i="9"/>
  <c r="U9" i="9"/>
  <c r="H74" i="9"/>
  <c r="S26" i="9"/>
  <c r="I10" i="9"/>
  <c r="H73" i="9"/>
  <c r="I78" i="9"/>
  <c r="G39" i="9"/>
  <c r="J31" i="9"/>
  <c r="Z37" i="9"/>
  <c r="W36" i="9"/>
  <c r="F71" i="9"/>
  <c r="D31" i="9"/>
  <c r="F41" i="9"/>
  <c r="AA13" i="9"/>
  <c r="V8" i="9"/>
  <c r="F83" i="9"/>
  <c r="I55" i="9"/>
  <c r="O53" i="9"/>
  <c r="M83" i="9"/>
  <c r="W27" i="9"/>
  <c r="B15" i="9"/>
  <c r="E29" i="9"/>
  <c r="H32" i="9"/>
  <c r="Z27" i="9"/>
  <c r="B35" i="9"/>
  <c r="Q74" i="9"/>
  <c r="G20" i="9"/>
  <c r="F34" i="9"/>
  <c r="Q27" i="9"/>
  <c r="J34" i="9"/>
  <c r="X40" i="9"/>
  <c r="E38" i="9"/>
  <c r="C52" i="9"/>
  <c r="I16" i="9"/>
  <c r="G56" i="9"/>
  <c r="O13" i="9"/>
  <c r="J50" i="9"/>
  <c r="V32" i="9"/>
  <c r="K53" i="9"/>
  <c r="C51" i="9"/>
  <c r="Z41" i="9"/>
  <c r="H80" i="9"/>
  <c r="L18" i="9"/>
  <c r="D14" i="9"/>
  <c r="D73" i="9"/>
  <c r="Q17" i="9"/>
  <c r="U35" i="9"/>
  <c r="N8" i="9"/>
  <c r="J29" i="9"/>
  <c r="W7" i="9"/>
  <c r="X13" i="9"/>
  <c r="H83" i="9"/>
  <c r="B49" i="9"/>
  <c r="AA17" i="9"/>
  <c r="E9" i="9"/>
  <c r="P5" i="9"/>
  <c r="S18" i="9"/>
  <c r="Z10" i="9"/>
  <c r="T27" i="9"/>
  <c r="F28" i="9"/>
  <c r="M54" i="9"/>
  <c r="I47" i="9"/>
  <c r="T36" i="9"/>
  <c r="T16" i="9"/>
  <c r="E32" i="9"/>
  <c r="Y32" i="9"/>
  <c r="W11" i="9"/>
  <c r="E27" i="9"/>
  <c r="D20" i="9"/>
  <c r="N40" i="9"/>
  <c r="G75" i="9"/>
  <c r="L33" i="9"/>
  <c r="Q35" i="9"/>
  <c r="F50" i="9"/>
  <c r="K83" i="9"/>
  <c r="L47" i="9"/>
  <c r="J6" i="9"/>
  <c r="Z6" i="9"/>
  <c r="I31" i="9"/>
  <c r="L11" i="9"/>
  <c r="R19" i="9"/>
  <c r="V39" i="9"/>
  <c r="F27" i="9"/>
  <c r="T39" i="9"/>
  <c r="D76" i="9"/>
  <c r="N82" i="9"/>
  <c r="D26" i="9"/>
  <c r="J59" i="9"/>
  <c r="D74" i="9"/>
  <c r="E31" i="9"/>
  <c r="V6" i="9"/>
  <c r="F48" i="9"/>
  <c r="G82" i="9"/>
  <c r="H76" i="9"/>
  <c r="B48" i="9"/>
  <c r="V27" i="9"/>
  <c r="H79" i="9"/>
  <c r="K54" i="9"/>
  <c r="O58" i="9"/>
  <c r="B41" i="9"/>
  <c r="O71" i="9"/>
  <c r="AA27" i="9"/>
  <c r="K37" i="9"/>
  <c r="X36" i="9"/>
  <c r="I53" i="9"/>
  <c r="K59" i="9"/>
  <c r="AA19" i="9"/>
  <c r="O72" i="9"/>
  <c r="M58" i="9"/>
  <c r="E59" i="9"/>
  <c r="P10" i="9"/>
  <c r="D56" i="9"/>
  <c r="G5" i="9"/>
  <c r="N48" i="9"/>
  <c r="T20" i="9"/>
  <c r="L36" i="9"/>
  <c r="N28" i="9"/>
  <c r="J8" i="9"/>
  <c r="I8" i="9"/>
  <c r="Q53" i="9"/>
  <c r="F57" i="9"/>
  <c r="F13" i="9"/>
  <c r="Y9" i="9"/>
  <c r="N15" i="9"/>
  <c r="U7" i="9"/>
  <c r="F30" i="9"/>
  <c r="C62" i="9"/>
  <c r="M15" i="9"/>
  <c r="R31" i="9"/>
  <c r="J17" i="9"/>
  <c r="X15" i="9"/>
  <c r="J51" i="9"/>
  <c r="H37" i="9"/>
  <c r="F75" i="9"/>
  <c r="K75" i="9"/>
  <c r="H59" i="9"/>
  <c r="I9" i="9"/>
  <c r="M16" i="9"/>
  <c r="O48" i="9"/>
  <c r="G40" i="9"/>
  <c r="I48" i="9"/>
  <c r="D75" i="9"/>
  <c r="J41" i="9"/>
  <c r="P40" i="9"/>
  <c r="K71" i="9"/>
  <c r="M60" i="9"/>
  <c r="I79" i="9"/>
  <c r="C77" i="9"/>
  <c r="AA28" i="9"/>
  <c r="W29" i="9"/>
  <c r="V41" i="9"/>
  <c r="E13" i="9"/>
  <c r="G76" i="9"/>
  <c r="J49" i="9"/>
  <c r="I71" i="9"/>
  <c r="T10" i="9"/>
  <c r="H34" i="9"/>
  <c r="B47" i="9"/>
  <c r="C47" i="9"/>
  <c r="S28" i="9"/>
  <c r="M30" i="9"/>
  <c r="Q54" i="9"/>
  <c r="H50" i="9"/>
  <c r="B28" i="9"/>
  <c r="Q8" i="9"/>
  <c r="F68" i="9"/>
  <c r="E16" i="9"/>
  <c r="B81" i="9"/>
  <c r="W17" i="9"/>
  <c r="O49" i="9"/>
  <c r="C9" i="9"/>
  <c r="L6" i="9"/>
  <c r="Y19" i="9"/>
  <c r="S17" i="9"/>
  <c r="E77" i="9"/>
  <c r="P76" i="9"/>
  <c r="O73" i="9"/>
  <c r="R10" i="9"/>
  <c r="Q10" i="9"/>
  <c r="W13" i="9"/>
  <c r="Q68" i="9"/>
  <c r="C49" i="9"/>
  <c r="C31" i="9"/>
  <c r="G27" i="9"/>
  <c r="Z30" i="9"/>
  <c r="D59" i="9"/>
  <c r="M47" i="9"/>
  <c r="G80" i="9"/>
  <c r="E37" i="9"/>
  <c r="Y40" i="9"/>
  <c r="T37" i="9"/>
  <c r="C15" i="9"/>
  <c r="O59" i="9"/>
  <c r="M79" i="9"/>
  <c r="G61" i="9"/>
  <c r="R7" i="9"/>
  <c r="I26" i="9"/>
  <c r="M13" i="9"/>
  <c r="D8" i="9"/>
  <c r="AA16" i="9"/>
  <c r="AA8" i="9"/>
  <c r="Y5" i="9"/>
  <c r="K27" i="9"/>
  <c r="X32" i="9"/>
  <c r="C71" i="9"/>
  <c r="X18" i="9"/>
  <c r="V34" i="9"/>
  <c r="U19" i="9"/>
  <c r="C33" i="9"/>
  <c r="L51" i="9"/>
  <c r="S38" i="9"/>
  <c r="H49" i="9"/>
  <c r="O69" i="9"/>
  <c r="F39" i="9"/>
  <c r="P35" i="9"/>
  <c r="L49" i="9"/>
  <c r="D70" i="9"/>
  <c r="K69" i="9"/>
  <c r="M74" i="9"/>
  <c r="T14" i="9"/>
  <c r="Q58" i="9"/>
  <c r="X5" i="9"/>
  <c r="E40" i="9"/>
  <c r="H14" i="9"/>
  <c r="L27" i="9"/>
  <c r="B79" i="9"/>
  <c r="U37" i="9"/>
  <c r="I58" i="9"/>
  <c r="L81" i="9"/>
  <c r="N26" i="9"/>
  <c r="K38" i="9"/>
  <c r="G53" i="9"/>
  <c r="C59" i="9"/>
  <c r="R14" i="9"/>
  <c r="M38" i="9"/>
  <c r="D58" i="9"/>
  <c r="U32" i="9"/>
  <c r="O77" i="9"/>
  <c r="O11" i="9"/>
  <c r="I56" i="9"/>
  <c r="W10" i="9"/>
  <c r="Y38" i="9"/>
  <c r="E78" i="9"/>
  <c r="Q61" i="9"/>
  <c r="Q82" i="9"/>
  <c r="Z11" i="9"/>
  <c r="J39" i="9"/>
  <c r="O34" i="9"/>
  <c r="L75" i="9"/>
  <c r="T18" i="9"/>
  <c r="C83" i="9"/>
  <c r="M55" i="9"/>
  <c r="W37" i="9"/>
  <c r="L29" i="9"/>
  <c r="F18" i="9"/>
  <c r="K41" i="9"/>
  <c r="K5" i="9"/>
  <c r="M34" i="9"/>
  <c r="N39" i="9"/>
  <c r="L15" i="9"/>
  <c r="G47" i="9"/>
  <c r="B78" i="9"/>
  <c r="E47" i="9"/>
  <c r="H58" i="9"/>
  <c r="C16" i="9"/>
  <c r="E49" i="9"/>
  <c r="X29" i="9"/>
  <c r="C41" i="9"/>
  <c r="E35" i="9"/>
  <c r="C70" i="9"/>
  <c r="V11" i="9"/>
  <c r="P72" i="9"/>
  <c r="G15" i="9"/>
  <c r="N18" i="9"/>
  <c r="B75" i="9"/>
  <c r="G9" i="9"/>
  <c r="U18" i="9"/>
  <c r="O29" i="9"/>
  <c r="L53" i="9"/>
  <c r="O38" i="9"/>
  <c r="P56" i="9"/>
  <c r="G83" i="9"/>
  <c r="Q48" i="9"/>
  <c r="P38" i="9"/>
  <c r="I30" i="9"/>
  <c r="O51" i="9"/>
  <c r="B13" i="9"/>
  <c r="B39" i="9"/>
  <c r="E56" i="9"/>
  <c r="O14" i="9"/>
  <c r="P77" i="9"/>
  <c r="Z39" i="9"/>
  <c r="L80" i="9"/>
  <c r="H13" i="9"/>
  <c r="L35" i="9"/>
  <c r="M18" i="9"/>
  <c r="B57" i="9"/>
  <c r="M70" i="9"/>
  <c r="M49" i="9"/>
  <c r="K70" i="9"/>
  <c r="D36" i="9"/>
  <c r="Z5" i="9"/>
  <c r="K55" i="9"/>
  <c r="F19" i="9"/>
  <c r="B59" i="9"/>
  <c r="P68" i="9"/>
  <c r="M36" i="9"/>
  <c r="Q52" i="9"/>
  <c r="Q39" i="9"/>
  <c r="R20" i="9"/>
  <c r="I50" i="9"/>
  <c r="P28" i="9"/>
  <c r="R26" i="9"/>
  <c r="F59" i="9"/>
  <c r="V30" i="9"/>
  <c r="F76" i="9"/>
  <c r="L78" i="9"/>
  <c r="L57" i="9"/>
  <c r="B50" i="9"/>
  <c r="N32" i="9"/>
  <c r="B52" i="9"/>
  <c r="E74" i="9"/>
  <c r="E83" i="9"/>
  <c r="S34" i="9"/>
  <c r="I62" i="9"/>
  <c r="X34" i="9"/>
  <c r="AA18" i="9"/>
  <c r="I35" i="9"/>
  <c r="W33" i="9"/>
  <c r="B9" i="9"/>
  <c r="K49" i="9"/>
  <c r="R37" i="9"/>
  <c r="AA38" i="9"/>
  <c r="H5" i="9"/>
  <c r="X37" i="9"/>
  <c r="K40" i="9"/>
  <c r="J33" i="9"/>
  <c r="Q34" i="9"/>
  <c r="O83" i="9"/>
  <c r="M5" i="9"/>
  <c r="Q41" i="9"/>
  <c r="Q15" i="9"/>
  <c r="H41" i="9"/>
  <c r="D6" i="9"/>
  <c r="N72" i="9"/>
  <c r="P41" i="9"/>
  <c r="E81" i="9"/>
  <c r="H8" i="9"/>
  <c r="AA20" i="9"/>
  <c r="U20" i="9"/>
  <c r="F8" i="9"/>
  <c r="Y10" i="9"/>
  <c r="C72" i="9"/>
  <c r="C29" i="9"/>
  <c r="E76" i="9"/>
  <c r="S5" i="9"/>
  <c r="J76" i="9"/>
  <c r="N31" i="9"/>
  <c r="K31" i="9"/>
  <c r="W5" i="9"/>
  <c r="E7" i="9"/>
  <c r="O82" i="9"/>
  <c r="P6" i="9"/>
  <c r="Z38" i="9"/>
  <c r="E17" i="9"/>
  <c r="B16" i="9"/>
  <c r="L83" i="9"/>
  <c r="Z17" i="9"/>
  <c r="F77" i="9"/>
  <c r="E26" i="9"/>
  <c r="D83" i="9"/>
  <c r="S12" i="9"/>
  <c r="Y6" i="9"/>
  <c r="F53" i="9"/>
  <c r="E19" i="9"/>
  <c r="Z36" i="9"/>
  <c r="B29" i="9"/>
  <c r="M31" i="9"/>
  <c r="E82" i="9"/>
  <c r="D12" i="9"/>
  <c r="M17" i="9"/>
  <c r="F51" i="9"/>
  <c r="Q5" i="9"/>
  <c r="V13" i="9"/>
  <c r="X38" i="9"/>
  <c r="C27" i="9"/>
  <c r="E70" i="9"/>
  <c r="V19" i="9"/>
  <c r="R35" i="9"/>
  <c r="AA12" i="9"/>
  <c r="V5" i="9"/>
  <c r="T34" i="9"/>
  <c r="G62" i="9"/>
  <c r="J71" i="9"/>
  <c r="K13" i="9"/>
  <c r="H69" i="9"/>
  <c r="U29" i="9"/>
  <c r="V40" i="9"/>
  <c r="L69" i="9"/>
  <c r="V7" i="9"/>
  <c r="E18" i="9"/>
  <c r="Z13" i="9"/>
  <c r="Q7" i="9"/>
  <c r="S31" i="9"/>
  <c r="O57" i="9"/>
  <c r="N27" i="9"/>
  <c r="M7" i="9"/>
  <c r="J73" i="9"/>
  <c r="Q83" i="9"/>
  <c r="K8" i="9"/>
  <c r="L58" i="9"/>
  <c r="W40" i="9"/>
  <c r="V17" i="9"/>
  <c r="P19" i="9"/>
  <c r="N73" i="9"/>
  <c r="L12" i="9"/>
  <c r="P20" i="9"/>
  <c r="V14" i="9"/>
  <c r="F55" i="9"/>
  <c r="D11" i="9"/>
  <c r="F58" i="9"/>
  <c r="P11" i="9"/>
  <c r="D15" i="9"/>
  <c r="G26" i="9"/>
  <c r="F47" i="9"/>
  <c r="V18" i="9"/>
  <c r="P82" i="9"/>
  <c r="X12" i="9"/>
  <c r="Y27" i="9"/>
  <c r="I77" i="9"/>
  <c r="S37" i="9"/>
  <c r="P83" i="9"/>
  <c r="J70" i="9"/>
  <c r="M72" i="9"/>
  <c r="C53" i="9"/>
  <c r="M81" i="9"/>
  <c r="F12" i="9"/>
  <c r="P17" i="9"/>
  <c r="G33" i="9"/>
  <c r="D71" i="9"/>
  <c r="P73" i="9"/>
  <c r="W38" i="9"/>
  <c r="I15" i="9"/>
  <c r="I80" i="9"/>
  <c r="M61" i="9"/>
  <c r="O74" i="9"/>
  <c r="H68" i="9"/>
  <c r="G12" i="9"/>
  <c r="E8" i="9"/>
  <c r="W39" i="9"/>
  <c r="P53" i="9"/>
  <c r="N55" i="9"/>
  <c r="N19" i="9"/>
  <c r="M32" i="9"/>
  <c r="E10" i="9"/>
  <c r="C82" i="9"/>
  <c r="K7" i="9"/>
  <c r="I14" i="9"/>
  <c r="Y13" i="9"/>
  <c r="Y31" i="9"/>
  <c r="B53" i="9"/>
  <c r="Y12" i="9"/>
  <c r="E54" i="9"/>
  <c r="E69" i="9"/>
  <c r="Q59" i="9"/>
  <c r="Q69" i="9"/>
  <c r="N6" i="9"/>
  <c r="D9" i="9"/>
  <c r="D29" i="9"/>
  <c r="B80" i="9"/>
  <c r="B11" i="9"/>
  <c r="M40" i="9"/>
  <c r="K35" i="9"/>
  <c r="E75" i="9"/>
  <c r="Y7" i="9"/>
  <c r="G17" i="9"/>
  <c r="U40" i="9"/>
  <c r="H82" i="9"/>
  <c r="R29" i="9"/>
  <c r="U36" i="9"/>
  <c r="L13" i="9"/>
  <c r="Q14" i="9"/>
  <c r="T35" i="9"/>
  <c r="O39" i="9"/>
  <c r="K26" i="9"/>
  <c r="M35" i="9"/>
  <c r="G32" i="9"/>
  <c r="B34" i="9"/>
  <c r="C74" i="9"/>
  <c r="K10" i="9"/>
  <c r="C75" i="9"/>
  <c r="V12" i="9"/>
  <c r="S30" i="9"/>
  <c r="F80" i="9"/>
  <c r="R12" i="9"/>
  <c r="J37" i="9"/>
  <c r="M56" i="9"/>
  <c r="O19" i="9"/>
  <c r="AA40" i="9"/>
  <c r="Y8" i="9"/>
  <c r="W26" i="9"/>
  <c r="I74" i="9"/>
  <c r="Q62" i="9"/>
  <c r="J82" i="9"/>
  <c r="U30" i="9"/>
  <c r="K34" i="9"/>
  <c r="M71" i="9"/>
  <c r="B38" i="9"/>
  <c r="D49" i="9"/>
  <c r="Q51" i="9"/>
  <c r="J30" i="9"/>
  <c r="T40" i="9"/>
  <c r="M59" i="9"/>
  <c r="M12" i="9"/>
  <c r="M77" i="9"/>
  <c r="O33" i="9"/>
  <c r="P62" i="9"/>
  <c r="K78" i="9"/>
  <c r="S14" i="9"/>
  <c r="AA11" i="9"/>
  <c r="V9" i="9"/>
  <c r="E48" i="9"/>
  <c r="L32" i="9"/>
  <c r="M82" i="9"/>
  <c r="F79" i="9"/>
  <c r="H70" i="9"/>
  <c r="F15" i="9"/>
  <c r="I57" i="9"/>
  <c r="B69" i="9"/>
  <c r="I81" i="9"/>
  <c r="L9" i="9"/>
  <c r="N14" i="9"/>
  <c r="B72" i="9"/>
  <c r="L37" i="9"/>
  <c r="K14" i="9"/>
  <c r="V33" i="9"/>
  <c r="N37" i="9"/>
  <c r="V10" i="9"/>
  <c r="H62" i="9"/>
  <c r="S13" i="9"/>
  <c r="K60" i="9"/>
  <c r="B58" i="9"/>
  <c r="E68" i="9"/>
  <c r="I41" i="9"/>
  <c r="R5" i="9"/>
  <c r="P50" i="9"/>
</calcChain>
</file>

<file path=xl/comments1.xml><?xml version="1.0" encoding="utf-8"?>
<comments xmlns="http://schemas.openxmlformats.org/spreadsheetml/2006/main">
  <authors>
    <author>jmarks</author>
  </authors>
  <commentList>
    <comment ref="A1" authorId="0" shapeId="0">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List>
</comments>
</file>

<file path=xl/comments2.xml><?xml version="1.0" encoding="utf-8"?>
<comments xmlns="http://schemas.openxmlformats.org/spreadsheetml/2006/main">
  <authors>
    <author>jmarks</author>
  </authors>
  <commentList>
    <comment ref="A28" authorId="0" shapeId="0">
      <text>
        <r>
          <rPr>
            <b/>
            <sz val="9"/>
            <color indexed="81"/>
            <rFont val="Tahoma"/>
            <family val="2"/>
          </rPr>
          <t>jmarks:</t>
        </r>
        <r>
          <rPr>
            <sz val="9"/>
            <color indexed="81"/>
            <rFont val="Tahoma"/>
            <family val="2"/>
          </rPr>
          <t xml:space="preserve">
Note will need to be revised as there are more "15s" now.</t>
        </r>
      </text>
    </comment>
    <comment ref="I28" authorId="0" shapeId="0">
      <text>
        <r>
          <rPr>
            <b/>
            <sz val="9"/>
            <color indexed="81"/>
            <rFont val="Tahoma"/>
            <family val="2"/>
          </rPr>
          <t>jmarks:</t>
        </r>
        <r>
          <rPr>
            <sz val="9"/>
            <color indexed="81"/>
            <rFont val="Tahoma"/>
            <family val="2"/>
          </rPr>
          <t xml:space="preserve">
Note will need to be revised as there are more "15s" now.</t>
        </r>
      </text>
    </comment>
  </commentList>
</comments>
</file>

<file path=xl/comments3.xml><?xml version="1.0" encoding="utf-8"?>
<comments xmlns="http://schemas.openxmlformats.org/spreadsheetml/2006/main">
  <authors>
    <author>jmarks</author>
  </authors>
  <commentList>
    <comment ref="A1" authorId="0" shapeId="0">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 ref="A28" authorId="0" shapeId="0">
      <text>
        <r>
          <rPr>
            <b/>
            <sz val="9"/>
            <color indexed="81"/>
            <rFont val="Tahoma"/>
            <family val="2"/>
          </rPr>
          <t>jmarks:</t>
        </r>
        <r>
          <rPr>
            <sz val="9"/>
            <color indexed="81"/>
            <rFont val="Tahoma"/>
            <family val="2"/>
          </rPr>
          <t xml:space="preserve">
Note will need to be revised as there are more "15s" now.</t>
        </r>
      </text>
    </comment>
    <comment ref="I28" authorId="0" shapeId="0">
      <text>
        <r>
          <rPr>
            <b/>
            <sz val="9"/>
            <color indexed="81"/>
            <rFont val="Tahoma"/>
            <family val="2"/>
          </rPr>
          <t>jmarks:</t>
        </r>
        <r>
          <rPr>
            <sz val="9"/>
            <color indexed="81"/>
            <rFont val="Tahoma"/>
            <family val="2"/>
          </rPr>
          <t xml:space="preserve">
Note will need to be revised as there are more "15s" now.</t>
        </r>
      </text>
    </comment>
  </commentList>
</comments>
</file>

<file path=xl/comments4.xml><?xml version="1.0" encoding="utf-8"?>
<comments xmlns="http://schemas.openxmlformats.org/spreadsheetml/2006/main">
  <authors>
    <author>mloverde</author>
    <author>JLM</author>
    <author>Lee, Cynthia M.</author>
    <author>mevilsiz</author>
    <author>jmarks</author>
    <author>..</author>
    <author>Jeannie Reed</author>
  </authors>
  <commentList>
    <comment ref="F2" authorId="0" shapeId="0">
      <text>
        <r>
          <rPr>
            <b/>
            <sz val="11"/>
            <color indexed="81"/>
            <rFont val="Tahoma"/>
            <family val="2"/>
          </rPr>
          <t>Five specialized schools ("15's") with significant e-learning offerings are included in this survey section: 
Southern Polytechnic State University, 
University of Maryland University College, 
North Carolina School of the Arts, 
Virginia Military Institute, and the 
West Virginia School of Osteopathic Medicine.
Other 15s should not be included without checking with Joe.</t>
        </r>
      </text>
    </comment>
    <comment ref="A85" authorId="1" shapeId="0">
      <text>
        <r>
          <rPr>
            <b/>
            <sz val="10"/>
            <color indexed="81"/>
            <rFont val="Tahoma"/>
            <family val="2"/>
          </rPr>
          <t>JLM:</t>
        </r>
        <r>
          <rPr>
            <sz val="10"/>
            <color indexed="81"/>
            <rFont val="Tahoma"/>
            <family val="2"/>
          </rPr>
          <t xml:space="preserve">
Use 75% rule for e-learning.</t>
        </r>
      </text>
    </comment>
    <comment ref="C161" authorId="2" shapeId="0">
      <text>
        <r>
          <rPr>
            <b/>
            <sz val="8"/>
            <color indexed="81"/>
            <rFont val="Tahoma"/>
            <family val="2"/>
          </rPr>
          <t>Lee, Cynthia M.:</t>
        </r>
        <r>
          <rPr>
            <sz val="8"/>
            <color indexed="81"/>
            <rFont val="Tahoma"/>
            <family val="2"/>
          </rPr>
          <t xml:space="preserve">
Altamaha and Okefenokee merged in Fall 2014 to Coastal Pines Technical College
IPEDS # 485458</t>
        </r>
      </text>
    </comment>
    <comment ref="B201" authorId="3" shapeId="0">
      <text>
        <r>
          <rPr>
            <b/>
            <sz val="8"/>
            <color indexed="81"/>
            <rFont val="Tahoma"/>
            <family val="2"/>
          </rPr>
          <t>mevilsiz:</t>
        </r>
        <r>
          <rPr>
            <sz val="8"/>
            <color indexed="81"/>
            <rFont val="Tahoma"/>
            <family val="2"/>
          </rPr>
          <t xml:space="preserve">
Formerly Bowling Green Technical College</t>
        </r>
      </text>
    </comment>
    <comment ref="A270" authorId="4" shapeId="0">
      <text>
        <r>
          <rPr>
            <b/>
            <sz val="10"/>
            <color indexed="81"/>
            <rFont val="Tahoma"/>
            <family val="2"/>
          </rPr>
          <t xml:space="preserve">jmarks: </t>
        </r>
        <r>
          <rPr>
            <sz val="10"/>
            <color indexed="81"/>
            <rFont val="Tahoma"/>
            <family val="2"/>
          </rPr>
          <t>General note for all NC CCs: Beginning with the 2010-11 classfication new formulae were used to more accurately account for courses using contact hours rather than credit hours. The overall effect is to lower the calculated credit hour count and thus the FTE counts. This is, in effect, a recalibration and a number of instutitons have been reclassified as a result.</t>
        </r>
      </text>
    </comment>
    <comment ref="B459" authorId="5" shapeId="0">
      <text>
        <r>
          <rPr>
            <b/>
            <sz val="9"/>
            <color indexed="81"/>
            <rFont val="Tahoma"/>
            <family val="2"/>
          </rPr>
          <t>..:</t>
        </r>
        <r>
          <rPr>
            <sz val="9"/>
            <color indexed="81"/>
            <rFont val="Tahoma"/>
            <family val="2"/>
          </rPr>
          <t xml:space="preserve">
San Marcos is no longer a part of the name.</t>
        </r>
      </text>
    </comment>
    <comment ref="B597" authorId="6" shapeId="0">
      <text>
        <r>
          <rPr>
            <b/>
            <sz val="9"/>
            <color indexed="81"/>
            <rFont val="Tahoma"/>
            <family val="2"/>
          </rPr>
          <t>Jeannie Reed:</t>
        </r>
        <r>
          <rPr>
            <sz val="9"/>
            <color indexed="81"/>
            <rFont val="Tahoma"/>
            <family val="2"/>
          </rPr>
          <t xml:space="preserve">
New Fall 2014</t>
        </r>
      </text>
    </comment>
  </commentList>
</comments>
</file>

<file path=xl/connections.xml><?xml version="1.0" encoding="utf-8"?>
<connections xmlns="http://schemas.openxmlformats.org/spreadsheetml/2006/main">
  <connection id="1" name="Type10ug5" type="6" refreshedVersion="3" background="1" saveData="1">
    <textPr codePage="437" sourceFile="\\THECB-AUVFS41\UserDoc$\MeadDD\My Documents\My SAS Files\SREB\QWK03864\Page5\Type10ug5.txt">
      <textFields>
        <textField/>
      </textFields>
    </textPr>
  </connection>
  <connection id="2" name="Type11gr1" type="6" refreshedVersion="4" background="1" saveData="1">
    <textPr codePage="437" sourceFile="\\THECB-AUVFS41\UserDoc$\MeadDD\My Documents\My SAS Files\SREB\QWK04245\Page5\Type11gr1.txt">
      <textFields>
        <textField/>
      </textFields>
    </textPr>
  </connection>
  <connection id="3" name="Type11gr2" type="6" refreshedVersion="4" background="1" saveData="1">
    <textPr codePage="437" sourceFile="\\THECB-AUVFS41\UserDoc$\MeadDD\My Documents\My SAS Files\SREB\QWK04245\Page5\Type11gr2.txt">
      <textFields>
        <textField/>
      </textFields>
    </textPr>
  </connection>
  <connection id="4" name="Type11gr3" type="6" refreshedVersion="4" background="1" saveData="1">
    <textPr codePage="437" sourceFile="\\THECB-AUVFS41\UserDoc$\MeadDD\My Documents\My SAS Files\SREB\QWK04245\Page5\Type11gr3.txt">
      <textFields>
        <textField/>
      </textFields>
    </textPr>
  </connection>
  <connection id="5" name="Type11gr4" type="6" refreshedVersion="4" background="1" saveData="1">
    <textPr codePage="437" sourceFile="\\THECB-AUVFS41\UserDoc$\MeadDD\My Documents\My SAS Files\SREB\QWK04245\Page5\Type11gr4.txt">
      <textFields>
        <textField/>
      </textFields>
    </textPr>
  </connection>
  <connection id="6" name="Type11gr5" type="6" refreshedVersion="4" background="1" saveData="1">
    <textPr codePage="437" sourceFile="\\THECB-AUVFS41\UserDoc$\MeadDD\My Documents\My SAS Files\SREB\QWK04245\Page5\Type11gr5.txt">
      <textFields>
        <textField/>
      </textFields>
    </textPr>
  </connection>
  <connection id="7" name="Type11ug1" type="6" refreshedVersion="4" background="1" saveData="1">
    <textPr codePage="437" sourceFile="\\THECB-AUVFS41\UserDoc$\MeadDD\My Documents\My SAS Files\SREB\QWK04245\Page5\Type11ug1.txt">
      <textFields>
        <textField/>
      </textFields>
    </textPr>
  </connection>
  <connection id="8" name="Type11ug2" type="6" refreshedVersion="4" background="1" saveData="1">
    <textPr codePage="437" sourceFile="\\THECB-AUVFS41\UserDoc$\MeadDD\My Documents\My SAS Files\SREB\QWK04245\Page5\Type11ug2.txt">
      <textFields>
        <textField/>
      </textFields>
    </textPr>
  </connection>
  <connection id="9" name="Type11ug3" type="6" refreshedVersion="4" background="1" saveData="1">
    <textPr codePage="437" sourceFile="\\THECB-AUVFS41\UserDoc$\MeadDD\My Documents\My SAS Files\SREB\QWK04245\Page5\Type11ug3.txt">
      <textFields>
        <textField/>
      </textFields>
    </textPr>
  </connection>
  <connection id="10" name="Type11ug4" type="6" refreshedVersion="4" background="1" saveData="1">
    <textPr codePage="437" sourceFile="\\THECB-AUVFS41\UserDoc$\MeadDD\My Documents\My SAS Files\SREB\QWK04245\Page5\Type11ug4.txt">
      <textFields>
        <textField/>
      </textFields>
    </textPr>
  </connection>
  <connection id="11" name="Type11ug5" type="6" refreshedVersion="4" background="1" saveData="1">
    <textPr codePage="437" sourceFile="\\THECB-AUVFS41\UserDoc$\MeadDD\My Documents\My SAS Files\SREB\QWK04245\Page5\Type11ug5.txt">
      <textFields>
        <textField/>
      </textFields>
    </textPr>
  </connection>
  <connection id="12" name="Type13gr1" type="6" refreshedVersion="5" background="1" saveData="1">
    <textPr codePage="437" sourceFile="Z:\Mead\SASdocs\SREB\QWK04869\Page5\Type13gr1.txt">
      <textFields>
        <textField/>
      </textFields>
    </textPr>
  </connection>
  <connection id="13" name="Type13gr2" type="6" refreshedVersion="5" background="1" saveData="1">
    <textPr codePage="437" sourceFile="Z:\Mead\SASdocs\SREB\QWK04869\Page5\Type13gr2.txt">
      <textFields>
        <textField/>
      </textFields>
    </textPr>
  </connection>
  <connection id="14" name="Type13gr3" type="6" refreshedVersion="5" background="1" saveData="1">
    <textPr codePage="437" sourceFile="Z:\Mead\SASdocs\SREB\QWK04869\Page5\Type13gr3.txt">
      <textFields>
        <textField/>
      </textFields>
    </textPr>
  </connection>
  <connection id="15" name="Type13gr4" type="6" refreshedVersion="5" background="1" saveData="1">
    <textPr codePage="437" sourceFile="Z:\Mead\SASdocs\SREB\QWK04869\Page5\Type13gr4.txt">
      <textFields>
        <textField/>
      </textFields>
    </textPr>
  </connection>
  <connection id="16" name="Type13gr5" type="6" refreshedVersion="5" background="1" saveData="1">
    <textPr codePage="437" sourceFile="Z:\Mead\SASdocs\SREB\QWK04869\Page5\Type13gr5.txt">
      <textFields>
        <textField/>
      </textFields>
    </textPr>
  </connection>
  <connection id="17" name="Type13ug1" type="6" refreshedVersion="5" background="1" saveData="1">
    <textPr codePage="437" sourceFile="Z:\Mead\SASdocs\SREB\QWK04869\Page5\Type13ug1.txt">
      <textFields>
        <textField/>
      </textFields>
    </textPr>
  </connection>
  <connection id="18" name="Type13ug2" type="6" refreshedVersion="5" background="1" saveData="1">
    <textPr codePage="437" sourceFile="Z:\Mead\SASdocs\SREB\QWK04869\Page5\Type13ug2.txt">
      <textFields>
        <textField/>
      </textFields>
    </textPr>
  </connection>
  <connection id="19" name="Type13ug3" type="6" refreshedVersion="5" background="1" saveData="1">
    <textPr codePage="437" sourceFile="Z:\Mead\SASdocs\SREB\QWK04869\Page5\Type13ug3.txt">
      <textFields>
        <textField/>
      </textFields>
    </textPr>
  </connection>
  <connection id="20" name="Type13ug4" type="6" refreshedVersion="5" background="1" saveData="1">
    <textPr codePage="437" sourceFile="Z:\Mead\SASdocs\SREB\QWK04869\Page5\Type13ug4.txt">
      <textFields>
        <textField/>
      </textFields>
    </textPr>
  </connection>
  <connection id="21" name="Type13ug5" type="6" refreshedVersion="5" background="1" saveData="1">
    <textPr codePage="437" sourceFile="Z:\Mead\SASdocs\SREB\QWK04869\Page5\Type13ug5.txt">
      <textFields>
        <textField/>
      </textFields>
    </textPr>
  </connection>
  <connection id="22" name="Type14gr1" type="6" refreshedVersion="5" background="1" saveData="1">
    <textPr codePage="437" sourceFile="Z:\Mead\SASdocs\SREB\QWK05052\Page5\Paste\Type14gr1.txt">
      <textFields>
        <textField/>
      </textFields>
    </textPr>
  </connection>
</connections>
</file>

<file path=xl/sharedStrings.xml><?xml version="1.0" encoding="utf-8"?>
<sst xmlns="http://schemas.openxmlformats.org/spreadsheetml/2006/main" count="3883" uniqueCount="923">
  <si>
    <t>Undergraduate Credit Hours</t>
  </si>
  <si>
    <t>Graduate Credit Hours</t>
  </si>
  <si>
    <t>Calculated</t>
  </si>
  <si>
    <t>e-Learning (more than 50% of course content is electronically delivered)</t>
  </si>
  <si>
    <t>State</t>
  </si>
  <si>
    <t>Institution</t>
  </si>
  <si>
    <t>Category</t>
  </si>
  <si>
    <t>Web</t>
  </si>
  <si>
    <t>ID</t>
  </si>
  <si>
    <t>type</t>
  </si>
  <si>
    <t>OLD-Tot UG SCH Calc</t>
  </si>
  <si>
    <t>NEW-Tot UG SCH Calc</t>
  </si>
  <si>
    <t>Old-UG OnC Trad</t>
  </si>
  <si>
    <t>New-UG OnC Trad</t>
  </si>
  <si>
    <t>Old-UG OffC Trad</t>
  </si>
  <si>
    <t>New-UG OffC Trad</t>
  </si>
  <si>
    <t>Old-UG EL Web</t>
  </si>
  <si>
    <t>Old-UG EL CV</t>
  </si>
  <si>
    <t>Old-UG EL O</t>
  </si>
  <si>
    <t>New-UG EL Web</t>
  </si>
  <si>
    <t>New-UG EL CV</t>
  </si>
  <si>
    <t>New-UG EL O</t>
  </si>
  <si>
    <t>Old-UG Cor</t>
  </si>
  <si>
    <t>New-UG Cor</t>
  </si>
  <si>
    <t>Old-Tot G SCH Calc</t>
  </si>
  <si>
    <t>New-Tot G SCH Calc</t>
  </si>
  <si>
    <t>Old-G OnC Trad</t>
  </si>
  <si>
    <t>New-G OnC Trad</t>
  </si>
  <si>
    <t>Old-G OffC Trad</t>
  </si>
  <si>
    <t>New-G OffC Trad</t>
  </si>
  <si>
    <t>Old-G EL Web</t>
  </si>
  <si>
    <t>Old-G EL CV</t>
  </si>
  <si>
    <t>Old-G EL O</t>
  </si>
  <si>
    <t>New-G EL Web</t>
  </si>
  <si>
    <t>New-G EL CV</t>
  </si>
  <si>
    <t>New-G EL O</t>
  </si>
  <si>
    <t>Old-G Cor</t>
  </si>
  <si>
    <t>New-G Cor</t>
  </si>
  <si>
    <t>AL</t>
  </si>
  <si>
    <t xml:space="preserve"> </t>
  </si>
  <si>
    <t>AR</t>
  </si>
  <si>
    <t>DE</t>
  </si>
  <si>
    <t>FL</t>
  </si>
  <si>
    <t>GA</t>
  </si>
  <si>
    <t>KY</t>
  </si>
  <si>
    <t>LA</t>
  </si>
  <si>
    <t>MD</t>
  </si>
  <si>
    <t>MS</t>
  </si>
  <si>
    <t>NC</t>
  </si>
  <si>
    <t>OK</t>
  </si>
  <si>
    <t>SC</t>
  </si>
  <si>
    <t>TN</t>
  </si>
  <si>
    <t>TX</t>
  </si>
  <si>
    <t>VA</t>
  </si>
  <si>
    <t>WV</t>
  </si>
  <si>
    <t>Four-Year</t>
  </si>
  <si>
    <t>Two-Year</t>
  </si>
  <si>
    <t>Technical</t>
  </si>
  <si>
    <t>Data</t>
  </si>
  <si>
    <t xml:space="preserve"> Old %UG OnC Trad</t>
  </si>
  <si>
    <t xml:space="preserve"> New %UG OnC Trad</t>
  </si>
  <si>
    <t xml:space="preserve"> Old %UG OffC Trad</t>
  </si>
  <si>
    <t xml:space="preserve"> New %UG OffC Trad</t>
  </si>
  <si>
    <t xml:space="preserve"> Change %UG OffC Trad</t>
  </si>
  <si>
    <t xml:space="preserve"> Old %UG EL Web</t>
  </si>
  <si>
    <t xml:space="preserve"> New %UG EL Web</t>
  </si>
  <si>
    <t xml:space="preserve"> Change %UG EL Web</t>
  </si>
  <si>
    <t xml:space="preserve"> Old %UG EL CV</t>
  </si>
  <si>
    <t xml:space="preserve"> New %UG EL CV</t>
  </si>
  <si>
    <t xml:space="preserve"> Change %UG EL CV</t>
  </si>
  <si>
    <t xml:space="preserve"> Old %UG EL O</t>
  </si>
  <si>
    <t xml:space="preserve"> New %UG EL O</t>
  </si>
  <si>
    <t xml:space="preserve"> Change %UG EL O</t>
  </si>
  <si>
    <t xml:space="preserve"> Old %UG Cor</t>
  </si>
  <si>
    <t xml:space="preserve"> New %UG Cor</t>
  </si>
  <si>
    <t xml:space="preserve"> Change %UG Cor</t>
  </si>
  <si>
    <t xml:space="preserve"> Old %G OnC Trad</t>
  </si>
  <si>
    <t xml:space="preserve"> New %G OnC Trad</t>
  </si>
  <si>
    <t xml:space="preserve"> Change %G OnC Trad</t>
  </si>
  <si>
    <t xml:space="preserve"> Old %G OffC Trad</t>
  </si>
  <si>
    <t xml:space="preserve"> New %G OffC Trad</t>
  </si>
  <si>
    <t xml:space="preserve"> Change %G OffC Trad</t>
  </si>
  <si>
    <t xml:space="preserve"> Old %G EL Web</t>
  </si>
  <si>
    <t xml:space="preserve"> New %G EL Web</t>
  </si>
  <si>
    <t xml:space="preserve"> Change %G EL Web</t>
  </si>
  <si>
    <t xml:space="preserve"> Old %G EL CV</t>
  </si>
  <si>
    <t xml:space="preserve"> New %G EL CV</t>
  </si>
  <si>
    <t xml:space="preserve"> Change %G EL CV</t>
  </si>
  <si>
    <t xml:space="preserve"> Old %G EL O</t>
  </si>
  <si>
    <t xml:space="preserve"> New %G EL O</t>
  </si>
  <si>
    <t xml:space="preserve"> Change %G EL O</t>
  </si>
  <si>
    <t xml:space="preserve"> Old %G Cor</t>
  </si>
  <si>
    <t xml:space="preserve"> New %G Cor</t>
  </si>
  <si>
    <t xml:space="preserve"> Change %G Cor</t>
  </si>
  <si>
    <t>Total  Old %UG OnC Trad</t>
  </si>
  <si>
    <t>Total  New %UG OnC Trad</t>
  </si>
  <si>
    <t>Total  Old %UG OffC Trad</t>
  </si>
  <si>
    <t>Total  New %UG OffC Trad</t>
  </si>
  <si>
    <t>Total  Change %UG OffC Trad</t>
  </si>
  <si>
    <t>Total  Old %UG EL Web</t>
  </si>
  <si>
    <t>Total  New %UG EL Web</t>
  </si>
  <si>
    <t>Total  Change %UG EL Web</t>
  </si>
  <si>
    <t>Total  Old %UG EL CV</t>
  </si>
  <si>
    <t>Total  New %UG EL CV</t>
  </si>
  <si>
    <t>Total  Change %UG EL CV</t>
  </si>
  <si>
    <t>Total  Old %UG EL O</t>
  </si>
  <si>
    <t>Total  New %UG EL O</t>
  </si>
  <si>
    <t>Total  Change %UG EL O</t>
  </si>
  <si>
    <t>Total  Old %UG Cor</t>
  </si>
  <si>
    <t>Total  New %UG Cor</t>
  </si>
  <si>
    <t>Total  Change %UG Cor</t>
  </si>
  <si>
    <t>Total  Old %G OnC Trad</t>
  </si>
  <si>
    <t>Total  New %G OnC Trad</t>
  </si>
  <si>
    <t>Total  Change %G OnC Trad</t>
  </si>
  <si>
    <t>Total  Old %G OffC Trad</t>
  </si>
  <si>
    <t>Total  New %G OffC Trad</t>
  </si>
  <si>
    <t>Total  Change %G OffC Trad</t>
  </si>
  <si>
    <t>Total  Old %G EL Web</t>
  </si>
  <si>
    <t>Total  New %G EL Web</t>
  </si>
  <si>
    <t>Total  Change %G EL Web</t>
  </si>
  <si>
    <t>Total  Old %G EL CV</t>
  </si>
  <si>
    <t>Total  New %G EL CV</t>
  </si>
  <si>
    <t>Total  Change %G EL CV</t>
  </si>
  <si>
    <t>Total  Old %G EL O</t>
  </si>
  <si>
    <t>Total  New %G EL O</t>
  </si>
  <si>
    <t>Total  Change %G EL O</t>
  </si>
  <si>
    <t>Total  Old %G Cor</t>
  </si>
  <si>
    <t>Total  New %G Cor</t>
  </si>
  <si>
    <t>Total  Change %G Cor</t>
  </si>
  <si>
    <t>NOT a Review Table</t>
  </si>
  <si>
    <t>Sum of OLD-Tot UG SCH Calc</t>
  </si>
  <si>
    <t>Sum of Old UG E-Learning</t>
  </si>
  <si>
    <t>Sum of Old-Tot G SCH Calc</t>
  </si>
  <si>
    <t>Sum of Old G E-Learning</t>
  </si>
  <si>
    <t>Sum of NEW-Tot UG SCH Calc</t>
  </si>
  <si>
    <t>Sum of New UG E-Learning</t>
  </si>
  <si>
    <t>Sum of New-Tot G SCH Calc</t>
  </si>
  <si>
    <t>Sum of New G E-Learning</t>
  </si>
  <si>
    <t>Table 87</t>
  </si>
  <si>
    <t>All</t>
  </si>
  <si>
    <t>with bachs.</t>
  </si>
  <si>
    <t>Alabama</t>
  </si>
  <si>
    <t>Arkansas</t>
  </si>
  <si>
    <t>Delaware</t>
  </si>
  <si>
    <t>Florida</t>
  </si>
  <si>
    <t>Georgia</t>
  </si>
  <si>
    <t>Kentucky</t>
  </si>
  <si>
    <t>Louisiana</t>
  </si>
  <si>
    <t>Mississippi</t>
  </si>
  <si>
    <t>North Carolina</t>
  </si>
  <si>
    <t>Oklahoma</t>
  </si>
  <si>
    <t>South Carolina</t>
  </si>
  <si>
    <t>Tennessee</t>
  </si>
  <si>
    <t>Texas</t>
  </si>
  <si>
    <t>Virginia</t>
  </si>
  <si>
    <t>West Virginia</t>
  </si>
  <si>
    <t>Table 88</t>
  </si>
  <si>
    <t>Table 89</t>
  </si>
  <si>
    <t>Percent of Graduate Instructional Activity</t>
  </si>
  <si>
    <t xml:space="preserve"> in Traditional Classroom Instruction</t>
  </si>
  <si>
    <t>Table 90</t>
  </si>
  <si>
    <t>Percent of Graduate Instructional Activity in e-Learning</t>
  </si>
  <si>
    <t>Undergraduate Instructional Activity by Type of Instruction</t>
  </si>
  <si>
    <t>Graduate Instructional Activity by Type of Instruction</t>
  </si>
  <si>
    <t>Percent of Total</t>
  </si>
  <si>
    <t>Traditional</t>
  </si>
  <si>
    <t>e-Learning</t>
  </si>
  <si>
    <t>On-Campus</t>
  </si>
  <si>
    <t>Off-Campus</t>
  </si>
  <si>
    <t>Subtotal</t>
  </si>
  <si>
    <t>2-Way Compressed Video</t>
  </si>
  <si>
    <r>
      <t>Other</t>
    </r>
    <r>
      <rPr>
        <b/>
        <vertAlign val="superscript"/>
        <sz val="9"/>
        <rFont val="Arial"/>
        <family val="2"/>
      </rPr>
      <t>1</t>
    </r>
  </si>
  <si>
    <t>Corre- spondence</t>
  </si>
  <si>
    <t>check figs</t>
  </si>
  <si>
    <r>
      <t>Florida</t>
    </r>
    <r>
      <rPr>
        <vertAlign val="superscript"/>
        <sz val="10"/>
        <rFont val="Arial"/>
        <family val="2"/>
      </rPr>
      <t>2</t>
    </r>
  </si>
  <si>
    <r>
      <t>1</t>
    </r>
    <r>
      <rPr>
        <sz val="8"/>
        <rFont val="Arial"/>
        <family val="2"/>
      </rPr>
      <t>Courses delivered via satellite, cable TV, broadcast TV/radio, closed-circuit TV, video tape, CD-ROMS, e-mail, etc.</t>
    </r>
  </si>
  <si>
    <r>
      <t>2</t>
    </r>
    <r>
      <rPr>
        <sz val="8"/>
        <rFont val="Arial"/>
        <family val="2"/>
      </rPr>
      <t>The university system in Florida uses an 80 percent rule to define e-learning so their figures here are likely lower than they would be if they used the 50 percent rule.</t>
    </r>
  </si>
  <si>
    <t>Maryland</t>
  </si>
  <si>
    <r>
      <t>2</t>
    </r>
    <r>
      <rPr>
        <sz val="8"/>
        <rFont val="Arial"/>
        <family val="2"/>
      </rPr>
      <t>The university system in Florida uses a 75 percent rule to define e-learning so their figures here are likely lower than they would be if they used the 50 percent rule.</t>
    </r>
  </si>
  <si>
    <r>
      <t>Mississippi</t>
    </r>
    <r>
      <rPr>
        <vertAlign val="superscript"/>
        <sz val="10"/>
        <rFont val="Arial"/>
        <family val="2"/>
      </rPr>
      <t>2</t>
    </r>
  </si>
  <si>
    <r>
      <t>2</t>
    </r>
    <r>
      <rPr>
        <sz val="8"/>
        <rFont val="Arial"/>
        <family val="2"/>
      </rPr>
      <t>Florida and Mississippi Community Colleges define e-learning when 75 percent of course content is delivered electronically so the figures reported here are likely lower than they would be if they employed a 50 percent rule.</t>
    </r>
  </si>
  <si>
    <t>Total UG SCH</t>
  </si>
  <si>
    <t>4-year</t>
  </si>
  <si>
    <t>2-year</t>
  </si>
  <si>
    <t>Tech</t>
  </si>
  <si>
    <t>Total</t>
  </si>
  <si>
    <t>E-Learning UG SCH</t>
  </si>
  <si>
    <t>Total G SCH</t>
  </si>
  <si>
    <t>E-Learning G SCH</t>
  </si>
  <si>
    <t>Change</t>
  </si>
  <si>
    <t>4-Yr</t>
  </si>
  <si>
    <t>2-Yr</t>
  </si>
  <si>
    <t>IPEDS #</t>
  </si>
  <si>
    <r>
      <t xml:space="preserve">On-Campus "Traditional" Instruction
 </t>
    </r>
    <r>
      <rPr>
        <sz val="10"/>
        <rFont val="Arial"/>
        <family val="2"/>
      </rPr>
      <t>(significant site attendance required--50% or less of course content is electronically delivered)</t>
    </r>
  </si>
  <si>
    <r>
      <t xml:space="preserve">Off-Campus
(in-state or out-of-state sites) "Traditional" Instruction 
</t>
    </r>
    <r>
      <rPr>
        <sz val="10"/>
        <rFont val="Arial"/>
        <family val="2"/>
      </rPr>
      <t>(significant site attendance required--50% or less of course content is electronically delivered)</t>
    </r>
  </si>
  <si>
    <r>
      <t xml:space="preserve">Site-to-Site, 2-Way, Audio/Video </t>
    </r>
    <r>
      <rPr>
        <sz val="10"/>
        <rFont val="Arial"/>
        <family val="2"/>
      </rPr>
      <t>(compressed video)</t>
    </r>
  </si>
  <si>
    <r>
      <t xml:space="preserve">Other </t>
    </r>
    <r>
      <rPr>
        <sz val="10"/>
        <rFont val="Arial"/>
        <family val="2"/>
      </rPr>
      <t xml:space="preserve">(Satellite, Cable, Broadcast TV/Radio, Closed-Circuit, Video Tapes, CD ROM)             </t>
    </r>
  </si>
  <si>
    <r>
      <t xml:space="preserve">Other
</t>
    </r>
    <r>
      <rPr>
        <sz val="10"/>
        <rFont val="Arial"/>
        <family val="2"/>
      </rPr>
      <t xml:space="preserve"> (Satellite, Cable, Broadcast TV/Radio, Closed-Circuit, Video Tapes, CD ROM)            </t>
    </r>
    <r>
      <rPr>
        <b/>
        <sz val="10"/>
        <rFont val="Arial"/>
        <family val="2"/>
      </rPr>
      <t xml:space="preserve"> </t>
    </r>
  </si>
  <si>
    <r>
      <t xml:space="preserve">Correspondence
</t>
    </r>
    <r>
      <rPr>
        <sz val="10"/>
        <rFont val="Arial"/>
        <family val="2"/>
      </rPr>
      <t xml:space="preserve">(no significant site attendance required-less than 50% of the course content is electronically delivered)     </t>
    </r>
  </si>
  <si>
    <t>Note</t>
  </si>
  <si>
    <t>Table 91</t>
  </si>
  <si>
    <t>Table 92</t>
  </si>
  <si>
    <t>Table 93</t>
  </si>
  <si>
    <t>Table 94</t>
  </si>
  <si>
    <t>Table 95</t>
  </si>
  <si>
    <t>Table 96</t>
  </si>
  <si>
    <t>Table 97</t>
  </si>
  <si>
    <t>Table 98</t>
  </si>
  <si>
    <t>Table 99</t>
  </si>
  <si>
    <t>Table 100</t>
  </si>
  <si>
    <t>Table 101</t>
  </si>
  <si>
    <t>Table 102</t>
  </si>
  <si>
    <t>Table 103</t>
  </si>
  <si>
    <t>Table 104</t>
  </si>
  <si>
    <t>Table 105</t>
  </si>
  <si>
    <t>Table 106</t>
  </si>
  <si>
    <t>Table 107</t>
  </si>
  <si>
    <t>Table 108</t>
  </si>
  <si>
    <t>Table 109</t>
  </si>
  <si>
    <t>Table 110</t>
  </si>
  <si>
    <t>Table 111</t>
  </si>
  <si>
    <t>Table 112</t>
  </si>
  <si>
    <r>
      <t xml:space="preserve">Data Columns:  </t>
    </r>
    <r>
      <rPr>
        <sz val="10"/>
        <rFont val="Arial"/>
        <family val="2"/>
      </rPr>
      <t xml:space="preserve">White = New Data, Peach = Old Data, Purple/Grey = Calculated Data. </t>
    </r>
    <r>
      <rPr>
        <b/>
        <sz val="10"/>
        <rFont val="Arial"/>
        <family val="2"/>
      </rPr>
      <t xml:space="preserve"> Please highlight changes in YELLOW</t>
    </r>
  </si>
  <si>
    <t>Comments:  Please look for comments and answer questions; add comments as needed</t>
  </si>
  <si>
    <t>Classification Notes</t>
  </si>
  <si>
    <t>type2</t>
  </si>
  <si>
    <t>Four-Year Total</t>
  </si>
  <si>
    <t>Two-Year Total</t>
  </si>
  <si>
    <t>Techncial</t>
  </si>
  <si>
    <t>Techncial Total</t>
  </si>
  <si>
    <r>
      <t xml:space="preserve">Total Undergraduate SCH
</t>
    </r>
    <r>
      <rPr>
        <strike/>
        <sz val="8"/>
        <color theme="5"/>
        <rFont val="Arial"/>
        <family val="2"/>
      </rPr>
      <t>(Should equal totals in Part 4.)</t>
    </r>
    <r>
      <rPr>
        <strike/>
        <sz val="10"/>
        <color theme="5"/>
        <rFont val="Arial"/>
        <family val="2"/>
      </rPr>
      <t xml:space="preserve"> </t>
    </r>
  </si>
  <si>
    <r>
      <t xml:space="preserve">Total Graduate SCH </t>
    </r>
    <r>
      <rPr>
        <sz val="10"/>
        <color rgb="FF0000FF"/>
        <rFont val="Arial"/>
        <family val="2"/>
      </rPr>
      <t xml:space="preserve">
(a sum of columns --</t>
    </r>
    <r>
      <rPr>
        <strike/>
        <sz val="10"/>
        <color rgb="FFC00000"/>
        <rFont val="Arial"/>
        <family val="2"/>
      </rPr>
      <t>should match totals from Part 3)</t>
    </r>
  </si>
  <si>
    <t>Grand Total</t>
  </si>
  <si>
    <t>Four-Year +</t>
  </si>
  <si>
    <t>Four-Year + Total</t>
  </si>
  <si>
    <t>Technical Total</t>
  </si>
  <si>
    <t xml:space="preserve"> Change %UG OnC Trad</t>
  </si>
  <si>
    <t>Total  Change %UG OnC Trad</t>
  </si>
  <si>
    <r>
      <t>Part 5: Credit</t>
    </r>
    <r>
      <rPr>
        <b/>
        <sz val="14"/>
        <color rgb="FFFF0000"/>
        <rFont val="Arial"/>
        <family val="2"/>
      </rPr>
      <t xml:space="preserve"> </t>
    </r>
    <r>
      <rPr>
        <b/>
        <sz val="14"/>
        <color theme="0"/>
        <rFont val="Arial"/>
        <family val="2"/>
      </rPr>
      <t>Hours by Mode of Instruction</t>
    </r>
  </si>
  <si>
    <t>(blank)</t>
  </si>
  <si>
    <t>(blank) Total</t>
  </si>
  <si>
    <r>
      <t>2</t>
    </r>
    <r>
      <rPr>
        <sz val="8"/>
        <rFont val="Arial"/>
        <family val="2"/>
      </rPr>
      <t xml:space="preserve"> The university system in Florida uses an 80 percent rule; Florida's community colleges and Mississippi's community and junior colleges use a 75 percent rule to define e-learning so their figures here are likely lower than they would be if they used the 50 percent rule.</t>
    </r>
  </si>
  <si>
    <r>
      <t>All</t>
    </r>
    <r>
      <rPr>
        <b/>
        <vertAlign val="superscript"/>
        <sz val="9"/>
        <rFont val="Arial"/>
        <family val="2"/>
      </rPr>
      <t>1</t>
    </r>
  </si>
  <si>
    <r>
      <t>2</t>
    </r>
    <r>
      <rPr>
        <sz val="8"/>
        <rFont val="Arial"/>
        <family val="2"/>
      </rPr>
      <t xml:space="preserve"> The university system in Florida uses an 80 percent rule to define e-learning so their figures here are likely lower than they would be if they used the 50 percent rule.</t>
    </r>
  </si>
  <si>
    <r>
      <t>2</t>
    </r>
    <r>
      <rPr>
        <sz val="8"/>
        <rFont val="Arial"/>
        <family val="2"/>
      </rPr>
      <t>Courses delivered via satellite, cable TV, broadcast TV/radio, closed-circuit TV, video tape, CD-ROMS, e-mail, etc.</t>
    </r>
  </si>
  <si>
    <r>
      <t>3</t>
    </r>
    <r>
      <rPr>
        <sz val="8"/>
        <rFont val="Arial"/>
        <family val="2"/>
      </rPr>
      <t>The university system in Florida uses an 80 percent rule to define e-learning so their figures here are likely lower than they would be if they used the 50 percent rule.</t>
    </r>
  </si>
  <si>
    <r>
      <t>Other</t>
    </r>
    <r>
      <rPr>
        <b/>
        <vertAlign val="superscript"/>
        <sz val="9"/>
        <rFont val="Arial"/>
        <family val="2"/>
      </rPr>
      <t>2</t>
    </r>
  </si>
  <si>
    <r>
      <t>Florida</t>
    </r>
    <r>
      <rPr>
        <vertAlign val="superscript"/>
        <sz val="10"/>
        <rFont val="Arial"/>
        <family val="2"/>
      </rPr>
      <t>3</t>
    </r>
  </si>
  <si>
    <r>
      <t>All</t>
    </r>
    <r>
      <rPr>
        <b/>
        <vertAlign val="superscript"/>
        <sz val="10"/>
        <rFont val="Arial"/>
        <family val="2"/>
      </rPr>
      <t>1</t>
    </r>
  </si>
  <si>
    <t xml:space="preserve">North Carolina State University </t>
  </si>
  <si>
    <t xml:space="preserve">University of North Carolina at Chapel Hill </t>
  </si>
  <si>
    <t>University of North Carolina at Greensboro</t>
  </si>
  <si>
    <t xml:space="preserve">East Carolina University </t>
  </si>
  <si>
    <t>University of North Carolina at Charlotte</t>
  </si>
  <si>
    <t xml:space="preserve">Appalachian State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</si>
  <si>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</si>
  <si>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</si>
  <si>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</si>
  <si>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</si>
  <si>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</si>
  <si>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</si>
  <si>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</si>
  <si>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</si>
  <si>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</si>
  <si>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t>
  </si>
  <si>
    <t>Public Four-Year 1 Institutions, 2013</t>
  </si>
  <si>
    <t>Public Four-Year 2 Institutions, 2013</t>
  </si>
  <si>
    <t>Public Four-Year 3 Institutions, 2013</t>
  </si>
  <si>
    <t>Public Four-Year 4 Institutions, 2013</t>
  </si>
  <si>
    <t>Public Four-Year 5 Institutions, 2013</t>
  </si>
  <si>
    <t>Public Four-Year 6 Institutions, 2013</t>
  </si>
  <si>
    <t>Public Two-Year, 2013</t>
  </si>
  <si>
    <t>Public Two-Year with Bachelor's Institutions, 2013</t>
  </si>
  <si>
    <t>Public Two-Year 1 Institutions, 2013</t>
  </si>
  <si>
    <t>Public Two-Year 2 Institutions, 2013</t>
  </si>
  <si>
    <t>Public Two-Year 3 Institutions, 2013</t>
  </si>
  <si>
    <t>Public Technical Institutes or Colleges, 2013</t>
  </si>
  <si>
    <t>Public Technical Institutes or Colleges 1, 2013</t>
  </si>
  <si>
    <t>Public Technical Institutes or Colleges 2, 2013</t>
  </si>
  <si>
    <t>Percent of Undergraduate Instructional Activity in Traditional Classroom Instruction by Type of Institution, 2013</t>
  </si>
  <si>
    <t>Percent of Undergraduate Instructional Activity in e-Learning by Type of Institution, 2013</t>
  </si>
  <si>
    <t>by Type of Institution, 2013</t>
  </si>
  <si>
    <r>
      <t xml:space="preserve">1 </t>
    </r>
    <r>
      <rPr>
        <sz val="8"/>
        <rFont val="Arial"/>
        <family val="2"/>
      </rPr>
      <t>The "all four-year" figures include the Marion Military Institute, University of Arkansas for Medical Sciences, University of Maryland University College, and University of Maryland - Baltimore.</t>
    </r>
  </si>
  <si>
    <r>
      <t>1</t>
    </r>
    <r>
      <rPr>
        <sz val="8"/>
        <rFont val="Arial"/>
        <family val="2"/>
      </rPr>
      <t xml:space="preserve"> The "all four-year" figures include the Marion Military Institute, University of Arkansas for Medical Sciences, University of Maryland University College, and University of Maryland - Baltimore.</t>
    </r>
  </si>
  <si>
    <r>
      <t>1</t>
    </r>
    <r>
      <rPr>
        <sz val="8"/>
        <rFont val="Arial"/>
        <family val="2"/>
      </rPr>
      <t>This "all four-year" table includes the Marion Military Institute, University of Arkansas for Medical Sciences, University of Maryland University College, and University of Maryland - Baltimore.</t>
    </r>
  </si>
  <si>
    <t>Met the criteria for Four-Year 2 in 2014-15.</t>
  </si>
  <si>
    <t>Reclassified: Met the criteria for Four-Year 1 in 2012-13, 2013-14, and 2014-15.</t>
  </si>
  <si>
    <t>Met the criteria for Four-Year 5 in 2013-14 and 2014-15.</t>
  </si>
  <si>
    <t>University of Arkansas, Fayetteville</t>
  </si>
  <si>
    <t>Arkansas State University</t>
  </si>
  <si>
    <t>Arkansas Tech University</t>
  </si>
  <si>
    <t>University of Arkansas at Little Rock</t>
  </si>
  <si>
    <t xml:space="preserve">University of Central Arkansas </t>
  </si>
  <si>
    <t>Henderson State University</t>
  </si>
  <si>
    <t>Southern Arkansas University</t>
  </si>
  <si>
    <t>University of Arkansas at Monticello</t>
  </si>
  <si>
    <t>University of Arkansas at Fort Smith</t>
  </si>
  <si>
    <t>University of Arkansas at Pine Bluff</t>
  </si>
  <si>
    <t xml:space="preserve">Northwest Arkansas Community College </t>
  </si>
  <si>
    <t>Pulaski Technical College</t>
  </si>
  <si>
    <t>Arkansas State University-Beebe</t>
  </si>
  <si>
    <t>National Park Community College</t>
  </si>
  <si>
    <t>Arkansas Northeastern College</t>
  </si>
  <si>
    <t>Arkansas State University Mountain Home</t>
  </si>
  <si>
    <t>Arkansas State University-Newport</t>
  </si>
  <si>
    <t>Black River Technical College</t>
  </si>
  <si>
    <t>College of the Ouachitas</t>
  </si>
  <si>
    <t>Cossatot Community College of the University of Arkansas</t>
  </si>
  <si>
    <t xml:space="preserve">East Arkansas Community College </t>
  </si>
  <si>
    <t xml:space="preserve">Mid-South Community College </t>
  </si>
  <si>
    <t>North Arkansas College</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</si>
  <si>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</si>
  <si>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</si>
  <si>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</si>
  <si>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</si>
  <si>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</si>
  <si>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</si>
  <si>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</si>
  <si>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</si>
  <si>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</si>
  <si>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University of Arkansas for Medical Sciences</t>
  </si>
  <si>
    <t>Reclassified: Met the criteria for Four-Year 2 in 2012-13, 2013-14, and 2014-15.</t>
  </si>
  <si>
    <t xml:space="preserve">Georgia State University </t>
  </si>
  <si>
    <t>University of Georgia</t>
  </si>
  <si>
    <t>Georgia Institute of Technology</t>
  </si>
  <si>
    <t>Georgia Southern University</t>
  </si>
  <si>
    <t>Kennesaw State University</t>
  </si>
  <si>
    <t>University of West Georgia</t>
  </si>
  <si>
    <t xml:space="preserve">Valdosta State University </t>
  </si>
  <si>
    <t xml:space="preserve">Albany State University </t>
  </si>
  <si>
    <t>Columbus State University</t>
  </si>
  <si>
    <t>Georgia College and State University</t>
  </si>
  <si>
    <t>Georgia Regents University</t>
  </si>
  <si>
    <t>University of North Georgia</t>
  </si>
  <si>
    <t>Clayton State University</t>
  </si>
  <si>
    <t>Fort Valley State University</t>
  </si>
  <si>
    <t>Georgia Southwestern State University</t>
  </si>
  <si>
    <t>Savannah State University</t>
  </si>
  <si>
    <t xml:space="preserve">Dalton State College </t>
  </si>
  <si>
    <t>Georgia Gwinnett College</t>
  </si>
  <si>
    <t>Middle Georgia State College</t>
  </si>
  <si>
    <t xml:space="preserve">Abraham Baldwin Agricultural College </t>
  </si>
  <si>
    <t xml:space="preserve">College of Coastal Georgia </t>
  </si>
  <si>
    <t xml:space="preserve">Gordon State College </t>
  </si>
  <si>
    <t xml:space="preserve">Georgia Perimeter College </t>
  </si>
  <si>
    <t>Atlanta Metropolitan State College</t>
  </si>
  <si>
    <t xml:space="preserve">Bainbridge State College </t>
  </si>
  <si>
    <t xml:space="preserve">Darton State College </t>
  </si>
  <si>
    <t>East Georgia State College</t>
  </si>
  <si>
    <t>Georgia Highlands College</t>
  </si>
  <si>
    <t>South Georgia State College</t>
  </si>
  <si>
    <t>Southern Polytechnic State University</t>
  </si>
  <si>
    <t>Armstrong State University</t>
  </si>
  <si>
    <t>Reclassified: met the criteria for Four-Year 4 in 2012-13, 2013-14, and 2014-15.</t>
  </si>
  <si>
    <t>Met the criteria for Four-Year 4 in 2013-14 and 2014-15.</t>
  </si>
  <si>
    <t xml:space="preserve">Met the criteria for Four-Year 6 in 2014-15. </t>
  </si>
  <si>
    <t xml:space="preserve">Met the criteria for Two-Year with Bachelor's in 2014-15. </t>
  </si>
  <si>
    <t>Met the criteria for Two-Year 3 in 2014-15.</t>
  </si>
  <si>
    <t>University of Memphis</t>
  </si>
  <si>
    <t>University of Tennessee, Knoxville</t>
  </si>
  <si>
    <t xml:space="preserve">Tennessee State University </t>
  </si>
  <si>
    <t xml:space="preserve">Austin Peay State University </t>
  </si>
  <si>
    <t xml:space="preserve">East Tennessee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</si>
  <si>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</si>
  <si>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</si>
  <si>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</si>
  <si>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</si>
  <si>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</si>
  <si>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</si>
  <si>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</si>
  <si>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</si>
  <si>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</si>
  <si>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</si>
  <si>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</si>
  <si>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</si>
  <si>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</si>
  <si>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</si>
  <si>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</si>
  <si>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</si>
  <si>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</si>
  <si>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College of Applied Technology at Chattanooga</t>
  </si>
  <si>
    <t>219824B</t>
  </si>
  <si>
    <t>Tennessee College of Applied Technology at Athens</t>
  </si>
  <si>
    <t>Tennessee College of Applied Technology at Covington</t>
  </si>
  <si>
    <t>Tennessee College of Applied Technology at Crossville</t>
  </si>
  <si>
    <t>Tennessee College of Applied Technology at Crump</t>
  </si>
  <si>
    <t>Tennessee College of Applied Technology at Dickson</t>
  </si>
  <si>
    <t>Tennessee College of Applied Technology at Elizabethton</t>
  </si>
  <si>
    <t>Tennessee College of Applied Technology at Harriman</t>
  </si>
  <si>
    <t>Tennessee College of Applied Technology at Hartsville</t>
  </si>
  <si>
    <t>Tennessee College of Applied Technology at Hohenwald</t>
  </si>
  <si>
    <t>Tennessee College of Applied Technology at Jacksboro</t>
  </si>
  <si>
    <t>Tennessee College of Applied Technology at Jackson</t>
  </si>
  <si>
    <t>Tennessee College of Applied Technology at Knoxville</t>
  </si>
  <si>
    <t>Tennessee College of Applied Technology at Livingston</t>
  </si>
  <si>
    <t>Tennessee College of Applied Technology at McKenzie</t>
  </si>
  <si>
    <t>Tennessee College of Applied Technology at McMinnville</t>
  </si>
  <si>
    <t>Tennessee College of Applied Technology at Memphis</t>
  </si>
  <si>
    <t>Tennessee College of Applied Technology at Morristown</t>
  </si>
  <si>
    <t>Tennessee College of Applied Technology at Murfreesboro</t>
  </si>
  <si>
    <t>Tennessee College of Applied Technology at Nashville</t>
  </si>
  <si>
    <t>Tennessee College of Applied Technology at Newbern</t>
  </si>
  <si>
    <t>Tennessee College of Applied Technology at Oneida</t>
  </si>
  <si>
    <t>Tennessee College of Applied Technology at Paris</t>
  </si>
  <si>
    <t>Tennessee College of Applied Technology at Pulaski</t>
  </si>
  <si>
    <t>Tennessee College of Applied Technology at Ripley</t>
  </si>
  <si>
    <t>Tennessee College of Applied Technology at Shelbyville</t>
  </si>
  <si>
    <t>Tennessee College of Applied Technology at Whiteville</t>
  </si>
  <si>
    <t>Met the criteria for Four-Year 2 in 2013-14 and 2014-15.</t>
  </si>
  <si>
    <t>University of Kentucky</t>
  </si>
  <si>
    <t>University of Louisville</t>
  </si>
  <si>
    <t xml:space="preserve">Eastern Kentucky University </t>
  </si>
  <si>
    <t xml:space="preserve">Morehead State University </t>
  </si>
  <si>
    <t xml:space="preserve">Murray State University </t>
  </si>
  <si>
    <t xml:space="preserve">Western Kentucky University </t>
  </si>
  <si>
    <t xml:space="preserve">Kentucky State University </t>
  </si>
  <si>
    <t xml:space="preserve">Northern Kentucky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</si>
  <si>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</si>
  <si>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</si>
  <si>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</si>
  <si>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</si>
  <si>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</si>
  <si>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Hazard Community and Technical College</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</si>
  <si>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</si>
  <si>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</si>
  <si>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</si>
  <si>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</si>
  <si>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</si>
  <si>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</si>
  <si>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</si>
  <si>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 xml:space="preserve">Henderson Community College </t>
  </si>
  <si>
    <t>Gateway Community and Technical College</t>
  </si>
  <si>
    <t>Southcentral Kentucky Community and Technical College</t>
  </si>
  <si>
    <t>Reclassified: Met the criteria for Four-Year 3 in 2012-13, 2013-14, and 2014-15.</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</si>
  <si>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</si>
  <si>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</si>
  <si>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</si>
  <si>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</si>
  <si>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</si>
  <si>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</si>
  <si>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</si>
  <si>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</si>
  <si>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</si>
  <si>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</si>
  <si>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</si>
  <si>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</si>
  <si>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</si>
  <si>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</si>
  <si>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</si>
  <si>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</si>
  <si>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</si>
  <si>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Institute of Technology</t>
  </si>
  <si>
    <t>Potomac State College of West Virginia University</t>
  </si>
  <si>
    <t>West Virginia University at Parkersburg</t>
  </si>
  <si>
    <t>New River Community &amp; Technical College</t>
  </si>
  <si>
    <t>Pierpont Community &amp; Technical College</t>
  </si>
  <si>
    <t>West Virginia Northern Community College</t>
  </si>
  <si>
    <t>Blue Ridge Community &amp; Technical College</t>
  </si>
  <si>
    <t>Eastern West Virginia Community &amp; Technical College</t>
  </si>
  <si>
    <t>Mountwest Community &amp; Technical College</t>
  </si>
  <si>
    <t xml:space="preserve">Southern West Virginia Community &amp; Technical College </t>
  </si>
  <si>
    <t>BridgeValley Community &amp; Technical College</t>
  </si>
  <si>
    <t>New</t>
  </si>
  <si>
    <t>Met the criteria for Four-Year 5 in 2014-15.</t>
  </si>
  <si>
    <t>Met the criteria for Four-Year 6 in 2013-14 and 2014-15.</t>
  </si>
  <si>
    <t>Reclassified: Met the criteria for Two-Year 3 in 2012-13, 2013-14, and 2014-15.</t>
  </si>
  <si>
    <t>Met the criteria for Two-Year 2 in 2014-15.</t>
  </si>
  <si>
    <t>Albany Technical College</t>
  </si>
  <si>
    <t>Athens Technical College</t>
  </si>
  <si>
    <t>Atlanta Technical College</t>
  </si>
  <si>
    <t>Augusta Technical College</t>
  </si>
  <si>
    <t>Central Georgia Technical College</t>
  </si>
  <si>
    <t>Chattahoochee Technical College</t>
  </si>
  <si>
    <t>Columbus Technical College</t>
  </si>
  <si>
    <t>Georgia Northwestern Technical College</t>
  </si>
  <si>
    <t>Georgia Piedmont Technical College</t>
  </si>
  <si>
    <t>Gwinnett Technical College</t>
  </si>
  <si>
    <t>Lanier Technical College</t>
  </si>
  <si>
    <t>Moultrie Technical College</t>
  </si>
  <si>
    <t>North Georgia Technical College</t>
  </si>
  <si>
    <t>Oconee Fall Line Technical College</t>
  </si>
  <si>
    <t>Ogeechee Technical College</t>
  </si>
  <si>
    <t>Savannah Technical College</t>
  </si>
  <si>
    <t>South Georgia Technical College</t>
  </si>
  <si>
    <t>Southeastern Technical College</t>
  </si>
  <si>
    <t>Southern Crescent Technical College</t>
  </si>
  <si>
    <t>Southwest Georgia Technical College</t>
  </si>
  <si>
    <t>West Georgia Technical College</t>
  </si>
  <si>
    <t>Wiregrass Georgia Technical College</t>
  </si>
  <si>
    <t>Coastal Pines Technical College</t>
  </si>
  <si>
    <t>Auburn University</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</si>
  <si>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</si>
  <si>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</si>
  <si>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</si>
  <si>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</si>
  <si>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</si>
  <si>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</si>
  <si>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</si>
  <si>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</si>
  <si>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</si>
  <si>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</si>
  <si>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</si>
  <si>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</si>
  <si>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</si>
  <si>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Gadsden State Community College</t>
  </si>
  <si>
    <t>Jefferson State Community College</t>
  </si>
  <si>
    <t xml:space="preserve">John C. Calhoun State Community College </t>
  </si>
  <si>
    <t>Wallace Community College - Hanceville</t>
  </si>
  <si>
    <t>Bevill State Community College</t>
  </si>
  <si>
    <t>Bishop State Community College</t>
  </si>
  <si>
    <t>Central Alabama Community College</t>
  </si>
  <si>
    <t>Enterprise State Community College</t>
  </si>
  <si>
    <t>George C. Wallace State Community College - Dothan</t>
  </si>
  <si>
    <t>James H. Faulkner State Community College</t>
  </si>
  <si>
    <t xml:space="preserve">Lawson State Community College </t>
  </si>
  <si>
    <t xml:space="preserve">Northeast Alabama State Community College </t>
  </si>
  <si>
    <t>Northwest-Shoals Community College</t>
  </si>
  <si>
    <t>Shelton State Community College</t>
  </si>
  <si>
    <t>Southern Union State Community College</t>
  </si>
  <si>
    <t>Alabama Southern Community College</t>
  </si>
  <si>
    <t xml:space="preserve">Chattahoochee Valley State Community College </t>
  </si>
  <si>
    <t>George Corley Wallace State Community College - Selma</t>
  </si>
  <si>
    <t>Jefferson Davis Community College</t>
  </si>
  <si>
    <t xml:space="preserve">Lurleen B. Wallace Community College </t>
  </si>
  <si>
    <t xml:space="preserve">Snead State Community College </t>
  </si>
  <si>
    <t xml:space="preserve">Trenholm State Technical College </t>
  </si>
  <si>
    <t xml:space="preserve">J.F. Drake State Technical College </t>
  </si>
  <si>
    <t xml:space="preserve">J.F. Ingram State Technical College </t>
  </si>
  <si>
    <t xml:space="preserve">Reid State Technical College </t>
  </si>
  <si>
    <t>Marion Military Institute</t>
  </si>
  <si>
    <t>Met the criteria for Four-Year 1 in 2014-15.</t>
  </si>
  <si>
    <t>Met the criteria for Four-Year 3 in 2014-15.</t>
  </si>
  <si>
    <t>Met the criteria for Two-Year 2 in 2013-14 and 2014-15.</t>
  </si>
  <si>
    <t>Reclassified: Met the criteria for Two-Year 2 in 2012-13, 2013-14, and 2014-15.</t>
  </si>
  <si>
    <t>Florida International University</t>
  </si>
  <si>
    <t xml:space="preserve">Florida State University </t>
  </si>
  <si>
    <t xml:space="preserve">University of Central Florida </t>
  </si>
  <si>
    <t>University of Florida</t>
  </si>
  <si>
    <t xml:space="preserve">University of South Florida </t>
  </si>
  <si>
    <t xml:space="preserve">Florida Atlantic University </t>
  </si>
  <si>
    <t xml:space="preserve">Florida Agricultural &amp; Mechanical University </t>
  </si>
  <si>
    <t>University of North Florida</t>
  </si>
  <si>
    <t>University of West Florida</t>
  </si>
  <si>
    <t>Florida Gulf Coast University</t>
  </si>
  <si>
    <t>New College of Florida</t>
  </si>
  <si>
    <t xml:space="preserve">Broward College </t>
  </si>
  <si>
    <t xml:space="preserve">Chipola College </t>
  </si>
  <si>
    <t xml:space="preserve">Daytona State College </t>
  </si>
  <si>
    <t>Florida SouthWestern State College</t>
  </si>
  <si>
    <t>Florida State College at Jacksonville</t>
  </si>
  <si>
    <t xml:space="preserve">Indian River State College </t>
  </si>
  <si>
    <t xml:space="preserve">Miami Dade College </t>
  </si>
  <si>
    <t>Northwest Florida State College</t>
  </si>
  <si>
    <t xml:space="preserve">Palm Beach State College </t>
  </si>
  <si>
    <t xml:space="preserve">Polk State College </t>
  </si>
  <si>
    <t xml:space="preserve">St. Johns River State College </t>
  </si>
  <si>
    <t xml:space="preserve">St. Petersburg College </t>
  </si>
  <si>
    <t>State College of Florida, Manatee-Sarasota</t>
  </si>
  <si>
    <t>College of Central Florida</t>
  </si>
  <si>
    <t>Eastern Florida State College</t>
  </si>
  <si>
    <t xml:space="preserve">Hillsborough Community College </t>
  </si>
  <si>
    <t xml:space="preserve">Pasco-Hernando Community College </t>
  </si>
  <si>
    <t xml:space="preserve">Pensacola State College </t>
  </si>
  <si>
    <t xml:space="preserve">Santa Fe College </t>
  </si>
  <si>
    <t>Seminole State College of Florida</t>
  </si>
  <si>
    <t xml:space="preserve">Tallahassee Community College </t>
  </si>
  <si>
    <t xml:space="preserve">Valencia College </t>
  </si>
  <si>
    <t>Florida Gateway College</t>
  </si>
  <si>
    <t xml:space="preserve">Gulf Coast State College </t>
  </si>
  <si>
    <t xml:space="preserve">Lake-Sumter State College </t>
  </si>
  <si>
    <t xml:space="preserve">South Florida State College </t>
  </si>
  <si>
    <t xml:space="preserve">Florida Keys Community College </t>
  </si>
  <si>
    <t xml:space="preserve">North Florida Community College </t>
  </si>
  <si>
    <t>Met the criteria for Two-Year with Bachelor's in 2013-14 and 2014-15.</t>
  </si>
  <si>
    <t>Reclassified: Met the criteria for Two-Year with Bachelor's in 2012-13, 2013-14, and 2014-15.</t>
  </si>
  <si>
    <t>Met the criteria for Two-Year with Bachelor's in 2014-15.</t>
  </si>
  <si>
    <t>Oklahoma State University Main Campus</t>
  </si>
  <si>
    <t>University of Oklahoma Norman Campus</t>
  </si>
  <si>
    <t>Northeastern State University</t>
  </si>
  <si>
    <t>University of Central Oklahoma</t>
  </si>
  <si>
    <t xml:space="preserve">Southeastern Oklahoma State University </t>
  </si>
  <si>
    <t xml:space="preserve">Cameron University </t>
  </si>
  <si>
    <t xml:space="preserve">East Central University </t>
  </si>
  <si>
    <t>Langston University</t>
  </si>
  <si>
    <t xml:space="preserve">Northwestern Oklahoma State University </t>
  </si>
  <si>
    <t>Southwestern Oklahoma State University</t>
  </si>
  <si>
    <t xml:space="preserve">Oklahoma Panhandle State University </t>
  </si>
  <si>
    <t>Rogers State University</t>
  </si>
  <si>
    <t>University of Science and Arts of Oklahoma</t>
  </si>
  <si>
    <t xml:space="preserve">Oklahoma State University Technical Branch-Okmulgee </t>
  </si>
  <si>
    <t>Oklahoma State University-Oklahoma City</t>
  </si>
  <si>
    <t xml:space="preserve">Oklahoma City Community College </t>
  </si>
  <si>
    <t xml:space="preserve">Rose State College </t>
  </si>
  <si>
    <t xml:space="preserve">Tulsa Community College </t>
  </si>
  <si>
    <t>Carl Albert State College</t>
  </si>
  <si>
    <t xml:space="preserve">Northern Oklahoma College </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</si>
  <si>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</si>
  <si>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</si>
  <si>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</si>
  <si>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</si>
  <si>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</si>
  <si>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</si>
  <si>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</si>
  <si>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Met the criteria for Two-Year 2 institution in 2013-14 and 2014-15.</t>
  </si>
  <si>
    <t>Met the criteria for Two-Year 3 institution in 2013-14 and 2014-15.</t>
  </si>
  <si>
    <t>University of Delaware</t>
  </si>
  <si>
    <t>Delaware State University</t>
  </si>
  <si>
    <t>Delaware Technical and Community College--Stanton-Wilmington</t>
  </si>
  <si>
    <t>Delaware Technical and Community College--Owens</t>
  </si>
  <si>
    <t>Delaware Technical and Community College--Terry</t>
  </si>
  <si>
    <t>Asheville-Buncombe Technical Community College</t>
  </si>
  <si>
    <t>Cape Fear Community College</t>
  </si>
  <si>
    <t xml:space="preserve">Central Piedmont Community College </t>
  </si>
  <si>
    <t>Fayetteville Technical Community College</t>
  </si>
  <si>
    <t>Forsyth Technical Community College</t>
  </si>
  <si>
    <t>Guilford Technical Community College</t>
  </si>
  <si>
    <t>Pitt Community College</t>
  </si>
  <si>
    <t>Rowan-Cabarrus Community College</t>
  </si>
  <si>
    <t>Wake Technical Community College</t>
  </si>
  <si>
    <t>Alamance Community College</t>
  </si>
  <si>
    <t>Caldwell Community College &amp; Technical Institute</t>
  </si>
  <si>
    <t>Catawba Valley Community College</t>
  </si>
  <si>
    <t>Central Carolina Commuity College</t>
  </si>
  <si>
    <t>Cleveland Community College</t>
  </si>
  <si>
    <t xml:space="preserve">Coastal Carolina Community College </t>
  </si>
  <si>
    <t xml:space="preserve">Craven Community College </t>
  </si>
  <si>
    <t xml:space="preserve">Davidson County Community College </t>
  </si>
  <si>
    <t>Durham Technical Community College</t>
  </si>
  <si>
    <t>Edgecombe Community College</t>
  </si>
  <si>
    <t xml:space="preserve">Gaston College </t>
  </si>
  <si>
    <t xml:space="preserve">Isothermal Community College </t>
  </si>
  <si>
    <t>Johnston Community College</t>
  </si>
  <si>
    <t xml:space="preserve">Lenoir Community College </t>
  </si>
  <si>
    <t xml:space="preserve">Mitchell Community College </t>
  </si>
  <si>
    <t>Nash Community College</t>
  </si>
  <si>
    <t>Randolph Community College</t>
  </si>
  <si>
    <t>Robeson Community College</t>
  </si>
  <si>
    <t xml:space="preserve">Sandhills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</si>
  <si>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</si>
  <si>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</si>
  <si>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</si>
  <si>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</si>
  <si>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</si>
  <si>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</si>
  <si>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 xml:space="preserve">Beaufort County Community College </t>
  </si>
  <si>
    <t>Bladen Community College</t>
  </si>
  <si>
    <t>Blue Ridge Community College</t>
  </si>
  <si>
    <t>Brunswick Community College</t>
  </si>
  <si>
    <t>Carteret Community College</t>
  </si>
  <si>
    <t>College of the Albemarle</t>
  </si>
  <si>
    <t xml:space="preserve">Halifax Community College </t>
  </si>
  <si>
    <t>Haywood Community College</t>
  </si>
  <si>
    <t>James Sprunt Community College</t>
  </si>
  <si>
    <t xml:space="preserve">Martin Community College </t>
  </si>
  <si>
    <t>Mayland Community College</t>
  </si>
  <si>
    <t>McDowell Technical Community College</t>
  </si>
  <si>
    <t>Montgomery Community College</t>
  </si>
  <si>
    <t>Pamlico Community College</t>
  </si>
  <si>
    <t>Piedmont Community College</t>
  </si>
  <si>
    <t>Richmond Community College</t>
  </si>
  <si>
    <t>Roanoke-Chowan Community College</t>
  </si>
  <si>
    <t xml:space="preserve">Rockingham Community College </t>
  </si>
  <si>
    <t>Sampson Community College</t>
  </si>
  <si>
    <t>South Piedmont Community College</t>
  </si>
  <si>
    <t xml:space="preserve">Southeastern Community College </t>
  </si>
  <si>
    <t xml:space="preserve">Southwestern Community College </t>
  </si>
  <si>
    <t xml:space="preserve">Tri-County Community College </t>
  </si>
  <si>
    <t>Wilson Community College</t>
  </si>
  <si>
    <t xml:space="preserve">Hinds Community College </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</si>
  <si>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</si>
  <si>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</si>
  <si>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</si>
  <si>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</si>
  <si>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</si>
  <si>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</si>
  <si>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</si>
  <si>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</si>
  <si>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</si>
  <si>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</si>
  <si>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</si>
  <si>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</si>
  <si>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</si>
  <si>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</si>
  <si>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University of Maryland College Park</t>
  </si>
  <si>
    <t>Morgan State University</t>
  </si>
  <si>
    <t>University of Maryland, Baltimore County</t>
  </si>
  <si>
    <t xml:space="preserve">Towson University </t>
  </si>
  <si>
    <t xml:space="preserve">Bowie State University </t>
  </si>
  <si>
    <t xml:space="preserve">Frostburg State University </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</si>
  <si>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</si>
  <si>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</si>
  <si>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</si>
  <si>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</si>
  <si>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</si>
  <si>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</si>
  <si>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College of Southern Maryland</t>
  </si>
  <si>
    <t>Community College of Baltimore County (all campuses)</t>
  </si>
  <si>
    <t xml:space="preserve">Howard Community College </t>
  </si>
  <si>
    <t>Montgomery College (all campuses)</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</si>
  <si>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</si>
  <si>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</si>
  <si>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</si>
  <si>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</si>
  <si>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</si>
  <si>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</si>
  <si>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</si>
  <si>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</si>
  <si>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</si>
  <si>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</si>
  <si>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</si>
  <si>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University of Maryland University College</t>
  </si>
  <si>
    <t>University of Maryland, Baltimore</t>
  </si>
  <si>
    <t>Met the criteria for Two-Year 3 institution in 2014-15.</t>
  </si>
  <si>
    <t>Clemson University</t>
  </si>
  <si>
    <t>University of South Carolina-Columbia</t>
  </si>
  <si>
    <t>College of Charleston</t>
  </si>
  <si>
    <t xml:space="preserve">The Citadel, the Military College of South Carolina </t>
  </si>
  <si>
    <t xml:space="preserve">Winthrop University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</si>
  <si>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</si>
  <si>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</si>
  <si>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</si>
  <si>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</si>
  <si>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</si>
  <si>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</si>
  <si>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</si>
  <si>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Florence-Darlington Technical College </t>
  </si>
  <si>
    <t xml:space="preserve">Greenville Technical College </t>
  </si>
  <si>
    <t xml:space="preserve">Horry-Georgetown Technical College </t>
  </si>
  <si>
    <t xml:space="preserve">Midlands Technical College </t>
  </si>
  <si>
    <t xml:space="preserve">Piedmont Technical College </t>
  </si>
  <si>
    <t xml:space="preserve">Tri-County Technical College </t>
  </si>
  <si>
    <t xml:space="preserve">Trident Technical College </t>
  </si>
  <si>
    <t xml:space="preserve">Aiken Technical College </t>
  </si>
  <si>
    <t xml:space="preserve">Central Carolina Technical College </t>
  </si>
  <si>
    <t xml:space="preserve">Orangeburg-Calhoun Technical College </t>
  </si>
  <si>
    <t xml:space="preserve">Spartanburg Community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</si>
  <si>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</si>
  <si>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</si>
  <si>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</si>
  <si>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</si>
  <si>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</si>
  <si>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</si>
  <si>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</si>
  <si>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</si>
  <si>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</si>
  <si>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 xml:space="preserve">Texas A &amp; M University </t>
  </si>
  <si>
    <t xml:space="preserve">Texas Tech University </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</si>
  <si>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</si>
  <si>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</si>
  <si>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</si>
  <si>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</si>
  <si>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</si>
  <si>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</si>
  <si>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</si>
  <si>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</si>
  <si>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</si>
  <si>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</si>
  <si>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</si>
  <si>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 &amp; M University</t>
  </si>
  <si>
    <t xml:space="preserve">Sam Houston State University </t>
  </si>
  <si>
    <t>Stephen F. Austin State University</t>
  </si>
  <si>
    <t xml:space="preserve">Sul Ross State University </t>
  </si>
  <si>
    <t>Tarleton State University</t>
  </si>
  <si>
    <t>Texas A &amp; M International University</t>
  </si>
  <si>
    <t>Texas A &amp; M University - Commerce</t>
  </si>
  <si>
    <t xml:space="preserve">Texas A &amp; M University-Corpus Christi </t>
  </si>
  <si>
    <t>Texas A &amp; M University-Kingsville</t>
  </si>
  <si>
    <t xml:space="preserve">Texas Southern University </t>
  </si>
  <si>
    <t xml:space="preserve">University of Houston-Clear Lake </t>
  </si>
  <si>
    <t>University of Texas at Brownsville</t>
  </si>
  <si>
    <t>University of Texas at Tyler</t>
  </si>
  <si>
    <t>University of Texas of the Permian Basin</t>
  </si>
  <si>
    <t>University of Texas-Pan American</t>
  </si>
  <si>
    <t>West Texas A &amp; M University</t>
  </si>
  <si>
    <t>Texas A &amp; M -Texarkana</t>
  </si>
  <si>
    <t>Texas A &amp; M University - Central Texas</t>
  </si>
  <si>
    <t>???</t>
  </si>
  <si>
    <t>University of Houston-Victoria</t>
  </si>
  <si>
    <t>Sul Ross State University-Rio Grande College</t>
  </si>
  <si>
    <t>228501B</t>
  </si>
  <si>
    <t>Texas A &amp; M University - San Antonio</t>
  </si>
  <si>
    <t>University of Houston-Downtown</t>
  </si>
  <si>
    <t>Texas A &amp; 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</si>
  <si>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</si>
  <si>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</si>
  <si>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</si>
  <si>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</si>
  <si>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</si>
  <si>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</si>
  <si>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</si>
  <si>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</si>
  <si>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</si>
  <si>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</si>
  <si>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</si>
  <si>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</si>
  <si>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</si>
  <si>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</si>
  <si>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Kilgore College </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</si>
  <si>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</si>
  <si>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</si>
  <si>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</si>
  <si>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</si>
  <si>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</si>
  <si>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</si>
  <si>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</si>
  <si>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</si>
  <si>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</si>
  <si>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</si>
  <si>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</si>
  <si>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</si>
  <si>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</si>
  <si>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</si>
  <si>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 xml:space="preserve">Texas Southmost College </t>
  </si>
  <si>
    <t>Texas State Technical College-Waco</t>
  </si>
  <si>
    <t>Trinity Valley Community College</t>
  </si>
  <si>
    <t xml:space="preserve">Tyler Junior College </t>
  </si>
  <si>
    <t xml:space="preserve">Alvin Community College </t>
  </si>
  <si>
    <t xml:space="preserve">Angelina College </t>
  </si>
  <si>
    <t>Cedar Valley College (DCCCD)</t>
  </si>
  <si>
    <t xml:space="preserve">Cisco Junior College </t>
  </si>
  <si>
    <t>Coastal Bend College</t>
  </si>
  <si>
    <t>College of the Mainland</t>
  </si>
  <si>
    <t xml:space="preserve">Grayson County College </t>
  </si>
  <si>
    <t>Hill College</t>
  </si>
  <si>
    <t>Howard College (HCJCD)</t>
  </si>
  <si>
    <t>Lamar Institute of Technology</t>
  </si>
  <si>
    <t>Lamar State College-Port Arthur</t>
  </si>
  <si>
    <t xml:space="preserve">Lee College </t>
  </si>
  <si>
    <t>Mountain View College  (DCCCD)</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</si>
  <si>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</si>
  <si>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</si>
  <si>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</si>
  <si>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</si>
  <si>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</si>
  <si>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</si>
  <si>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State Technical College-Harlingen </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</si>
  <si>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</si>
  <si>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</si>
  <si>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</si>
  <si>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</si>
  <si>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</si>
  <si>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</si>
  <si>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</si>
  <si>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</si>
  <si>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Northeast Lakeview College (ACCD)</t>
  </si>
  <si>
    <t>Panola College</t>
  </si>
  <si>
    <t xml:space="preserve">Ranger College </t>
  </si>
  <si>
    <t>Southwest Collegiate Institute for the Deaf (HCJCD)</t>
  </si>
  <si>
    <t>Texas State Technical College-Marshall</t>
  </si>
  <si>
    <t>Texas State Technical College-West Texas</t>
  </si>
  <si>
    <t xml:space="preserve">Western Texas College </t>
  </si>
  <si>
    <t>University of North Texas at Dallas</t>
  </si>
  <si>
    <t>New fall 2009. No degrees yet granted.</t>
  </si>
  <si>
    <t>University of North Texas at Dallas College of Law</t>
  </si>
  <si>
    <t>New fall 2014?</t>
  </si>
  <si>
    <t>Met the criteria for Four-Year 1 in 2013-14 and 2014-2015.</t>
  </si>
  <si>
    <t>Texas State University</t>
  </si>
  <si>
    <t xml:space="preserve">George Mason University </t>
  </si>
  <si>
    <t xml:space="preserve">Old Dominion University </t>
  </si>
  <si>
    <t>University of Virginia</t>
  </si>
  <si>
    <t xml:space="preserve">Virginia Tech </t>
  </si>
  <si>
    <t>College of William &amp; Mary</t>
  </si>
  <si>
    <t>Virginia Commonwealth University</t>
  </si>
  <si>
    <t>James Madison University</t>
  </si>
  <si>
    <t xml:space="preserve">Longwood University </t>
  </si>
  <si>
    <t xml:space="preserve">Norfolk State University </t>
  </si>
  <si>
    <t>Radford University</t>
  </si>
  <si>
    <t xml:space="preserve">University of Mary Washington </t>
  </si>
  <si>
    <t xml:space="preserve">Virginia State University </t>
  </si>
  <si>
    <t>Christopher Newport University</t>
  </si>
  <si>
    <t xml:space="preserve">University of Virginia's College at Wise </t>
  </si>
  <si>
    <t>J.S. Reynolds Community College</t>
  </si>
  <si>
    <t>John Tyler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</si>
  <si>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</si>
  <si>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</si>
  <si>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</si>
  <si>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</si>
  <si>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</si>
  <si>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</si>
  <si>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</si>
  <si>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Lord Fairfax Community College</t>
  </si>
  <si>
    <t>Mountain Empire Community College</t>
  </si>
  <si>
    <t xml:space="preserve">New River Community College </t>
  </si>
  <si>
    <t xml:space="preserve">Patrick Henry Community College </t>
  </si>
  <si>
    <t xml:space="preserve">Piedmont Virginia Community College </t>
  </si>
  <si>
    <t>Southside Virginia Community College</t>
  </si>
  <si>
    <t xml:space="preserve">Southwest Virginia Community College </t>
  </si>
  <si>
    <t xml:space="preserve">Virginia Western Community College </t>
  </si>
  <si>
    <t xml:space="preserve">Wytheville Community College </t>
  </si>
  <si>
    <t xml:space="preserve">D.S. Lancaster Community College </t>
  </si>
  <si>
    <t>Eastern Shore Community College</t>
  </si>
  <si>
    <t>Paul D. Camp Community College</t>
  </si>
  <si>
    <t>Rappahannock Community College</t>
  </si>
  <si>
    <t xml:space="preserve">Richard Bland College </t>
  </si>
  <si>
    <t xml:space="preserve">Virginia Highlands Community College </t>
  </si>
  <si>
    <t>Met the criteria for Four-Year 1 in 2013-14 and 2014-15.</t>
  </si>
  <si>
    <t>Met the criteria for Four-Year 4 in 2014-15.</t>
  </si>
  <si>
    <t xml:space="preserve">Met the criteria for Two-Year 3 in 2013-14 and 2014-15. </t>
  </si>
  <si>
    <t>Met the criteria for Two-Year 1 in 2014-15.</t>
  </si>
  <si>
    <t>March 2016</t>
  </si>
  <si>
    <r>
      <t>Public Four-Year Institutions</t>
    </r>
    <r>
      <rPr>
        <b/>
        <vertAlign val="superscript"/>
        <sz val="12"/>
        <rFont val="Arial"/>
        <family val="2"/>
      </rPr>
      <t>1</t>
    </r>
    <r>
      <rPr>
        <b/>
        <sz val="12"/>
        <rFont val="Arial"/>
        <family val="2"/>
      </rPr>
      <t>, 2014</t>
    </r>
  </si>
  <si>
    <t>Public Four-Year 1 Institutions, 2014</t>
  </si>
  <si>
    <t>Public Four-Year 2 Institutions, 2014</t>
  </si>
  <si>
    <t>Public Four-Year 3 Institutions, 2014</t>
  </si>
  <si>
    <t>Public Four-Year 4 Institutions, 2014</t>
  </si>
  <si>
    <t>Public Four-Year 5 Institutions, 2014</t>
  </si>
  <si>
    <t>Public Four-Year 6 Institutions, 2014</t>
  </si>
  <si>
    <t>Public Two-Year, 2014</t>
  </si>
  <si>
    <t>Public Two-Year with Bachelor's Institutions, 2014</t>
  </si>
  <si>
    <t>Public Two-Year 1 Institutions, 2014</t>
  </si>
  <si>
    <t>Public Two-Year 2 Institutions, 2014</t>
  </si>
  <si>
    <t>Public Two-Year 3 Institutions, 2014</t>
  </si>
  <si>
    <t>Public Technical Institutes or Colleges, 2014</t>
  </si>
  <si>
    <t>Public Technical Institutes or Colleges 1, 2014</t>
  </si>
  <si>
    <t>Public Technical Institutes or Colleges 2, 2014</t>
  </si>
  <si>
    <t>Public Four-Year Institutions1, 2013</t>
  </si>
  <si>
    <t>Percent of Undergraduate Instructional Activity in Traditional Classroom Instruction by Type of Institution, 2014</t>
  </si>
  <si>
    <t>Percent of Undergraduate Instructional Activity in e-Learning by Type of Institution, 2014</t>
  </si>
  <si>
    <t>by Type of Institution, 2014</t>
  </si>
  <si>
    <r>
      <t xml:space="preserve">1 </t>
    </r>
    <r>
      <rPr>
        <sz val="8"/>
        <rFont val="Arial"/>
        <family val="2"/>
      </rPr>
      <t>The "all four-year" figures include the Marion Military Institute, University of Arkansas for Medical Sciences, Southern Polytechnic State University, University of Maryland University College, and University of Maryland - Baltimore.</t>
    </r>
  </si>
  <si>
    <r>
      <t>1</t>
    </r>
    <r>
      <rPr>
        <sz val="8"/>
        <rFont val="Arial"/>
        <family val="2"/>
      </rPr>
      <t xml:space="preserve"> The "all four-year" figures include the Marion Military Institute, University of Arkansas for Medical Sciences, Southern Polytechnic State University, University of Maryland University College, and University of Maryland - Baltimore.</t>
    </r>
  </si>
  <si>
    <r>
      <t>1</t>
    </r>
    <r>
      <rPr>
        <sz val="8"/>
        <rFont val="Arial"/>
        <family val="2"/>
      </rPr>
      <t>This "all four-year" table includes the Marion Military Institute, University of Arkansas for Medical Sciences, Southern Polytechnic State University, University of Maryland University College, and University of Maryland - Baltimore.</t>
    </r>
  </si>
  <si>
    <r>
      <t>2</t>
    </r>
    <r>
      <rPr>
        <sz val="8"/>
        <rFont val="Arial"/>
        <family val="2"/>
      </rPr>
      <t>Florida Community Colleges define e-learning when 75 percent of course content is delivered electronically so the figures reported here are likely lower than they would be if they employed a 50 percent rule.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</si>
</sst>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0_)"/>
    <numFmt numFmtId="165" formatCode="_(* #,##0_);_(* \(#,##0\);_(* &quot;-&quot;??_);_(@_)"/>
    <numFmt numFmtId="166" formatCode="0.0%"/>
    <numFmt numFmtId="167" formatCode="0.0"/>
    <numFmt numFmtId="168" formatCode="_(* #,##0.0_);_(* \(#,##0.0\);_(* &quot;-&quot;??_);_(@_)"/>
    <numFmt numFmtId="169" formatCode="0.000"/>
    <numFmt numFmtId="170" formatCode="#,##0.0"/>
    <numFmt numFmtId="171" formatCode="General_)"/>
    <numFmt numFmtId="172" formatCode="0.0000"/>
    <numFmt numFmtId="173" formatCode="0.00000"/>
  </numFmts>
  <fonts count="77">
    <font>
      <sz val="11"/>
      <color theme="1"/>
      <name val="Calibri"/>
      <family val="2"/>
      <scheme val="minor"/>
    </font>
    <font>
      <sz val="11"/>
      <color theme="1"/>
      <name val="Calibri"/>
      <family val="2"/>
      <scheme val="minor"/>
    </font>
    <font>
      <sz val="10"/>
      <name val="Arial"/>
      <family val="2"/>
    </font>
    <font>
      <b/>
      <sz val="10"/>
      <color indexed="10"/>
      <name val="Arial"/>
      <family val="2"/>
    </font>
    <font>
      <sz val="8"/>
      <name val="Arial"/>
      <family val="2"/>
    </font>
    <font>
      <b/>
      <sz val="10"/>
      <name val="Arial"/>
      <family val="2"/>
    </font>
    <font>
      <b/>
      <sz val="10"/>
      <color indexed="12"/>
      <name val="Arial"/>
      <family val="2"/>
    </font>
    <font>
      <sz val="12"/>
      <name val="AGaramond"/>
      <family val="1"/>
    </font>
    <font>
      <sz val="10"/>
      <color indexed="12"/>
      <name val="Arial"/>
      <family val="2"/>
    </font>
    <font>
      <sz val="12"/>
      <name val="AGaramond"/>
      <family val="3"/>
    </font>
    <font>
      <sz val="10"/>
      <color rgb="FFC00000"/>
      <name val="Arial"/>
      <family val="2"/>
    </font>
    <font>
      <b/>
      <sz val="11"/>
      <color indexed="81"/>
      <name val="Tahoma"/>
      <family val="2"/>
    </font>
    <font>
      <b/>
      <sz val="10"/>
      <color indexed="81"/>
      <name val="Tahoma"/>
      <family val="2"/>
    </font>
    <font>
      <sz val="10"/>
      <color indexed="81"/>
      <name val="Tahoma"/>
      <family val="2"/>
    </font>
    <font>
      <sz val="11"/>
      <name val="Calibri"/>
      <family val="2"/>
      <scheme val="minor"/>
    </font>
    <font>
      <b/>
      <sz val="14"/>
      <name val="Arial"/>
      <family val="2"/>
    </font>
    <font>
      <sz val="14"/>
      <name val="Arial"/>
      <family val="2"/>
    </font>
    <font>
      <b/>
      <sz val="12"/>
      <color indexed="8"/>
      <name val="Arial"/>
      <family val="2"/>
    </font>
    <font>
      <b/>
      <sz val="10"/>
      <color indexed="8"/>
      <name val="Arial"/>
      <family val="2"/>
    </font>
    <font>
      <vertAlign val="superscript"/>
      <sz val="10"/>
      <name val="Arial"/>
      <family val="2"/>
    </font>
    <font>
      <vertAlign val="superscript"/>
      <sz val="8"/>
      <name val="Arial"/>
      <family val="2"/>
    </font>
    <font>
      <b/>
      <sz val="12"/>
      <name val="Arial"/>
      <family val="2"/>
    </font>
    <font>
      <b/>
      <sz val="9"/>
      <name val="Arial"/>
      <family val="2"/>
    </font>
    <font>
      <sz val="9"/>
      <name val="Arial"/>
      <family val="2"/>
    </font>
    <font>
      <b/>
      <vertAlign val="superscript"/>
      <sz val="9"/>
      <name val="Arial"/>
      <family val="2"/>
    </font>
    <font>
      <b/>
      <sz val="9"/>
      <color rgb="FFC00000"/>
      <name val="Arial"/>
      <family val="2"/>
    </font>
    <font>
      <sz val="14"/>
      <color rgb="FFC00000"/>
      <name val="Arial"/>
      <family val="2"/>
    </font>
    <font>
      <b/>
      <sz val="10"/>
      <color rgb="FFC00000"/>
      <name val="Arial"/>
      <family val="2"/>
    </font>
    <font>
      <sz val="8"/>
      <color rgb="FFC00000"/>
      <name val="Arial"/>
      <family val="2"/>
    </font>
    <font>
      <sz val="11"/>
      <color rgb="FFC00000"/>
      <name val="Calibri"/>
      <family val="2"/>
      <scheme val="minor"/>
    </font>
    <font>
      <sz val="9"/>
      <color rgb="FFC00000"/>
      <name val="Arial"/>
      <family val="2"/>
    </font>
    <font>
      <sz val="10"/>
      <color rgb="FF0000FF"/>
      <name val="Arial"/>
      <family val="2"/>
    </font>
    <font>
      <b/>
      <sz val="11"/>
      <name val="Calibri"/>
      <family val="2"/>
      <scheme val="minor"/>
    </font>
    <font>
      <b/>
      <sz val="10"/>
      <color theme="0"/>
      <name val="Arial"/>
      <family val="2"/>
    </font>
    <font>
      <b/>
      <sz val="10"/>
      <color rgb="FF0000FF"/>
      <name val="Arial"/>
      <family val="2"/>
    </font>
    <font>
      <b/>
      <sz val="14"/>
      <color theme="0"/>
      <name val="Arial"/>
      <family val="2"/>
    </font>
    <font>
      <sz val="10"/>
      <color theme="1"/>
      <name val="Arial"/>
      <family val="2"/>
    </font>
    <font>
      <sz val="10"/>
      <color indexed="8"/>
      <name val="Arial"/>
      <family val="2"/>
    </font>
    <font>
      <sz val="11"/>
      <color indexed="8"/>
      <name val="Calibri"/>
      <family val="2"/>
    </font>
    <font>
      <sz val="10"/>
      <name val="Courier"/>
      <family val="3"/>
    </font>
    <font>
      <sz val="12"/>
      <name val="Arial"/>
      <family val="2"/>
    </font>
    <font>
      <sz val="12"/>
      <name val="AGaramond"/>
      <family val="1"/>
    </font>
    <font>
      <sz val="10"/>
      <name val="Helv"/>
    </font>
    <font>
      <sz val="12"/>
      <name val="AGaramond"/>
      <family val="1"/>
    </font>
    <font>
      <sz val="10"/>
      <color rgb="FF000000"/>
      <name val="Times New Roman"/>
      <family val="1"/>
    </font>
    <font>
      <sz val="10"/>
      <color rgb="FF000000"/>
      <name val="Times New Roman"/>
      <family val="1"/>
    </font>
    <font>
      <sz val="12"/>
      <name val="AGaramond"/>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rgb="FFFF0000"/>
      <name val="Arial"/>
      <family val="2"/>
    </font>
    <font>
      <strike/>
      <sz val="8"/>
      <color theme="5"/>
      <name val="Arial"/>
      <family val="2"/>
    </font>
    <font>
      <strike/>
      <sz val="10"/>
      <color theme="5"/>
      <name val="Arial"/>
      <family val="2"/>
    </font>
    <font>
      <strike/>
      <sz val="10"/>
      <color rgb="FFC00000"/>
      <name val="Arial"/>
      <family val="2"/>
    </font>
    <font>
      <sz val="9"/>
      <color indexed="81"/>
      <name val="Tahoma"/>
      <family val="2"/>
    </font>
    <font>
      <b/>
      <sz val="9"/>
      <color indexed="81"/>
      <name val="Tahoma"/>
      <family val="2"/>
    </font>
    <font>
      <b/>
      <vertAlign val="superscript"/>
      <sz val="12"/>
      <name val="Arial"/>
      <family val="2"/>
    </font>
    <font>
      <b/>
      <vertAlign val="superscript"/>
      <sz val="10"/>
      <name val="Arial"/>
      <family val="2"/>
    </font>
    <font>
      <b/>
      <sz val="8"/>
      <name val="Times New Roman"/>
      <family val="1"/>
    </font>
    <font>
      <b/>
      <sz val="8"/>
      <color rgb="FFC00000"/>
      <name val="Times New Roman"/>
      <family val="1"/>
    </font>
    <font>
      <b/>
      <sz val="8"/>
      <color indexed="81"/>
      <name val="Tahoma"/>
      <family val="2"/>
    </font>
    <font>
      <sz val="8"/>
      <color indexed="81"/>
      <name val="Tahoma"/>
      <family val="2"/>
    </font>
    <font>
      <b/>
      <sz val="8"/>
      <color rgb="FFFF0000"/>
      <name val="Times New Roman"/>
      <family val="1"/>
    </font>
    <font>
      <sz val="10"/>
      <color rgb="FF000000"/>
      <name val="Arial"/>
      <family val="2"/>
    </font>
  </fonts>
  <fills count="52">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00000"/>
        <bgColor indexed="64"/>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indexed="46"/>
        <bgColor indexed="64"/>
      </patternFill>
    </fill>
    <fill>
      <patternFill patternType="solid">
        <fgColor indexed="47"/>
        <bgColor indexed="42"/>
      </patternFill>
    </fill>
    <fill>
      <patternFill patternType="solid">
        <fgColor indexed="44"/>
        <bgColor indexed="64"/>
      </patternFill>
    </fill>
    <fill>
      <patternFill patternType="solid">
        <fgColor indexed="44"/>
        <bgColor indexed="42"/>
      </patternFill>
    </fill>
    <fill>
      <patternFill patternType="solid">
        <fgColor indexed="42"/>
        <bgColor indexed="64"/>
      </patternFill>
    </fill>
    <fill>
      <patternFill patternType="solid">
        <fgColor rgb="FFFF99CC"/>
        <bgColor indexed="64"/>
      </patternFill>
    </fill>
    <fill>
      <patternFill patternType="solid">
        <fgColor indexed="15"/>
        <bgColor indexed="64"/>
      </patternFill>
    </fill>
    <fill>
      <patternFill patternType="solid">
        <fgColor rgb="FF00FFFF"/>
        <bgColor indexed="64"/>
      </patternFill>
    </fill>
    <fill>
      <patternFill patternType="solid">
        <fgColor indexed="45"/>
        <bgColor indexed="42"/>
      </patternFill>
    </fill>
    <fill>
      <patternFill patternType="solid">
        <fgColor indexed="15"/>
        <bgColor indexed="42"/>
      </patternFill>
    </fill>
    <fill>
      <patternFill patternType="solid">
        <fgColor indexed="43"/>
        <bgColor indexed="42"/>
      </patternFill>
    </fill>
    <fill>
      <patternFill patternType="solid">
        <fgColor indexed="51"/>
        <bgColor indexed="64"/>
      </patternFill>
    </fill>
    <fill>
      <patternFill patternType="solid">
        <fgColor rgb="FFFFCC00"/>
        <bgColor indexed="64"/>
      </patternFill>
    </fill>
    <fill>
      <patternFill patternType="solid">
        <fgColor indexed="42"/>
        <bgColor indexed="42"/>
      </patternFill>
    </fill>
    <fill>
      <patternFill patternType="solid">
        <fgColor rgb="FFFFC000"/>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bottom/>
      <diagonal/>
    </border>
    <border>
      <left style="thin">
        <color indexed="65"/>
      </left>
      <right/>
      <top style="thin">
        <color indexed="8"/>
      </top>
      <bottom/>
      <diagonal/>
    </border>
    <border>
      <left style="thin">
        <color indexed="8"/>
      </left>
      <right/>
      <top style="thin">
        <color indexed="64"/>
      </top>
      <bottom/>
      <diagonal/>
    </border>
    <border>
      <left style="thin">
        <color indexed="65"/>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8"/>
      </left>
      <right/>
      <top style="thin">
        <color indexed="65"/>
      </top>
      <bottom/>
      <diagonal/>
    </border>
    <border>
      <left style="thin">
        <color indexed="64"/>
      </left>
      <right/>
      <top style="thin">
        <color indexed="8"/>
      </top>
      <bottom/>
      <diagonal/>
    </border>
    <border>
      <left style="thin">
        <color indexed="8"/>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diagonal/>
    </border>
    <border>
      <left style="double">
        <color indexed="64"/>
      </left>
      <right style="thin">
        <color indexed="64"/>
      </right>
      <top/>
      <bottom/>
      <diagonal/>
    </border>
    <border>
      <left style="medium">
        <color indexed="64"/>
      </left>
      <right style="medium">
        <color indexed="64"/>
      </right>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top style="thin">
        <color indexed="65"/>
      </top>
      <bottom style="thin">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right/>
      <top style="thin">
        <color indexed="65"/>
      </top>
      <bottom/>
      <diagonal/>
    </border>
    <border>
      <left style="thin">
        <color indexed="8"/>
      </left>
      <right style="thin">
        <color indexed="8"/>
      </right>
      <top style="thin">
        <color indexed="65"/>
      </top>
      <bottom style="thin">
        <color indexed="64"/>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style="thin">
        <color indexed="8"/>
      </right>
      <top/>
      <bottom style="thin">
        <color indexed="64"/>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5"/>
      </left>
      <right style="thin">
        <color indexed="64"/>
      </right>
      <top style="thin">
        <color indexed="8"/>
      </top>
      <bottom/>
      <diagonal/>
    </border>
    <border>
      <left style="thin">
        <color indexed="8"/>
      </left>
      <right/>
      <top/>
      <bottom style="double">
        <color indexed="8"/>
      </bottom>
      <diagonal/>
    </border>
    <border>
      <left/>
      <right/>
      <top/>
      <bottom style="double">
        <color indexed="8"/>
      </bottom>
      <diagonal/>
    </border>
    <border>
      <left style="thin">
        <color indexed="64"/>
      </left>
      <right/>
      <top/>
      <bottom style="double">
        <color indexed="8"/>
      </bottom>
      <diagonal/>
    </border>
    <border>
      <left style="thin">
        <color indexed="8"/>
      </left>
      <right/>
      <top/>
      <bottom style="medium">
        <color indexed="8"/>
      </bottom>
      <diagonal/>
    </border>
    <border>
      <left/>
      <right/>
      <top/>
      <bottom style="medium">
        <color indexed="8"/>
      </bottom>
      <diagonal/>
    </border>
    <border>
      <left style="thin">
        <color indexed="64"/>
      </left>
      <right/>
      <top/>
      <bottom style="medium">
        <color indexed="8"/>
      </bottom>
      <diagonal/>
    </border>
  </borders>
  <cellStyleXfs count="19685">
    <xf numFmtId="0" fontId="0" fillId="0" borderId="0"/>
    <xf numFmtId="9" fontId="1" fillId="0" borderId="0" applyFont="0" applyFill="0" applyBorder="0" applyAlignment="0" applyProtection="0"/>
    <xf numFmtId="0" fontId="2" fillId="0" borderId="0"/>
    <xf numFmtId="0" fontId="2" fillId="0" borderId="0"/>
    <xf numFmtId="0" fontId="2" fillId="0" borderId="0"/>
    <xf numFmtId="164" fontId="7" fillId="0" borderId="0"/>
    <xf numFmtId="43" fontId="2" fillId="0" borderId="0" applyFont="0" applyFill="0" applyBorder="0" applyAlignment="0" applyProtection="0"/>
    <xf numFmtId="43" fontId="9" fillId="0" borderId="0" applyFont="0" applyFill="0" applyBorder="0" applyAlignment="0" applyProtection="0"/>
    <xf numFmtId="164" fontId="7" fillId="0" borderId="0"/>
    <xf numFmtId="43" fontId="1" fillId="0" borderId="0" applyFont="0" applyFill="0" applyBorder="0" applyAlignment="0" applyProtection="0"/>
    <xf numFmtId="164" fontId="7" fillId="0" borderId="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0" fontId="2" fillId="0" borderId="0"/>
    <xf numFmtId="0" fontId="1" fillId="0" borderId="0"/>
    <xf numFmtId="0" fontId="1" fillId="0" borderId="0"/>
    <xf numFmtId="43" fontId="1" fillId="0" borderId="0" applyFont="0" applyFill="0" applyBorder="0" applyAlignment="0" applyProtection="0"/>
    <xf numFmtId="0" fontId="36" fillId="0" borderId="0"/>
    <xf numFmtId="9" fontId="36" fillId="0" borderId="0" applyFont="0" applyFill="0" applyBorder="0" applyAlignment="0" applyProtection="0"/>
    <xf numFmtId="9" fontId="7" fillId="0" borderId="0" applyFont="0" applyFill="0" applyBorder="0" applyAlignment="0" applyProtection="0"/>
    <xf numFmtId="164" fontId="7" fillId="0" borderId="0"/>
    <xf numFmtId="0" fontId="1" fillId="0" borderId="0"/>
    <xf numFmtId="0" fontId="36" fillId="0" borderId="0"/>
    <xf numFmtId="9" fontId="36" fillId="0" borderId="0" applyFont="0" applyFill="0" applyBorder="0" applyAlignment="0" applyProtection="0"/>
    <xf numFmtId="43" fontId="36" fillId="0" borderId="0" applyFont="0" applyFill="0" applyBorder="0" applyAlignment="0" applyProtection="0"/>
    <xf numFmtId="0" fontId="38" fillId="0" borderId="0"/>
    <xf numFmtId="0" fontId="38" fillId="0" borderId="0"/>
    <xf numFmtId="0" fontId="38" fillId="0" borderId="0"/>
    <xf numFmtId="0" fontId="38" fillId="0" borderId="0"/>
    <xf numFmtId="0" fontId="37" fillId="0" borderId="0"/>
    <xf numFmtId="0" fontId="37" fillId="0" borderId="0">
      <alignment vertical="top"/>
    </xf>
    <xf numFmtId="0" fontId="2" fillId="0" borderId="0"/>
    <xf numFmtId="0" fontId="2" fillId="0" borderId="0"/>
    <xf numFmtId="0" fontId="1" fillId="0" borderId="0"/>
    <xf numFmtId="0" fontId="2" fillId="0" borderId="0"/>
    <xf numFmtId="0" fontId="39" fillId="0" borderId="0">
      <alignment horizontal="left" wrapText="1"/>
    </xf>
    <xf numFmtId="0" fontId="36" fillId="0" borderId="0"/>
    <xf numFmtId="0" fontId="40"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164" fontId="41" fillId="0" borderId="0"/>
    <xf numFmtId="9" fontId="9" fillId="0" borderId="0" applyFont="0" applyFill="0" applyBorder="0" applyAlignment="0" applyProtection="0"/>
    <xf numFmtId="3" fontId="2" fillId="0" borderId="28" applyFont="0"/>
    <xf numFmtId="164" fontId="5" fillId="0" borderId="20" applyNumberFormat="0" applyFont="0" applyBorder="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1" fillId="0" borderId="0"/>
    <xf numFmtId="0" fontId="1" fillId="0" borderId="0"/>
    <xf numFmtId="9" fontId="36" fillId="0" borderId="0" applyFont="0" applyFill="0" applyBorder="0" applyAlignment="0" applyProtection="0"/>
    <xf numFmtId="0" fontId="1" fillId="0" borderId="0"/>
    <xf numFmtId="0" fontId="1" fillId="0" borderId="0"/>
    <xf numFmtId="164" fontId="9" fillId="0" borderId="0"/>
    <xf numFmtId="43" fontId="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3" fontId="4" fillId="0" borderId="0"/>
    <xf numFmtId="43" fontId="7" fillId="0" borderId="0" applyFont="0" applyFill="0" applyBorder="0" applyAlignment="0" applyProtection="0"/>
    <xf numFmtId="171" fontId="42" fillId="0" borderId="0"/>
    <xf numFmtId="171" fontId="42" fillId="0" borderId="0"/>
    <xf numFmtId="3" fontId="2" fillId="0" borderId="28"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36" fillId="0" borderId="0"/>
    <xf numFmtId="9" fontId="36" fillId="0" borderId="0" applyFont="0" applyFill="0" applyBorder="0" applyAlignment="0" applyProtection="0"/>
    <xf numFmtId="0" fontId="1" fillId="0" borderId="0"/>
    <xf numFmtId="0" fontId="1" fillId="0" borderId="0"/>
    <xf numFmtId="0" fontId="38" fillId="0" borderId="0"/>
    <xf numFmtId="0" fontId="38" fillId="0" borderId="0"/>
    <xf numFmtId="0" fontId="38" fillId="0" borderId="0"/>
    <xf numFmtId="0" fontId="37" fillId="0" borderId="0">
      <alignment vertical="top"/>
    </xf>
    <xf numFmtId="0" fontId="1" fillId="0" borderId="0"/>
    <xf numFmtId="43" fontId="1" fillId="0" borderId="0" applyFont="0" applyFill="0" applyBorder="0" applyAlignment="0" applyProtection="0"/>
    <xf numFmtId="0" fontId="1" fillId="0" borderId="0"/>
    <xf numFmtId="0" fontId="1" fillId="0" borderId="0"/>
    <xf numFmtId="0" fontId="36" fillId="0" borderId="0"/>
    <xf numFmtId="0" fontId="2" fillId="0" borderId="0"/>
    <xf numFmtId="0" fontId="1" fillId="0" borderId="0"/>
    <xf numFmtId="0" fontId="1" fillId="0" borderId="0"/>
    <xf numFmtId="164" fontId="41" fillId="0" borderId="0"/>
    <xf numFmtId="164" fontId="41" fillId="0" borderId="0"/>
    <xf numFmtId="164" fontId="41" fillId="0" borderId="0"/>
    <xf numFmtId="164" fontId="4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71" fontId="42" fillId="0" borderId="0"/>
    <xf numFmtId="0" fontId="1" fillId="0" borderId="0"/>
    <xf numFmtId="0" fontId="1" fillId="0" borderId="0"/>
    <xf numFmtId="0" fontId="1" fillId="0" borderId="0"/>
    <xf numFmtId="9" fontId="9"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64" fontId="41" fillId="0" borderId="0"/>
    <xf numFmtId="9" fontId="36" fillId="0" borderId="0" applyFont="0" applyFill="0" applyBorder="0" applyAlignment="0" applyProtection="0"/>
    <xf numFmtId="0" fontId="2" fillId="0" borderId="0"/>
    <xf numFmtId="164" fontId="43" fillId="0" borderId="0"/>
    <xf numFmtId="164" fontId="43" fillId="0" borderId="0"/>
    <xf numFmtId="164" fontId="43" fillId="0" borderId="0"/>
    <xf numFmtId="164" fontId="43" fillId="0" borderId="0"/>
    <xf numFmtId="0" fontId="1" fillId="0" borderId="0"/>
    <xf numFmtId="171" fontId="42" fillId="0" borderId="0"/>
    <xf numFmtId="164" fontId="43" fillId="0" borderId="0"/>
    <xf numFmtId="164" fontId="43" fillId="0" borderId="0"/>
    <xf numFmtId="164" fontId="43" fillId="0" borderId="0"/>
    <xf numFmtId="164" fontId="43" fillId="0" borderId="0"/>
    <xf numFmtId="164" fontId="43" fillId="0" borderId="0"/>
    <xf numFmtId="164" fontId="43"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164" fontId="43" fillId="0" borderId="0"/>
    <xf numFmtId="164" fontId="43" fillId="0" borderId="0"/>
    <xf numFmtId="164" fontId="43"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44" fillId="0" borderId="0"/>
    <xf numFmtId="0" fontId="45" fillId="0" borderId="0"/>
    <xf numFmtId="0" fontId="1" fillId="0" borderId="0"/>
    <xf numFmtId="0" fontId="44" fillId="0" borderId="0"/>
    <xf numFmtId="0" fontId="1" fillId="0" borderId="0"/>
    <xf numFmtId="164" fontId="43" fillId="0" borderId="0"/>
    <xf numFmtId="164" fontId="43"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71" fontId="42"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46"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64" fontId="7" fillId="0" borderId="0"/>
    <xf numFmtId="164" fontId="7" fillId="0" borderId="0"/>
    <xf numFmtId="164" fontId="7" fillId="0" borderId="0"/>
    <xf numFmtId="0" fontId="4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 fillId="0" borderId="0"/>
    <xf numFmtId="164" fontId="7" fillId="0" borderId="0"/>
    <xf numFmtId="164" fontId="7" fillId="0" borderId="0"/>
    <xf numFmtId="0" fontId="1" fillId="0" borderId="0"/>
    <xf numFmtId="0" fontId="1" fillId="0" borderId="0"/>
    <xf numFmtId="0" fontId="1" fillId="0" borderId="0"/>
    <xf numFmtId="0" fontId="1" fillId="0" borderId="0"/>
    <xf numFmtId="0" fontId="1" fillId="0" borderId="0"/>
    <xf numFmtId="164" fontId="7" fillId="0" borderId="0"/>
    <xf numFmtId="164" fontId="7" fillId="0" borderId="0"/>
    <xf numFmtId="164" fontId="7" fillId="0" borderId="0"/>
    <xf numFmtId="164" fontId="7" fillId="0" borderId="0"/>
    <xf numFmtId="164" fontId="7" fillId="0" borderId="0"/>
    <xf numFmtId="164"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 fillId="0" borderId="0"/>
    <xf numFmtId="164" fontId="7" fillId="0" borderId="0"/>
    <xf numFmtId="164" fontId="7" fillId="0" borderId="0"/>
    <xf numFmtId="0" fontId="1" fillId="0" borderId="0"/>
    <xf numFmtId="0" fontId="1" fillId="0" borderId="0"/>
    <xf numFmtId="0" fontId="1" fillId="0" borderId="0"/>
    <xf numFmtId="0" fontId="1" fillId="0" borderId="0"/>
    <xf numFmtId="0" fontId="1" fillId="0" borderId="0"/>
    <xf numFmtId="164" fontId="7" fillId="0" borderId="0"/>
    <xf numFmtId="164" fontId="7" fillId="0" borderId="0"/>
    <xf numFmtId="164" fontId="7" fillId="0" borderId="0"/>
    <xf numFmtId="164" fontId="7" fillId="0" borderId="0"/>
    <xf numFmtId="164" fontId="7" fillId="0" borderId="0"/>
    <xf numFmtId="164"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applyNumberFormat="0" applyFill="0" applyBorder="0" applyAlignment="0" applyProtection="0"/>
    <xf numFmtId="0" fontId="1" fillId="0" borderId="0"/>
    <xf numFmtId="0" fontId="52" fillId="1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53" fillId="0" borderId="48" applyNumberFormat="0" applyFill="0" applyAlignment="0" applyProtection="0"/>
    <xf numFmtId="0" fontId="48" fillId="15"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 fillId="0" borderId="0"/>
    <xf numFmtId="0" fontId="55" fillId="0" borderId="50" applyNumberFormat="0" applyFill="0" applyAlignment="0" applyProtection="0"/>
    <xf numFmtId="0" fontId="47" fillId="21" borderId="0" applyNumberFormat="0" applyBorder="0" applyAlignment="0" applyProtection="0"/>
    <xf numFmtId="0" fontId="60" fillId="0" borderId="0" applyNumberFormat="0" applyFill="0" applyBorder="0" applyAlignment="0" applyProtection="0"/>
    <xf numFmtId="0" fontId="1" fillId="0" borderId="0"/>
    <xf numFmtId="0" fontId="38" fillId="23" borderId="0" applyNumberFormat="0" applyBorder="0" applyAlignment="0" applyProtection="0"/>
    <xf numFmtId="9" fontId="2" fillId="0" borderId="0" applyFont="0" applyFill="0" applyBorder="0" applyAlignment="0" applyProtection="0"/>
    <xf numFmtId="0" fontId="47" fillId="26" borderId="0" applyNumberFormat="0" applyBorder="0" applyAlignment="0" applyProtection="0"/>
    <xf numFmtId="0" fontId="1" fillId="0" borderId="0"/>
    <xf numFmtId="0" fontId="1" fillId="0" borderId="0"/>
    <xf numFmtId="0" fontId="1" fillId="0" borderId="0"/>
    <xf numFmtId="0" fontId="1" fillId="0" borderId="0"/>
    <xf numFmtId="0" fontId="38" fillId="35" borderId="52" applyNumberFormat="0" applyFont="0" applyAlignment="0" applyProtection="0"/>
    <xf numFmtId="0" fontId="61" fillId="0" borderId="54" applyNumberFormat="0" applyFill="0" applyAlignment="0" applyProtection="0"/>
    <xf numFmtId="9" fontId="38" fillId="0" borderId="0" applyFont="0" applyFill="0" applyBorder="0" applyAlignment="0" applyProtection="0"/>
    <xf numFmtId="0" fontId="1" fillId="0" borderId="0"/>
    <xf numFmtId="0" fontId="56" fillId="19" borderId="46" applyNumberFormat="0" applyAlignment="0" applyProtection="0"/>
    <xf numFmtId="0" fontId="1" fillId="0" borderId="0"/>
    <xf numFmtId="0" fontId="2" fillId="35" borderId="52" applyNumberFormat="0" applyFont="0" applyAlignment="0" applyProtection="0"/>
    <xf numFmtId="0" fontId="59" fillId="32" borderId="53" applyNumberFormat="0" applyAlignment="0" applyProtection="0"/>
    <xf numFmtId="43" fontId="38" fillId="0" borderId="0" applyFont="0" applyFill="0" applyBorder="0" applyAlignment="0" applyProtection="0"/>
    <xf numFmtId="0" fontId="54" fillId="0" borderId="49" applyNumberFormat="0" applyFill="0" applyAlignment="0" applyProtection="0"/>
    <xf numFmtId="0" fontId="38" fillId="20" borderId="0" applyNumberFormat="0" applyBorder="0" applyAlignment="0" applyProtection="0"/>
    <xf numFmtId="164" fontId="7" fillId="0" borderId="0"/>
    <xf numFmtId="0" fontId="47" fillId="22" borderId="0" applyNumberFormat="0" applyBorder="0" applyAlignment="0" applyProtection="0"/>
    <xf numFmtId="0" fontId="38" fillId="14" borderId="0" applyNumberFormat="0" applyBorder="0" applyAlignment="0" applyProtection="0"/>
    <xf numFmtId="164" fontId="7" fillId="0" borderId="0"/>
    <xf numFmtId="0" fontId="1" fillId="0" borderId="0"/>
    <xf numFmtId="0" fontId="1" fillId="0" borderId="0"/>
    <xf numFmtId="0" fontId="49" fillId="32" borderId="46" applyNumberFormat="0" applyAlignment="0" applyProtection="0"/>
    <xf numFmtId="0" fontId="50" fillId="33" borderId="47" applyNumberFormat="0" applyAlignment="0" applyProtection="0"/>
    <xf numFmtId="0" fontId="57" fillId="0" borderId="51" applyNumberFormat="0" applyFill="0" applyAlignment="0" applyProtection="0"/>
    <xf numFmtId="0" fontId="49" fillId="32" borderId="46" applyNumberFormat="0" applyAlignment="0" applyProtection="0"/>
    <xf numFmtId="0" fontId="47" fillId="30" borderId="0" applyNumberFormat="0" applyBorder="0" applyAlignment="0" applyProtection="0"/>
    <xf numFmtId="0" fontId="38" fillId="35" borderId="52" applyNumberFormat="0" applyFont="0" applyAlignment="0" applyProtection="0"/>
    <xf numFmtId="164" fontId="7" fillId="0" borderId="0"/>
    <xf numFmtId="0" fontId="47" fillId="24" borderId="0" applyNumberFormat="0" applyBorder="0" applyAlignment="0" applyProtection="0"/>
    <xf numFmtId="0" fontId="1" fillId="0" borderId="0"/>
    <xf numFmtId="0" fontId="1" fillId="0" borderId="0"/>
    <xf numFmtId="171" fontId="42" fillId="0" borderId="0"/>
    <xf numFmtId="0" fontId="44" fillId="0" borderId="0"/>
    <xf numFmtId="0" fontId="38" fillId="20" borderId="0" applyNumberFormat="0" applyBorder="0" applyAlignment="0" applyProtection="0"/>
    <xf numFmtId="0" fontId="1" fillId="0" borderId="0"/>
    <xf numFmtId="171" fontId="42" fillId="0" borderId="0"/>
    <xf numFmtId="0" fontId="1" fillId="0" borderId="0"/>
    <xf numFmtId="0" fontId="1" fillId="0" borderId="0"/>
    <xf numFmtId="0" fontId="2" fillId="0" borderId="0"/>
    <xf numFmtId="0" fontId="58" fillId="34" borderId="0" applyNumberFormat="0" applyBorder="0" applyAlignment="0" applyProtection="0"/>
    <xf numFmtId="0" fontId="47" fillId="25" borderId="0" applyNumberFormat="0" applyBorder="0" applyAlignment="0" applyProtection="0"/>
    <xf numFmtId="0" fontId="2" fillId="35" borderId="52" applyNumberFormat="0" applyFont="0" applyAlignment="0" applyProtection="0"/>
    <xf numFmtId="0" fontId="47" fillId="27" borderId="0" applyNumberFormat="0" applyBorder="0" applyAlignment="0" applyProtection="0"/>
    <xf numFmtId="171" fontId="42" fillId="0" borderId="0"/>
    <xf numFmtId="0" fontId="38" fillId="22" borderId="0" applyNumberFormat="0" applyBorder="0" applyAlignment="0" applyProtection="0"/>
    <xf numFmtId="0" fontId="1" fillId="13" borderId="45" applyNumberFormat="0" applyFont="0" applyAlignment="0" applyProtection="0"/>
    <xf numFmtId="0" fontId="56" fillId="19" borderId="46" applyNumberFormat="0" applyAlignment="0" applyProtection="0"/>
    <xf numFmtId="0" fontId="38" fillId="18" borderId="0" applyNumberFormat="0" applyBorder="0" applyAlignment="0" applyProtection="0"/>
    <xf numFmtId="0" fontId="38" fillId="16" borderId="0" applyNumberFormat="0" applyBorder="0" applyAlignment="0" applyProtection="0"/>
    <xf numFmtId="0" fontId="55" fillId="0" borderId="0" applyNumberFormat="0" applyFill="0" applyBorder="0" applyAlignment="0" applyProtection="0"/>
    <xf numFmtId="164" fontId="7" fillId="0" borderId="0"/>
    <xf numFmtId="0" fontId="47" fillId="28" borderId="0" applyNumberFormat="0" applyBorder="0" applyAlignment="0" applyProtection="0"/>
    <xf numFmtId="0" fontId="62" fillId="0" borderId="0" applyNumberFormat="0" applyFill="0" applyBorder="0" applyAlignment="0" applyProtection="0"/>
    <xf numFmtId="0" fontId="61" fillId="0" borderId="54" applyNumberFormat="0" applyFill="0" applyAlignment="0" applyProtection="0"/>
    <xf numFmtId="0" fontId="38" fillId="17" borderId="0" applyNumberFormat="0" applyBorder="0" applyAlignment="0" applyProtection="0"/>
    <xf numFmtId="0" fontId="59" fillId="32" borderId="53" applyNumberFormat="0" applyAlignment="0" applyProtection="0"/>
    <xf numFmtId="0" fontId="1" fillId="0" borderId="0"/>
    <xf numFmtId="0" fontId="47" fillId="25" borderId="0" applyNumberFormat="0" applyBorder="0" applyAlignment="0" applyProtection="0"/>
    <xf numFmtId="0" fontId="38" fillId="15" borderId="0" applyNumberFormat="0" applyBorder="0" applyAlignment="0" applyProtection="0"/>
    <xf numFmtId="0" fontId="38" fillId="17" borderId="0" applyNumberFormat="0" applyBorder="0" applyAlignment="0" applyProtection="0"/>
    <xf numFmtId="0" fontId="38" fillId="19" borderId="0" applyNumberFormat="0" applyBorder="0" applyAlignment="0" applyProtection="0"/>
    <xf numFmtId="0" fontId="47" fillId="29" borderId="0" applyNumberFormat="0" applyBorder="0" applyAlignment="0" applyProtection="0"/>
    <xf numFmtId="0" fontId="38" fillId="0" borderId="0"/>
    <xf numFmtId="0" fontId="38" fillId="21" borderId="0" applyNumberFormat="0" applyBorder="0" applyAlignment="0" applyProtection="0"/>
    <xf numFmtId="0" fontId="47"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171"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45" applyNumberFormat="0" applyFont="0" applyAlignment="0" applyProtection="0"/>
    <xf numFmtId="164" fontId="46" fillId="0" borderId="0"/>
    <xf numFmtId="171" fontId="42" fillId="0" borderId="0"/>
    <xf numFmtId="3" fontId="4"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3" borderId="45"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4" fillId="0" borderId="0"/>
    <xf numFmtId="0" fontId="1" fillId="0" borderId="0"/>
    <xf numFmtId="0" fontId="1" fillId="0" borderId="0"/>
    <xf numFmtId="0" fontId="1" fillId="0" borderId="0"/>
    <xf numFmtId="0" fontId="1" fillId="0" borderId="0"/>
    <xf numFmtId="0" fontId="1" fillId="0" borderId="0"/>
    <xf numFmtId="0" fontId="1" fillId="0" borderId="0"/>
    <xf numFmtId="3" fontId="4" fillId="0" borderId="0"/>
    <xf numFmtId="171" fontId="42"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46" fillId="0" borderId="0"/>
    <xf numFmtId="171" fontId="42"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 fillId="0" borderId="0"/>
    <xf numFmtId="164" fontId="7"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45" applyNumberFormat="0" applyFont="0" applyAlignment="0" applyProtection="0"/>
    <xf numFmtId="164" fontId="4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3" borderId="45"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46" fillId="0" borderId="0"/>
    <xf numFmtId="164" fontId="46" fillId="0" borderId="0"/>
    <xf numFmtId="171" fontId="42" fillId="0" borderId="0"/>
    <xf numFmtId="171" fontId="42" fillId="0" borderId="0"/>
    <xf numFmtId="171" fontId="42" fillId="0" borderId="0"/>
    <xf numFmtId="164" fontId="46" fillId="0" borderId="0"/>
    <xf numFmtId="164" fontId="46" fillId="0" borderId="0"/>
    <xf numFmtId="164" fontId="46" fillId="0" borderId="0"/>
    <xf numFmtId="164"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46" fillId="0" borderId="0"/>
    <xf numFmtId="164" fontId="46" fillId="0" borderId="0"/>
    <xf numFmtId="164" fontId="46"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164" fontId="46"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13" borderId="45" applyNumberFormat="0" applyFon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3" borderId="45"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45" applyNumberFormat="0" applyFont="0" applyAlignment="0" applyProtection="0"/>
    <xf numFmtId="3" fontId="4"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4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3" borderId="45"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4" fillId="0" borderId="0"/>
    <xf numFmtId="164" fontId="46" fillId="0" borderId="0"/>
    <xf numFmtId="171" fontId="42" fillId="0" borderId="0"/>
    <xf numFmtId="164" fontId="46" fillId="0" borderId="0"/>
    <xf numFmtId="164" fontId="46"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9" fillId="0" borderId="0"/>
    <xf numFmtId="43" fontId="1" fillId="0" borderId="0" applyFont="0" applyFill="0" applyBorder="0" applyAlignment="0" applyProtection="0"/>
    <xf numFmtId="164"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4" fillId="0" borderId="0"/>
    <xf numFmtId="164"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6" fillId="0" borderId="0"/>
    <xf numFmtId="0" fontId="36" fillId="0" borderId="0"/>
    <xf numFmtId="164" fontId="9" fillId="0" borderId="0"/>
    <xf numFmtId="164" fontId="9" fillId="0" borderId="0"/>
    <xf numFmtId="3" fontId="4" fillId="0" borderId="0"/>
    <xf numFmtId="164" fontId="7" fillId="0" borderId="0"/>
    <xf numFmtId="164" fontId="9" fillId="0" borderId="0"/>
    <xf numFmtId="37"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94">
    <xf numFmtId="0" fontId="0" fillId="0" borderId="0" xfId="0"/>
    <xf numFmtId="0" fontId="2" fillId="0" borderId="0" xfId="2" applyFont="1"/>
    <xf numFmtId="3" fontId="6" fillId="2" borderId="3" xfId="3" applyNumberFormat="1" applyFont="1" applyFill="1" applyBorder="1" applyAlignment="1">
      <alignment horizontal="centerContinuous"/>
    </xf>
    <xf numFmtId="3" fontId="3" fillId="2" borderId="4" xfId="3" applyNumberFormat="1" applyFont="1" applyFill="1" applyBorder="1" applyAlignment="1">
      <alignment horizontal="centerContinuous"/>
    </xf>
    <xf numFmtId="0" fontId="6" fillId="0" borderId="9" xfId="3" applyFont="1" applyBorder="1" applyAlignment="1">
      <alignment horizontal="centerContinuous" wrapText="1"/>
    </xf>
    <xf numFmtId="0" fontId="6" fillId="0" borderId="4" xfId="3" applyFont="1" applyBorder="1" applyAlignment="1">
      <alignment horizontal="centerContinuous" wrapText="1"/>
    </xf>
    <xf numFmtId="49" fontId="2" fillId="4" borderId="0" xfId="3" applyNumberFormat="1" applyFont="1" applyFill="1" applyBorder="1" applyAlignment="1">
      <alignment horizontal="center"/>
    </xf>
    <xf numFmtId="49" fontId="2" fillId="4" borderId="0" xfId="3" applyNumberFormat="1" applyFont="1" applyFill="1" applyBorder="1" applyAlignment="1">
      <alignment horizontal="left"/>
    </xf>
    <xf numFmtId="0" fontId="2" fillId="4" borderId="0" xfId="3" applyFont="1" applyFill="1" applyBorder="1" applyAlignment="1">
      <alignment horizontal="center" wrapText="1"/>
    </xf>
    <xf numFmtId="0" fontId="2" fillId="0" borderId="0" xfId="2" applyFont="1" applyFill="1" applyBorder="1"/>
    <xf numFmtId="49" fontId="2" fillId="0" borderId="0" xfId="2" applyNumberFormat="1" applyFont="1" applyFill="1" applyBorder="1" applyAlignment="1">
      <alignment horizontal="center"/>
    </xf>
    <xf numFmtId="49" fontId="2" fillId="0" borderId="0" xfId="2" applyNumberFormat="1" applyFont="1" applyFill="1" applyBorder="1" applyAlignment="1">
      <alignment horizontal="left"/>
    </xf>
    <xf numFmtId="0" fontId="6" fillId="0" borderId="0" xfId="2" applyFont="1" applyFill="1" applyBorder="1"/>
    <xf numFmtId="0" fontId="8" fillId="0" borderId="0" xfId="2" applyFont="1" applyFill="1" applyBorder="1"/>
    <xf numFmtId="0" fontId="0" fillId="0" borderId="0" xfId="0" applyBorder="1"/>
    <xf numFmtId="0" fontId="0" fillId="0" borderId="0" xfId="0" applyFill="1"/>
    <xf numFmtId="37" fontId="15" fillId="0" borderId="0" xfId="0" applyNumberFormat="1" applyFont="1" applyFill="1" applyAlignment="1" applyProtection="1">
      <alignment horizontal="centerContinuous"/>
    </xf>
    <xf numFmtId="0" fontId="0" fillId="0" borderId="0" xfId="0" applyFill="1" applyAlignment="1">
      <alignment horizontal="centerContinuous"/>
    </xf>
    <xf numFmtId="37" fontId="5" fillId="0" borderId="0" xfId="0" applyNumberFormat="1" applyFont="1" applyFill="1" applyAlignment="1" applyProtection="1">
      <alignment horizontal="centerContinuous"/>
    </xf>
    <xf numFmtId="0" fontId="2" fillId="0" borderId="0" xfId="0" applyFont="1" applyFill="1" applyAlignment="1">
      <alignment horizontal="centerContinuous"/>
    </xf>
    <xf numFmtId="0" fontId="0" fillId="0" borderId="1" xfId="0" applyFill="1" applyBorder="1"/>
    <xf numFmtId="0" fontId="5" fillId="0" borderId="2" xfId="0" applyFont="1" applyFill="1" applyBorder="1" applyAlignment="1">
      <alignment horizontal="centerContinuous"/>
    </xf>
    <xf numFmtId="0" fontId="5" fillId="0" borderId="9" xfId="0" applyFont="1" applyFill="1" applyBorder="1" applyAlignment="1">
      <alignment horizontal="center"/>
    </xf>
    <xf numFmtId="0" fontId="5" fillId="0" borderId="3" xfId="0" applyFont="1" applyFill="1" applyBorder="1" applyAlignment="1">
      <alignment horizontal="center"/>
    </xf>
    <xf numFmtId="0" fontId="20" fillId="0" borderId="0" xfId="0" applyFont="1" applyFill="1" applyBorder="1"/>
    <xf numFmtId="0" fontId="4" fillId="0" borderId="0" xfId="0" applyFont="1" applyFill="1"/>
    <xf numFmtId="0" fontId="4" fillId="0" borderId="0" xfId="0" applyFont="1" applyFill="1" applyBorder="1"/>
    <xf numFmtId="49" fontId="4" fillId="0" borderId="0" xfId="0" quotePrefix="1" applyNumberFormat="1" applyFont="1" applyFill="1" applyAlignment="1">
      <alignment horizontal="right"/>
    </xf>
    <xf numFmtId="0" fontId="2" fillId="0" borderId="0" xfId="0" applyFont="1" applyFill="1"/>
    <xf numFmtId="0" fontId="5" fillId="0" borderId="4" xfId="0" applyFont="1" applyFill="1" applyBorder="1" applyAlignment="1">
      <alignment horizontal="centerContinuous"/>
    </xf>
    <xf numFmtId="0" fontId="20" fillId="0" borderId="0" xfId="0" applyFont="1" applyFill="1" applyBorder="1" applyAlignment="1">
      <alignment wrapText="1"/>
    </xf>
    <xf numFmtId="0" fontId="5" fillId="0" borderId="0" xfId="0" applyFont="1" applyFill="1"/>
    <xf numFmtId="0" fontId="5" fillId="0" borderId="0" xfId="0" applyFont="1" applyFill="1" applyAlignment="1">
      <alignment horizontal="center"/>
    </xf>
    <xf numFmtId="0" fontId="0" fillId="0" borderId="0" xfId="0" applyFill="1" applyAlignment="1">
      <alignment horizontal="center"/>
    </xf>
    <xf numFmtId="0" fontId="16" fillId="0" borderId="0" xfId="0" applyFont="1" applyFill="1" applyAlignment="1">
      <alignment horizontal="centerContinuous"/>
    </xf>
    <xf numFmtId="0" fontId="16" fillId="0" borderId="0" xfId="0" applyFont="1" applyFill="1" applyBorder="1" applyAlignment="1">
      <alignment horizontal="centerContinuous"/>
    </xf>
    <xf numFmtId="0" fontId="2" fillId="0" borderId="0" xfId="0" applyFont="1" applyFill="1" applyBorder="1" applyAlignment="1">
      <alignment horizontal="centerContinuous"/>
    </xf>
    <xf numFmtId="37" fontId="21" fillId="0" borderId="0" xfId="0" applyNumberFormat="1" applyFont="1" applyFill="1" applyAlignment="1" applyProtection="1">
      <alignment horizontal="centerContinuous"/>
    </xf>
    <xf numFmtId="165" fontId="2" fillId="0" borderId="0" xfId="6" applyNumberFormat="1" applyFont="1" applyFill="1" applyBorder="1" applyAlignment="1">
      <alignment horizontal="left"/>
    </xf>
    <xf numFmtId="0" fontId="2" fillId="0" borderId="1" xfId="0" applyFont="1" applyFill="1" applyBorder="1"/>
    <xf numFmtId="3" fontId="2" fillId="0" borderId="1" xfId="0" applyNumberFormat="1" applyFont="1" applyFill="1" applyBorder="1"/>
    <xf numFmtId="0" fontId="2" fillId="0" borderId="1" xfId="0" applyFont="1" applyFill="1" applyBorder="1" applyAlignment="1">
      <alignment horizontal="left"/>
    </xf>
    <xf numFmtId="3" fontId="2" fillId="0" borderId="0" xfId="0" applyNumberFormat="1" applyFont="1" applyFill="1" applyBorder="1"/>
    <xf numFmtId="37" fontId="22" fillId="0" borderId="0" xfId="0" applyNumberFormat="1" applyFont="1" applyFill="1" applyBorder="1" applyProtection="1"/>
    <xf numFmtId="0" fontId="22" fillId="0" borderId="2" xfId="0" applyFont="1" applyFill="1" applyBorder="1" applyAlignment="1">
      <alignment horizontal="centerContinuous"/>
    </xf>
    <xf numFmtId="0" fontId="22" fillId="0" borderId="0" xfId="0" applyFont="1" applyFill="1" applyBorder="1" applyAlignment="1">
      <alignment horizontal="centerContinuous"/>
    </xf>
    <xf numFmtId="165" fontId="23" fillId="0" borderId="0" xfId="6" applyNumberFormat="1" applyFont="1" applyFill="1" applyBorder="1" applyAlignment="1">
      <alignment horizontal="left"/>
    </xf>
    <xf numFmtId="165" fontId="22" fillId="0" borderId="0" xfId="6" applyNumberFormat="1" applyFont="1" applyFill="1" applyBorder="1" applyAlignment="1">
      <alignment horizontal="centerContinuous"/>
    </xf>
    <xf numFmtId="0" fontId="22" fillId="0" borderId="0" xfId="0" applyFont="1" applyFill="1"/>
    <xf numFmtId="0" fontId="22" fillId="0" borderId="19" xfId="0" applyFont="1" applyFill="1" applyBorder="1" applyAlignment="1">
      <alignment horizontal="centerContinuous"/>
    </xf>
    <xf numFmtId="0" fontId="22" fillId="0" borderId="2" xfId="0" applyFont="1" applyFill="1" applyBorder="1" applyAlignment="1">
      <alignment horizontal="center" wrapText="1"/>
    </xf>
    <xf numFmtId="0" fontId="22" fillId="0" borderId="4" xfId="0" applyFont="1" applyFill="1" applyBorder="1" applyAlignment="1">
      <alignment horizontal="center" wrapText="1"/>
    </xf>
    <xf numFmtId="0" fontId="22" fillId="0" borderId="9" xfId="0" applyFont="1" applyFill="1" applyBorder="1" applyAlignment="1">
      <alignment horizontal="center" wrapText="1"/>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0" fontId="22" fillId="0" borderId="7" xfId="0" applyFont="1" applyFill="1" applyBorder="1" applyAlignment="1">
      <alignment horizontal="center" wrapText="1"/>
    </xf>
    <xf numFmtId="3" fontId="25" fillId="0" borderId="0" xfId="0" applyNumberFormat="1" applyFont="1" applyFill="1"/>
    <xf numFmtId="0" fontId="25" fillId="0" borderId="0" xfId="0" applyFont="1" applyFill="1"/>
    <xf numFmtId="0" fontId="2" fillId="0" borderId="18" xfId="0" applyFont="1" applyFill="1" applyBorder="1" applyAlignment="1">
      <alignment horizontal="left"/>
    </xf>
    <xf numFmtId="167" fontId="2" fillId="0" borderId="0" xfId="1" applyNumberFormat="1" applyFont="1" applyFill="1" applyBorder="1" applyAlignment="1">
      <alignment horizontal="right"/>
    </xf>
    <xf numFmtId="167" fontId="2" fillId="0" borderId="6" xfId="1" applyNumberFormat="1" applyFont="1" applyFill="1" applyBorder="1" applyAlignment="1">
      <alignment horizontal="right"/>
    </xf>
    <xf numFmtId="169" fontId="2" fillId="0" borderId="0" xfId="1" applyNumberFormat="1" applyFont="1" applyFill="1" applyBorder="1" applyAlignment="1">
      <alignment horizontal="right"/>
    </xf>
    <xf numFmtId="0" fontId="2" fillId="0" borderId="18" xfId="0" applyFont="1" applyFill="1" applyBorder="1"/>
    <xf numFmtId="167" fontId="2" fillId="0" borderId="0" xfId="0" applyNumberFormat="1" applyFont="1" applyFill="1"/>
    <xf numFmtId="1" fontId="2" fillId="0" borderId="0" xfId="0" applyNumberFormat="1" applyFont="1" applyFill="1"/>
    <xf numFmtId="0" fontId="2" fillId="0" borderId="0" xfId="0" applyFont="1" applyFill="1" applyBorder="1"/>
    <xf numFmtId="167" fontId="2" fillId="0" borderId="11" xfId="1" applyNumberFormat="1" applyFont="1" applyFill="1" applyBorder="1" applyAlignment="1">
      <alignment horizontal="right"/>
    </xf>
    <xf numFmtId="2" fontId="2" fillId="0" borderId="0" xfId="1" applyNumberFormat="1" applyFont="1" applyFill="1" applyBorder="1" applyAlignment="1">
      <alignment horizontal="right"/>
    </xf>
    <xf numFmtId="2" fontId="2" fillId="0" borderId="11" xfId="1" applyNumberFormat="1" applyFont="1" applyFill="1" applyBorder="1" applyAlignment="1">
      <alignment horizontal="right"/>
    </xf>
    <xf numFmtId="168" fontId="4" fillId="0" borderId="0" xfId="6" applyNumberFormat="1" applyFont="1" applyFill="1" applyBorder="1" applyAlignment="1">
      <alignment horizontal="right"/>
    </xf>
    <xf numFmtId="168" fontId="4" fillId="0" borderId="0" xfId="6" applyNumberFormat="1" applyFont="1" applyFill="1" applyBorder="1" applyAlignment="1">
      <alignment horizontal="right" indent="1"/>
    </xf>
    <xf numFmtId="167" fontId="4" fillId="0" borderId="0" xfId="0" applyNumberFormat="1" applyFont="1" applyFill="1"/>
    <xf numFmtId="0" fontId="0" fillId="0" borderId="0" xfId="0" applyFill="1" applyAlignment="1"/>
    <xf numFmtId="3" fontId="22" fillId="0" borderId="0" xfId="0" applyNumberFormat="1" applyFont="1" applyFill="1"/>
    <xf numFmtId="3" fontId="2" fillId="0" borderId="0" xfId="0" applyNumberFormat="1" applyFont="1" applyFill="1"/>
    <xf numFmtId="0" fontId="20" fillId="0" borderId="0" xfId="0" applyFont="1" applyFill="1"/>
    <xf numFmtId="168" fontId="4" fillId="0" borderId="0" xfId="0" applyNumberFormat="1" applyFont="1" applyFill="1"/>
    <xf numFmtId="0" fontId="4" fillId="0" borderId="0" xfId="0" applyFont="1" applyFill="1" applyAlignment="1">
      <alignment horizontal="centerContinuous"/>
    </xf>
    <xf numFmtId="0" fontId="20" fillId="0" borderId="0" xfId="0" applyFont="1" applyFill="1" applyBorder="1" applyAlignment="1">
      <alignment vertical="top" wrapText="1"/>
    </xf>
    <xf numFmtId="0" fontId="0" fillId="0" borderId="0" xfId="0" applyBorder="1" applyAlignment="1">
      <alignment vertical="top" wrapText="1"/>
    </xf>
    <xf numFmtId="0" fontId="2" fillId="0" borderId="0" xfId="0" applyFont="1" applyFill="1" applyBorder="1" applyAlignment="1">
      <alignment horizontal="left"/>
    </xf>
    <xf numFmtId="167" fontId="2" fillId="0" borderId="0" xfId="6" applyNumberFormat="1" applyFont="1" applyFill="1" applyBorder="1" applyAlignment="1"/>
    <xf numFmtId="167" fontId="2" fillId="0" borderId="0" xfId="1" quotePrefix="1" applyNumberFormat="1" applyFont="1" applyFill="1" applyBorder="1" applyAlignment="1">
      <alignment horizontal="right"/>
    </xf>
    <xf numFmtId="167" fontId="2" fillId="0" borderId="0" xfId="6" applyNumberFormat="1" applyFont="1" applyFill="1" applyBorder="1" applyAlignment="1">
      <alignment horizontal="right"/>
    </xf>
    <xf numFmtId="167" fontId="2" fillId="0" borderId="0" xfId="6" applyNumberFormat="1" applyFont="1" applyFill="1" applyBorder="1" applyAlignment="1">
      <alignment horizontal="right" indent="1"/>
    </xf>
    <xf numFmtId="0" fontId="4" fillId="0" borderId="0" xfId="0" applyFont="1" applyFill="1" applyBorder="1" applyAlignment="1">
      <alignment horizontal="left"/>
    </xf>
    <xf numFmtId="167" fontId="2" fillId="0" borderId="0" xfId="1" quotePrefix="1" applyNumberFormat="1" applyFont="1" applyFill="1" applyBorder="1" applyAlignment="1">
      <alignment horizontal="left"/>
    </xf>
    <xf numFmtId="167" fontId="2" fillId="0" borderId="0" xfId="0" applyNumberFormat="1" applyFont="1" applyFill="1" applyBorder="1"/>
    <xf numFmtId="0" fontId="2" fillId="0" borderId="0" xfId="0" applyFont="1" applyFill="1" applyAlignment="1">
      <alignment horizontal="left"/>
    </xf>
    <xf numFmtId="165" fontId="26" fillId="0" borderId="0" xfId="6" applyNumberFormat="1" applyFont="1" applyFill="1" applyBorder="1" applyAlignment="1">
      <alignment horizontal="left"/>
    </xf>
    <xf numFmtId="165" fontId="26" fillId="0" borderId="0" xfId="6" applyNumberFormat="1" applyFont="1" applyFill="1" applyBorder="1" applyAlignment="1">
      <alignment horizontal="centerContinuous"/>
    </xf>
    <xf numFmtId="0" fontId="10" fillId="0" borderId="0" xfId="0" applyFont="1" applyFill="1"/>
    <xf numFmtId="165" fontId="10" fillId="0" borderId="0" xfId="6" applyNumberFormat="1" applyFont="1" applyFill="1" applyBorder="1" applyAlignment="1">
      <alignment horizontal="left"/>
    </xf>
    <xf numFmtId="165" fontId="10" fillId="0" borderId="0" xfId="6" applyNumberFormat="1" applyFont="1" applyFill="1" applyBorder="1" applyAlignment="1">
      <alignment horizontal="centerContinuous"/>
    </xf>
    <xf numFmtId="165" fontId="10" fillId="0" borderId="0" xfId="6" applyNumberFormat="1" applyFont="1" applyFill="1" applyBorder="1"/>
    <xf numFmtId="165" fontId="30" fillId="0" borderId="0" xfId="6" applyNumberFormat="1" applyFont="1" applyFill="1" applyBorder="1" applyAlignment="1">
      <alignment horizontal="left"/>
    </xf>
    <xf numFmtId="165" fontId="25" fillId="0" borderId="0" xfId="6" applyNumberFormat="1" applyFont="1" applyFill="1" applyBorder="1" applyAlignment="1">
      <alignment horizontal="centerContinuous"/>
    </xf>
    <xf numFmtId="168" fontId="10" fillId="0" borderId="0" xfId="6" applyNumberFormat="1" applyFont="1" applyFill="1" applyBorder="1" applyAlignment="1">
      <alignment horizontal="right"/>
    </xf>
    <xf numFmtId="167" fontId="10" fillId="0" borderId="0" xfId="0" applyNumberFormat="1" applyFont="1" applyFill="1"/>
    <xf numFmtId="1" fontId="10" fillId="0" borderId="0" xfId="0" applyNumberFormat="1" applyFont="1" applyFill="1"/>
    <xf numFmtId="0" fontId="10" fillId="0" borderId="0" xfId="0" applyFont="1" applyFill="1" applyBorder="1"/>
    <xf numFmtId="168" fontId="28" fillId="0" borderId="0" xfId="6" applyNumberFormat="1" applyFont="1" applyFill="1" applyBorder="1" applyAlignment="1">
      <alignment horizontal="right"/>
    </xf>
    <xf numFmtId="167" fontId="28" fillId="0" borderId="0" xfId="0" applyNumberFormat="1" applyFont="1" applyFill="1"/>
    <xf numFmtId="0" fontId="28" fillId="0" borderId="0" xfId="0" applyFont="1" applyFill="1"/>
    <xf numFmtId="3" fontId="10" fillId="0" borderId="0" xfId="0" applyNumberFormat="1" applyFont="1" applyFill="1"/>
    <xf numFmtId="0" fontId="28" fillId="0" borderId="0" xfId="0" applyFont="1" applyFill="1" applyBorder="1"/>
    <xf numFmtId="165" fontId="28" fillId="0" borderId="0" xfId="6" applyNumberFormat="1" applyFont="1" applyFill="1" applyBorder="1"/>
    <xf numFmtId="167" fontId="10" fillId="0" borderId="0" xfId="0" applyNumberFormat="1" applyFont="1" applyFill="1" applyBorder="1"/>
    <xf numFmtId="165" fontId="28" fillId="0" borderId="0" xfId="6" applyNumberFormat="1" applyFont="1" applyFill="1" applyBorder="1" applyAlignment="1">
      <alignment horizontal="left"/>
    </xf>
    <xf numFmtId="167" fontId="31" fillId="0" borderId="10" xfId="6" applyNumberFormat="1" applyFont="1" applyFill="1" applyBorder="1" applyAlignment="1">
      <alignment horizontal="right"/>
    </xf>
    <xf numFmtId="0" fontId="14" fillId="0" borderId="0" xfId="0" applyFont="1" applyFill="1" applyAlignment="1"/>
    <xf numFmtId="0" fontId="14" fillId="0" borderId="0" xfId="0" applyFont="1" applyBorder="1" applyAlignment="1">
      <alignment vertical="top" wrapText="1"/>
    </xf>
    <xf numFmtId="0" fontId="14" fillId="0" borderId="0" xfId="0" applyFont="1" applyFill="1" applyBorder="1" applyAlignment="1">
      <alignment vertical="top" wrapText="1"/>
    </xf>
    <xf numFmtId="49" fontId="15" fillId="0" borderId="0" xfId="0" applyNumberFormat="1" applyFont="1" applyFill="1" applyAlignment="1" applyProtection="1">
      <alignment horizontal="centerContinuous"/>
      <protection locked="0"/>
    </xf>
    <xf numFmtId="0" fontId="0" fillId="0" borderId="1" xfId="0" applyFill="1" applyBorder="1" applyAlignment="1">
      <alignment horizontal="centerContinuous"/>
    </xf>
    <xf numFmtId="167" fontId="2" fillId="0" borderId="12" xfId="0" applyNumberFormat="1" applyFont="1" applyFill="1" applyBorder="1" applyAlignment="1">
      <alignment horizontal="center"/>
    </xf>
    <xf numFmtId="167" fontId="2" fillId="0" borderId="10" xfId="0" applyNumberFormat="1" applyFont="1" applyFill="1" applyBorder="1" applyAlignment="1">
      <alignment horizontal="center"/>
    </xf>
    <xf numFmtId="167" fontId="2" fillId="0" borderId="13" xfId="0" applyNumberFormat="1" applyFont="1" applyFill="1" applyBorder="1" applyAlignment="1">
      <alignment horizontal="center"/>
    </xf>
    <xf numFmtId="167" fontId="2" fillId="0" borderId="19" xfId="0" applyNumberFormat="1" applyFont="1" applyFill="1" applyBorder="1" applyAlignment="1">
      <alignment horizontal="center"/>
    </xf>
    <xf numFmtId="167" fontId="2" fillId="0" borderId="5" xfId="0" applyNumberFormat="1" applyFont="1" applyFill="1" applyBorder="1" applyAlignment="1">
      <alignment horizontal="center"/>
    </xf>
    <xf numFmtId="167" fontId="2" fillId="0" borderId="7" xfId="0" applyNumberFormat="1" applyFont="1" applyFill="1" applyBorder="1" applyAlignment="1">
      <alignment horizontal="center"/>
    </xf>
    <xf numFmtId="0" fontId="2" fillId="0" borderId="5" xfId="0" applyFont="1" applyFill="1" applyBorder="1"/>
    <xf numFmtId="167" fontId="2" fillId="0" borderId="0" xfId="0" applyNumberFormat="1" applyFont="1" applyFill="1" applyAlignment="1">
      <alignment horizontal="center"/>
    </xf>
    <xf numFmtId="0" fontId="0" fillId="0" borderId="0" xfId="0" applyFill="1" applyBorder="1"/>
    <xf numFmtId="0" fontId="0" fillId="5" borderId="5" xfId="0" applyFill="1" applyBorder="1"/>
    <xf numFmtId="0" fontId="0" fillId="5" borderId="0" xfId="0" applyFill="1" applyBorder="1"/>
    <xf numFmtId="0" fontId="0" fillId="5" borderId="0" xfId="0" applyFill="1"/>
    <xf numFmtId="0" fontId="0" fillId="3" borderId="5" xfId="0" applyFill="1" applyBorder="1"/>
    <xf numFmtId="0" fontId="0" fillId="3" borderId="0" xfId="0" applyFill="1" applyBorder="1"/>
    <xf numFmtId="0" fontId="0" fillId="3" borderId="0" xfId="0" applyFill="1"/>
    <xf numFmtId="0" fontId="0" fillId="6" borderId="5" xfId="0" applyFill="1" applyBorder="1"/>
    <xf numFmtId="0" fontId="0" fillId="6" borderId="0" xfId="0" applyFill="1" applyBorder="1"/>
    <xf numFmtId="0" fontId="0" fillId="5" borderId="7" xfId="0" applyFill="1" applyBorder="1" applyAlignment="1">
      <alignment horizontal="centerContinuous"/>
    </xf>
    <xf numFmtId="0" fontId="0" fillId="5" borderId="8" xfId="0" applyFill="1" applyBorder="1" applyAlignment="1">
      <alignment horizontal="centerContinuous"/>
    </xf>
    <xf numFmtId="0" fontId="0" fillId="5" borderId="1" xfId="0" applyFill="1" applyBorder="1" applyAlignment="1">
      <alignment horizontal="centerContinuous"/>
    </xf>
    <xf numFmtId="0" fontId="0" fillId="3" borderId="7" xfId="0" applyFill="1" applyBorder="1" applyAlignment="1">
      <alignment horizontal="centerContinuous"/>
    </xf>
    <xf numFmtId="0" fontId="0" fillId="3" borderId="1" xfId="0" applyFill="1" applyBorder="1" applyAlignment="1">
      <alignment horizontal="centerContinuous"/>
    </xf>
    <xf numFmtId="0" fontId="0" fillId="6" borderId="7" xfId="0" applyFill="1" applyBorder="1" applyAlignment="1">
      <alignment horizontal="centerContinuous"/>
    </xf>
    <xf numFmtId="0" fontId="0" fillId="6" borderId="1" xfId="0" applyFill="1" applyBorder="1" applyAlignment="1">
      <alignment horizontal="centerContinuous"/>
    </xf>
    <xf numFmtId="165" fontId="0" fillId="0" borderId="5" xfId="6" applyNumberFormat="1" applyFont="1" applyBorder="1"/>
    <xf numFmtId="165" fontId="0" fillId="0" borderId="0" xfId="6" applyNumberFormat="1" applyFont="1"/>
    <xf numFmtId="165" fontId="0" fillId="5" borderId="0" xfId="6" applyNumberFormat="1" applyFont="1" applyFill="1" applyBorder="1"/>
    <xf numFmtId="165" fontId="0" fillId="0" borderId="0" xfId="6" applyNumberFormat="1" applyFont="1" applyBorder="1"/>
    <xf numFmtId="165" fontId="0" fillId="3" borderId="0" xfId="6" applyNumberFormat="1" applyFont="1" applyFill="1" applyBorder="1"/>
    <xf numFmtId="165" fontId="0" fillId="6" borderId="5" xfId="6" applyNumberFormat="1" applyFont="1" applyFill="1" applyBorder="1"/>
    <xf numFmtId="165" fontId="0" fillId="6" borderId="0" xfId="6" applyNumberFormat="1" applyFont="1" applyFill="1" applyBorder="1"/>
    <xf numFmtId="0" fontId="14" fillId="0" borderId="0" xfId="0" applyFont="1" applyFill="1" applyAlignment="1">
      <alignment horizontal="centerContinuous"/>
    </xf>
    <xf numFmtId="0" fontId="14" fillId="0" borderId="1" xfId="0" applyFont="1" applyFill="1" applyBorder="1"/>
    <xf numFmtId="0" fontId="14" fillId="0" borderId="0" xfId="0" applyFont="1" applyFill="1"/>
    <xf numFmtId="0" fontId="14" fillId="0" borderId="0" xfId="0" applyFont="1" applyFill="1" applyAlignment="1">
      <alignment wrapText="1"/>
    </xf>
    <xf numFmtId="0" fontId="14" fillId="0" borderId="0" xfId="0" applyFont="1" applyFill="1" applyAlignment="1">
      <alignment horizontal="center"/>
    </xf>
    <xf numFmtId="167" fontId="14" fillId="0" borderId="0" xfId="0" applyNumberFormat="1" applyFont="1" applyFill="1"/>
    <xf numFmtId="167" fontId="14" fillId="0" borderId="0" xfId="0" applyNumberFormat="1" applyFont="1" applyFill="1" applyBorder="1" applyAlignment="1">
      <alignment horizontal="right"/>
    </xf>
    <xf numFmtId="0" fontId="5" fillId="0" borderId="0" xfId="0" applyFont="1" applyFill="1" applyBorder="1"/>
    <xf numFmtId="0" fontId="5" fillId="0" borderId="0" xfId="0" applyFont="1" applyFill="1" applyBorder="1" applyAlignment="1">
      <alignment horizontal="center"/>
    </xf>
    <xf numFmtId="167" fontId="2" fillId="0" borderId="0" xfId="0" applyNumberFormat="1" applyFont="1" applyFill="1" applyBorder="1" applyAlignment="1">
      <alignment horizontal="right"/>
    </xf>
    <xf numFmtId="0" fontId="14" fillId="0" borderId="0" xfId="0" applyFont="1" applyFill="1" applyBorder="1"/>
    <xf numFmtId="2" fontId="2" fillId="0" borderId="0" xfId="0" applyNumberFormat="1" applyFont="1" applyFill="1" applyBorder="1" applyAlignment="1">
      <alignment horizontal="right"/>
    </xf>
    <xf numFmtId="0" fontId="14" fillId="0" borderId="15" xfId="0" applyFont="1" applyFill="1" applyBorder="1"/>
    <xf numFmtId="9" fontId="14" fillId="0" borderId="15" xfId="0" applyNumberFormat="1" applyFont="1" applyFill="1" applyBorder="1"/>
    <xf numFmtId="0" fontId="14" fillId="0" borderId="16" xfId="0" applyFont="1" applyFill="1" applyBorder="1"/>
    <xf numFmtId="0" fontId="14" fillId="0" borderId="17" xfId="0" applyFont="1" applyFill="1" applyBorder="1"/>
    <xf numFmtId="0" fontId="14" fillId="0" borderId="18" xfId="0" applyFont="1" applyFill="1" applyBorder="1"/>
    <xf numFmtId="0" fontId="14" fillId="0" borderId="19" xfId="0" applyFont="1" applyFill="1" applyBorder="1"/>
    <xf numFmtId="0" fontId="14" fillId="0" borderId="20" xfId="0" applyFont="1" applyFill="1" applyBorder="1"/>
    <xf numFmtId="166" fontId="14" fillId="0" borderId="21" xfId="0" applyNumberFormat="1" applyFont="1" applyFill="1" applyBorder="1"/>
    <xf numFmtId="0" fontId="32" fillId="0" borderId="20" xfId="0" applyFont="1" applyFill="1" applyBorder="1"/>
    <xf numFmtId="0" fontId="14" fillId="0" borderId="14" xfId="0" applyFont="1" applyFill="1" applyBorder="1"/>
    <xf numFmtId="166" fontId="14" fillId="0" borderId="14" xfId="0" applyNumberFormat="1" applyFont="1" applyFill="1" applyBorder="1"/>
    <xf numFmtId="166" fontId="14" fillId="0" borderId="0" xfId="0" applyNumberFormat="1" applyFont="1" applyFill="1" applyBorder="1"/>
    <xf numFmtId="166" fontId="14" fillId="0" borderId="5" xfId="0" applyNumberFormat="1" applyFont="1" applyFill="1" applyBorder="1"/>
    <xf numFmtId="168" fontId="14" fillId="0" borderId="0" xfId="9" applyNumberFormat="1" applyFont="1" applyFill="1"/>
    <xf numFmtId="0" fontId="32" fillId="0" borderId="22" xfId="0" applyFont="1" applyFill="1" applyBorder="1"/>
    <xf numFmtId="168" fontId="14" fillId="0" borderId="0" xfId="6" applyNumberFormat="1" applyFont="1" applyFill="1"/>
    <xf numFmtId="0" fontId="22" fillId="0" borderId="9" xfId="0" applyFont="1" applyFill="1" applyBorder="1" applyAlignment="1">
      <alignment horizontal="center"/>
    </xf>
    <xf numFmtId="49" fontId="33" fillId="7" borderId="23" xfId="10" applyNumberFormat="1" applyFont="1" applyFill="1" applyBorder="1" applyAlignment="1" applyProtection="1">
      <alignment horizontal="center"/>
      <protection locked="0"/>
    </xf>
    <xf numFmtId="49" fontId="33" fillId="7" borderId="24" xfId="10" applyNumberFormat="1" applyFont="1" applyFill="1" applyBorder="1" applyAlignment="1" applyProtection="1">
      <alignment horizontal="left"/>
      <protection locked="0"/>
    </xf>
    <xf numFmtId="1" fontId="33" fillId="7" borderId="24" xfId="10" applyNumberFormat="1" applyFont="1" applyFill="1" applyBorder="1" applyAlignment="1" applyProtection="1">
      <alignment horizontal="center"/>
      <protection locked="0"/>
    </xf>
    <xf numFmtId="1" fontId="33" fillId="7" borderId="25" xfId="10" applyNumberFormat="1" applyFont="1" applyFill="1" applyBorder="1" applyAlignment="1" applyProtection="1">
      <alignment horizontal="center"/>
      <protection locked="0"/>
    </xf>
    <xf numFmtId="0" fontId="34" fillId="9" borderId="7" xfId="3" applyFont="1" applyFill="1" applyBorder="1" applyAlignment="1" applyProtection="1">
      <alignment horizontal="center" wrapText="1"/>
    </xf>
    <xf numFmtId="0" fontId="5" fillId="10" borderId="13" xfId="3" applyFont="1" applyFill="1" applyBorder="1" applyAlignment="1" applyProtection="1">
      <alignment horizontal="center" wrapText="1"/>
      <protection locked="0"/>
    </xf>
    <xf numFmtId="0" fontId="5" fillId="0" borderId="13" xfId="3" applyFont="1" applyFill="1" applyBorder="1" applyAlignment="1" applyProtection="1">
      <alignment horizontal="center" wrapText="1"/>
      <protection locked="0"/>
    </xf>
    <xf numFmtId="0" fontId="5" fillId="0" borderId="0" xfId="2" applyFont="1" applyFill="1" applyProtection="1">
      <protection locked="0"/>
    </xf>
    <xf numFmtId="0" fontId="34" fillId="0" borderId="7" xfId="3" applyFont="1" applyFill="1" applyBorder="1" applyAlignment="1">
      <alignment horizontal="centerContinuous" wrapText="1"/>
    </xf>
    <xf numFmtId="0" fontId="34" fillId="0" borderId="8" xfId="3" applyFont="1" applyFill="1" applyBorder="1" applyAlignment="1">
      <alignment horizontal="centerContinuous" wrapText="1"/>
    </xf>
    <xf numFmtId="0" fontId="6" fillId="0" borderId="8" xfId="3" applyFont="1" applyFill="1" applyBorder="1" applyAlignment="1">
      <alignment horizontal="centerContinuous" wrapText="1"/>
    </xf>
    <xf numFmtId="0" fontId="5" fillId="0" borderId="7" xfId="3" applyFont="1" applyFill="1" applyBorder="1" applyAlignment="1">
      <alignment horizontal="centerContinuous" wrapText="1"/>
    </xf>
    <xf numFmtId="0" fontId="2" fillId="0" borderId="5" xfId="3" applyFont="1" applyFill="1" applyBorder="1" applyAlignment="1"/>
    <xf numFmtId="0" fontId="2" fillId="0" borderId="1" xfId="3" applyFont="1" applyFill="1" applyBorder="1" applyAlignment="1">
      <alignment horizontal="centerContinuous"/>
    </xf>
    <xf numFmtId="0" fontId="2" fillId="0" borderId="8" xfId="3" applyFont="1" applyFill="1" applyBorder="1" applyAlignment="1">
      <alignment horizontal="centerContinuous"/>
    </xf>
    <xf numFmtId="0" fontId="5" fillId="0" borderId="8" xfId="3" applyFont="1" applyBorder="1" applyAlignment="1">
      <alignment horizontal="centerContinuous" wrapText="1"/>
    </xf>
    <xf numFmtId="0" fontId="2" fillId="0" borderId="2" xfId="3" applyFont="1" applyFill="1" applyBorder="1" applyAlignment="1">
      <alignment horizontal="centerContinuous"/>
    </xf>
    <xf numFmtId="0" fontId="5" fillId="0" borderId="2" xfId="3" applyFont="1" applyFill="1" applyBorder="1" applyAlignment="1">
      <alignment horizontal="centerContinuous"/>
    </xf>
    <xf numFmtId="0" fontId="2" fillId="0" borderId="2" xfId="2" applyFont="1" applyBorder="1" applyAlignment="1">
      <alignment horizontal="centerContinuous"/>
    </xf>
    <xf numFmtId="0" fontId="5" fillId="0" borderId="13" xfId="3" applyFont="1" applyFill="1" applyBorder="1" applyAlignment="1">
      <alignment horizontal="center" wrapText="1"/>
    </xf>
    <xf numFmtId="0" fontId="5" fillId="0" borderId="13" xfId="3" applyFont="1" applyFill="1" applyBorder="1" applyAlignment="1">
      <alignment horizontal="centerContinuous" wrapText="1"/>
    </xf>
    <xf numFmtId="0" fontId="6" fillId="0" borderId="9" xfId="3" applyFont="1" applyFill="1" applyBorder="1" applyAlignment="1">
      <alignment horizontal="centerContinuous" wrapText="1"/>
    </xf>
    <xf numFmtId="0" fontId="6" fillId="0" borderId="4" xfId="3" applyFont="1" applyFill="1" applyBorder="1" applyAlignment="1">
      <alignment horizontal="centerContinuous" wrapText="1"/>
    </xf>
    <xf numFmtId="0" fontId="5" fillId="0" borderId="9" xfId="3" applyFont="1" applyFill="1" applyBorder="1" applyAlignment="1">
      <alignment horizontal="center" wrapText="1"/>
    </xf>
    <xf numFmtId="0" fontId="32" fillId="0" borderId="22" xfId="0" applyFont="1" applyFill="1" applyBorder="1" applyAlignment="1">
      <alignment horizontal="right"/>
    </xf>
    <xf numFmtId="170" fontId="32" fillId="0" borderId="22" xfId="0" applyNumberFormat="1" applyFont="1" applyFill="1" applyBorder="1"/>
    <xf numFmtId="170" fontId="32" fillId="0" borderId="1" xfId="0" applyNumberFormat="1" applyFont="1" applyFill="1" applyBorder="1"/>
    <xf numFmtId="170" fontId="32" fillId="0" borderId="7" xfId="0" applyNumberFormat="1" applyFont="1" applyFill="1" applyBorder="1"/>
    <xf numFmtId="1" fontId="0" fillId="0" borderId="0" xfId="0" applyNumberFormat="1"/>
    <xf numFmtId="1" fontId="0" fillId="0" borderId="0" xfId="0" applyNumberFormat="1" applyBorder="1"/>
    <xf numFmtId="49" fontId="2" fillId="11" borderId="0" xfId="5" applyNumberFormat="1" applyFont="1" applyFill="1" applyBorder="1" applyAlignment="1" applyProtection="1">
      <alignment horizontal="center"/>
      <protection locked="0"/>
    </xf>
    <xf numFmtId="49" fontId="2" fillId="11" borderId="0" xfId="5" applyNumberFormat="1" applyFont="1" applyFill="1" applyBorder="1" applyAlignment="1" applyProtection="1">
      <alignment horizontal="left"/>
      <protection locked="0"/>
    </xf>
    <xf numFmtId="1" fontId="2" fillId="11" borderId="0" xfId="8" applyNumberFormat="1" applyFont="1" applyFill="1" applyBorder="1" applyAlignment="1" applyProtection="1">
      <alignment horizontal="center"/>
      <protection locked="0"/>
    </xf>
    <xf numFmtId="0" fontId="35" fillId="7" borderId="24" xfId="7" applyNumberFormat="1" applyFont="1" applyFill="1" applyBorder="1" applyAlignment="1" applyProtection="1">
      <alignment horizontal="left"/>
      <protection locked="0"/>
    </xf>
    <xf numFmtId="165" fontId="5" fillId="0" borderId="0" xfId="13" applyNumberFormat="1" applyFont="1" applyFill="1" applyBorder="1" applyAlignment="1" applyProtection="1">
      <alignment horizontal="left" vertical="top"/>
      <protection locked="0"/>
    </xf>
    <xf numFmtId="164" fontId="5" fillId="0" borderId="0" xfId="10" applyFont="1" applyBorder="1" applyAlignment="1" applyProtection="1">
      <alignment horizontal="left" vertical="top"/>
      <protection locked="0"/>
    </xf>
    <xf numFmtId="49" fontId="5" fillId="12" borderId="5" xfId="10" applyNumberFormat="1" applyFont="1" applyFill="1" applyBorder="1" applyAlignment="1" applyProtection="1">
      <alignment horizontal="left" vertical="top"/>
      <protection locked="0"/>
    </xf>
    <xf numFmtId="49" fontId="5" fillId="12" borderId="0" xfId="10" applyNumberFormat="1" applyFont="1" applyFill="1" applyBorder="1" applyAlignment="1" applyProtection="1">
      <alignment horizontal="left" vertical="top"/>
      <protection locked="0"/>
    </xf>
    <xf numFmtId="0" fontId="33" fillId="7" borderId="24" xfId="15" applyNumberFormat="1" applyFont="1" applyFill="1" applyBorder="1" applyAlignment="1" applyProtection="1">
      <alignment horizontal="left" wrapText="1"/>
      <protection locked="0"/>
    </xf>
    <xf numFmtId="0" fontId="15" fillId="0" borderId="3" xfId="4" applyFont="1" applyFill="1" applyBorder="1" applyAlignment="1">
      <alignment horizontal="centerContinuous"/>
    </xf>
    <xf numFmtId="0" fontId="2" fillId="0" borderId="0" xfId="2" applyFont="1" applyAlignment="1">
      <alignment horizontal="centerContinuous"/>
    </xf>
    <xf numFmtId="3" fontId="34" fillId="9" borderId="5" xfId="6" applyNumberFormat="1" applyFont="1" applyFill="1" applyBorder="1" applyAlignment="1" applyProtection="1"/>
    <xf numFmtId="3" fontId="31" fillId="8" borderId="26" xfId="6" applyNumberFormat="1" applyFont="1" applyFill="1" applyBorder="1" applyAlignment="1" applyProtection="1"/>
    <xf numFmtId="3" fontId="31" fillId="8" borderId="27" xfId="6" applyNumberFormat="1" applyFont="1" applyFill="1" applyBorder="1" applyAlignment="1" applyProtection="1"/>
    <xf numFmtId="3" fontId="34" fillId="9" borderId="10" xfId="6" applyNumberFormat="1" applyFont="1" applyFill="1" applyBorder="1" applyAlignment="1" applyProtection="1"/>
    <xf numFmtId="0" fontId="2" fillId="0" borderId="1" xfId="0" applyFont="1" applyFill="1" applyBorder="1"/>
    <xf numFmtId="167" fontId="2" fillId="0" borderId="0" xfId="1" applyNumberFormat="1" applyFont="1" applyFill="1" applyBorder="1" applyAlignment="1">
      <alignment horizontal="right"/>
    </xf>
    <xf numFmtId="0" fontId="2" fillId="0" borderId="0" xfId="0" applyFont="1" applyFill="1" applyBorder="1"/>
    <xf numFmtId="167" fontId="2" fillId="0" borderId="11" xfId="1" applyNumberFormat="1" applyFont="1" applyFill="1" applyBorder="1" applyAlignment="1">
      <alignment horizontal="right"/>
    </xf>
    <xf numFmtId="167" fontId="2" fillId="0" borderId="1" xfId="1" applyNumberFormat="1" applyFont="1" applyFill="1" applyBorder="1" applyAlignment="1">
      <alignment horizontal="right"/>
    </xf>
    <xf numFmtId="167" fontId="2" fillId="0" borderId="8" xfId="1" applyNumberFormat="1" applyFont="1" applyFill="1" applyBorder="1" applyAlignment="1">
      <alignment horizontal="right"/>
    </xf>
    <xf numFmtId="168" fontId="10" fillId="0" borderId="0" xfId="6" applyNumberFormat="1" applyFont="1" applyFill="1" applyBorder="1" applyAlignment="1">
      <alignment horizontal="right"/>
    </xf>
    <xf numFmtId="167" fontId="31" fillId="0" borderId="10" xfId="6" applyNumberFormat="1" applyFont="1" applyFill="1" applyBorder="1" applyAlignment="1">
      <alignment horizontal="right"/>
    </xf>
    <xf numFmtId="167" fontId="31" fillId="0" borderId="13" xfId="6" applyNumberFormat="1" applyFont="1" applyFill="1" applyBorder="1" applyAlignment="1">
      <alignment horizontal="right"/>
    </xf>
    <xf numFmtId="167" fontId="2" fillId="0" borderId="18" xfId="0" applyNumberFormat="1" applyFont="1" applyFill="1" applyBorder="1"/>
    <xf numFmtId="167" fontId="2" fillId="0" borderId="1" xfId="0" applyNumberFormat="1" applyFont="1" applyFill="1" applyBorder="1"/>
    <xf numFmtId="0" fontId="29" fillId="0" borderId="0" xfId="0" applyFont="1" applyFill="1"/>
    <xf numFmtId="169" fontId="2" fillId="0" borderId="11" xfId="1" applyNumberFormat="1" applyFont="1" applyFill="1" applyBorder="1" applyAlignment="1">
      <alignment horizontal="right"/>
    </xf>
    <xf numFmtId="2" fontId="2" fillId="0" borderId="8" xfId="1" applyNumberFormat="1" applyFont="1" applyFill="1" applyBorder="1" applyAlignment="1">
      <alignment horizontal="right"/>
    </xf>
    <xf numFmtId="172" fontId="2" fillId="0" borderId="0" xfId="1" applyNumberFormat="1" applyFont="1" applyFill="1" applyBorder="1" applyAlignment="1">
      <alignment horizontal="right"/>
    </xf>
    <xf numFmtId="172" fontId="2" fillId="0" borderId="11" xfId="1" applyNumberFormat="1" applyFont="1" applyFill="1" applyBorder="1" applyAlignment="1">
      <alignment horizontal="right"/>
    </xf>
    <xf numFmtId="165" fontId="14" fillId="0" borderId="0" xfId="9" applyNumberFormat="1" applyFont="1" applyFill="1"/>
    <xf numFmtId="165" fontId="14" fillId="0" borderId="0" xfId="9" applyNumberFormat="1" applyFont="1" applyFill="1" applyBorder="1"/>
    <xf numFmtId="165" fontId="14" fillId="0" borderId="1" xfId="9" applyNumberFormat="1" applyFont="1" applyFill="1" applyBorder="1"/>
    <xf numFmtId="3" fontId="14" fillId="0" borderId="0" xfId="9" applyNumberFormat="1" applyFont="1" applyFill="1" applyBorder="1"/>
    <xf numFmtId="3" fontId="1" fillId="0" borderId="0" xfId="9" applyNumberFormat="1" applyFont="1" applyFill="1" applyBorder="1"/>
    <xf numFmtId="3" fontId="14" fillId="0" borderId="0" xfId="9" applyNumberFormat="1" applyFont="1" applyFill="1" applyBorder="1" applyAlignment="1">
      <alignment horizontal="right"/>
    </xf>
    <xf numFmtId="3" fontId="2" fillId="0" borderId="0" xfId="9" applyNumberFormat="1" applyFont="1" applyFill="1" applyBorder="1"/>
    <xf numFmtId="3" fontId="29" fillId="0" borderId="0" xfId="9" applyNumberFormat="1" applyFont="1" applyFill="1" applyBorder="1"/>
    <xf numFmtId="0" fontId="0" fillId="0" borderId="32" xfId="0" applyFont="1" applyFill="1" applyBorder="1"/>
    <xf numFmtId="0" fontId="0" fillId="0" borderId="33" xfId="0" applyFont="1" applyFill="1" applyBorder="1"/>
    <xf numFmtId="0" fontId="14" fillId="0" borderId="32" xfId="0" applyFont="1" applyFill="1" applyBorder="1"/>
    <xf numFmtId="9" fontId="14" fillId="0" borderId="33" xfId="0" applyNumberFormat="1" applyFont="1" applyFill="1" applyBorder="1"/>
    <xf numFmtId="9" fontId="14" fillId="0" borderId="34" xfId="0" applyNumberFormat="1" applyFont="1" applyFill="1" applyBorder="1"/>
    <xf numFmtId="0" fontId="14" fillId="0" borderId="33" xfId="0" applyFont="1" applyFill="1" applyBorder="1"/>
    <xf numFmtId="0" fontId="14" fillId="0" borderId="35" xfId="0" applyFont="1" applyFill="1" applyBorder="1"/>
    <xf numFmtId="0" fontId="14" fillId="0" borderId="36" xfId="0" applyFont="1" applyFill="1" applyBorder="1"/>
    <xf numFmtId="3" fontId="14" fillId="0" borderId="14" xfId="0" applyNumberFormat="1" applyFont="1" applyFill="1" applyBorder="1"/>
    <xf numFmtId="3" fontId="14" fillId="0" borderId="0" xfId="0" applyNumberFormat="1" applyFont="1" applyFill="1" applyBorder="1"/>
    <xf numFmtId="3" fontId="14" fillId="0" borderId="37" xfId="0" applyNumberFormat="1" applyFont="1" applyFill="1" applyBorder="1"/>
    <xf numFmtId="3" fontId="14" fillId="0" borderId="22" xfId="0" applyNumberFormat="1" applyFont="1" applyFill="1" applyBorder="1"/>
    <xf numFmtId="3" fontId="14" fillId="0" borderId="1" xfId="0" applyNumberFormat="1" applyFont="1" applyFill="1" applyBorder="1"/>
    <xf numFmtId="3" fontId="14" fillId="0" borderId="38" xfId="0" applyNumberFormat="1" applyFont="1" applyFill="1" applyBorder="1"/>
    <xf numFmtId="3" fontId="0" fillId="0" borderId="0" xfId="0" applyNumberFormat="1" applyFont="1" applyFill="1" applyBorder="1"/>
    <xf numFmtId="3" fontId="0" fillId="0" borderId="39" xfId="0" applyNumberFormat="1" applyFont="1" applyFill="1" applyBorder="1"/>
    <xf numFmtId="3" fontId="0" fillId="0" borderId="1" xfId="0" applyNumberFormat="1" applyFont="1" applyFill="1" applyBorder="1"/>
    <xf numFmtId="0" fontId="0" fillId="0" borderId="29" xfId="0" applyFont="1" applyFill="1" applyBorder="1"/>
    <xf numFmtId="0" fontId="14" fillId="0" borderId="29" xfId="0" applyFont="1" applyFill="1" applyBorder="1"/>
    <xf numFmtId="0" fontId="14" fillId="0" borderId="31" xfId="0" applyFont="1" applyFill="1" applyBorder="1"/>
    <xf numFmtId="0" fontId="14" fillId="0" borderId="40" xfId="0" applyFont="1" applyFill="1" applyBorder="1"/>
    <xf numFmtId="0" fontId="14" fillId="0" borderId="30" xfId="0" applyFont="1" applyFill="1" applyBorder="1"/>
    <xf numFmtId="3" fontId="14" fillId="0" borderId="5" xfId="0" applyNumberFormat="1" applyFont="1" applyFill="1" applyBorder="1"/>
    <xf numFmtId="3" fontId="14" fillId="0" borderId="7" xfId="0" applyNumberFormat="1" applyFont="1" applyFill="1" applyBorder="1"/>
    <xf numFmtId="0" fontId="14" fillId="0" borderId="41" xfId="0" applyFont="1" applyFill="1" applyBorder="1"/>
    <xf numFmtId="0" fontId="14" fillId="0" borderId="42" xfId="0" applyFont="1" applyFill="1" applyBorder="1"/>
    <xf numFmtId="0" fontId="0" fillId="0" borderId="36" xfId="0" applyFont="1" applyFill="1" applyBorder="1"/>
    <xf numFmtId="9" fontId="14" fillId="0" borderId="36" xfId="0" applyNumberFormat="1" applyFont="1" applyFill="1" applyBorder="1"/>
    <xf numFmtId="3" fontId="14" fillId="0" borderId="44" xfId="0" applyNumberFormat="1" applyFont="1" applyFill="1" applyBorder="1"/>
    <xf numFmtId="3" fontId="14" fillId="0" borderId="43" xfId="0" applyNumberFormat="1" applyFont="1" applyFill="1" applyBorder="1"/>
    <xf numFmtId="0" fontId="5" fillId="0" borderId="0" xfId="0" applyFont="1" applyAlignment="1">
      <alignment horizontal="left"/>
    </xf>
    <xf numFmtId="0" fontId="0" fillId="0" borderId="0" xfId="0" applyAlignment="1">
      <alignment horizontal="left"/>
    </xf>
    <xf numFmtId="0" fontId="5" fillId="0" borderId="0" xfId="0" applyFont="1" applyFill="1" applyAlignment="1">
      <alignment horizontal="left"/>
    </xf>
    <xf numFmtId="0" fontId="0" fillId="0" borderId="0" xfId="0" applyFill="1" applyAlignment="1">
      <alignment horizontal="left"/>
    </xf>
    <xf numFmtId="1" fontId="0" fillId="0" borderId="1" xfId="0" applyNumberFormat="1" applyBorder="1" applyAlignment="1">
      <alignment horizontal="left"/>
    </xf>
    <xf numFmtId="1" fontId="2" fillId="5" borderId="3" xfId="0" applyNumberFormat="1" applyFont="1" applyFill="1" applyBorder="1" applyAlignment="1">
      <alignment horizontal="center"/>
    </xf>
    <xf numFmtId="1" fontId="2" fillId="5" borderId="4" xfId="0" applyNumberFormat="1" applyFont="1" applyFill="1" applyBorder="1" applyAlignment="1">
      <alignment horizontal="center"/>
    </xf>
    <xf numFmtId="1" fontId="0" fillId="3" borderId="3" xfId="0" applyNumberFormat="1" applyFill="1" applyBorder="1" applyAlignment="1">
      <alignment horizontal="center"/>
    </xf>
    <xf numFmtId="1" fontId="0" fillId="3" borderId="4" xfId="0" applyNumberFormat="1" applyFill="1" applyBorder="1" applyAlignment="1">
      <alignment horizontal="center"/>
    </xf>
    <xf numFmtId="1" fontId="0" fillId="6" borderId="3" xfId="0" applyNumberFormat="1" applyFill="1" applyBorder="1" applyAlignment="1">
      <alignment horizontal="center"/>
    </xf>
    <xf numFmtId="1" fontId="0" fillId="6" borderId="2" xfId="0" applyNumberFormat="1" applyFill="1" applyBorder="1" applyAlignment="1">
      <alignment horizontal="center"/>
    </xf>
    <xf numFmtId="0" fontId="0" fillId="0" borderId="1" xfId="0" applyBorder="1" applyAlignment="1">
      <alignment horizontal="left"/>
    </xf>
    <xf numFmtId="165" fontId="0" fillId="0" borderId="7" xfId="6" applyNumberFormat="1" applyFont="1" applyBorder="1"/>
    <xf numFmtId="165" fontId="0" fillId="0" borderId="1" xfId="6" applyNumberFormat="1" applyFont="1" applyBorder="1"/>
    <xf numFmtId="165" fontId="0" fillId="5" borderId="1" xfId="6" applyNumberFormat="1" applyFont="1" applyFill="1" applyBorder="1"/>
    <xf numFmtId="165" fontId="0" fillId="3" borderId="1" xfId="6" applyNumberFormat="1" applyFont="1" applyFill="1" applyBorder="1"/>
    <xf numFmtId="165" fontId="0" fillId="6" borderId="7" xfId="6" applyNumberFormat="1" applyFont="1" applyFill="1" applyBorder="1"/>
    <xf numFmtId="165" fontId="0" fillId="6" borderId="1" xfId="6" applyNumberFormat="1" applyFont="1" applyFill="1" applyBorder="1"/>
    <xf numFmtId="165" fontId="0" fillId="0" borderId="5" xfId="6" applyNumberFormat="1" applyFont="1" applyFill="1" applyBorder="1"/>
    <xf numFmtId="0" fontId="34" fillId="8" borderId="9" xfId="3" applyFont="1" applyFill="1" applyBorder="1" applyAlignment="1" applyProtection="1">
      <alignment horizontal="center" wrapText="1"/>
    </xf>
    <xf numFmtId="0" fontId="5" fillId="0" borderId="7" xfId="3" applyFont="1" applyFill="1" applyBorder="1" applyAlignment="1" applyProtection="1">
      <alignment horizontal="center" wrapText="1"/>
      <protection locked="0"/>
    </xf>
    <xf numFmtId="0" fontId="5" fillId="10" borderId="9" xfId="3" applyFont="1" applyFill="1" applyBorder="1" applyAlignment="1" applyProtection="1">
      <alignment horizontal="center" wrapText="1"/>
      <protection locked="0"/>
    </xf>
    <xf numFmtId="0" fontId="32" fillId="0" borderId="32" xfId="0" applyFont="1" applyFill="1" applyBorder="1"/>
    <xf numFmtId="166" fontId="14" fillId="0" borderId="32" xfId="0" applyNumberFormat="1" applyFont="1" applyFill="1" applyBorder="1"/>
    <xf numFmtId="166" fontId="14" fillId="0" borderId="36" xfId="0" applyNumberFormat="1" applyFont="1" applyFill="1" applyBorder="1"/>
    <xf numFmtId="0" fontId="32" fillId="0" borderId="14" xfId="0" applyFont="1" applyFill="1" applyBorder="1"/>
    <xf numFmtId="9" fontId="14" fillId="0" borderId="35" xfId="0" applyNumberFormat="1" applyFont="1" applyFill="1" applyBorder="1"/>
    <xf numFmtId="9" fontId="14" fillId="0" borderId="40" xfId="0" applyNumberFormat="1" applyFont="1" applyFill="1" applyBorder="1"/>
    <xf numFmtId="9" fontId="14" fillId="0" borderId="55" xfId="0" applyNumberFormat="1" applyFont="1" applyFill="1" applyBorder="1"/>
    <xf numFmtId="0" fontId="32" fillId="0" borderId="56" xfId="0" applyFont="1" applyFill="1" applyBorder="1" applyAlignment="1">
      <alignment horizontal="right"/>
    </xf>
    <xf numFmtId="170" fontId="32" fillId="0" borderId="56" xfId="0" applyNumberFormat="1" applyFont="1" applyFill="1" applyBorder="1"/>
    <xf numFmtId="170" fontId="32" fillId="0" borderId="57" xfId="0" applyNumberFormat="1" applyFont="1" applyFill="1" applyBorder="1"/>
    <xf numFmtId="0" fontId="14" fillId="0" borderId="5" xfId="0" applyFont="1" applyFill="1" applyBorder="1"/>
    <xf numFmtId="166" fontId="14" fillId="0" borderId="41" xfId="0" applyNumberFormat="1" applyFont="1" applyFill="1" applyBorder="1"/>
    <xf numFmtId="170" fontId="32" fillId="0" borderId="58" xfId="0" applyNumberFormat="1" applyFont="1" applyFill="1" applyBorder="1"/>
    <xf numFmtId="0" fontId="14" fillId="0" borderId="3" xfId="0" applyFont="1" applyFill="1" applyBorder="1"/>
    <xf numFmtId="0" fontId="32" fillId="0" borderId="59" xfId="0" applyFont="1" applyFill="1" applyBorder="1"/>
    <xf numFmtId="0" fontId="32" fillId="0" borderId="59" xfId="0" applyFont="1" applyFill="1" applyBorder="1" applyAlignment="1">
      <alignment horizontal="right"/>
    </xf>
    <xf numFmtId="170" fontId="32" fillId="0" borderId="59" xfId="0" applyNumberFormat="1" applyFont="1" applyFill="1" applyBorder="1"/>
    <xf numFmtId="170" fontId="32" fillId="0" borderId="60" xfId="0" applyNumberFormat="1" applyFont="1" applyFill="1" applyBorder="1"/>
    <xf numFmtId="170" fontId="32" fillId="0" borderId="61" xfId="0" applyNumberFormat="1" applyFont="1" applyFill="1" applyBorder="1"/>
    <xf numFmtId="2" fontId="2" fillId="0" borderId="6" xfId="1" applyNumberFormat="1" applyFont="1" applyFill="1" applyBorder="1" applyAlignment="1">
      <alignment horizontal="right"/>
    </xf>
    <xf numFmtId="0" fontId="22" fillId="0" borderId="3" xfId="0" applyFont="1" applyFill="1" applyBorder="1" applyAlignment="1">
      <alignment horizontal="center"/>
    </xf>
    <xf numFmtId="0" fontId="22" fillId="0" borderId="2" xfId="0" applyFont="1" applyFill="1" applyBorder="1" applyAlignment="1">
      <alignment horizontal="center"/>
    </xf>
    <xf numFmtId="0" fontId="20" fillId="0" borderId="0" xfId="0" applyFont="1" applyFill="1" applyBorder="1" applyAlignment="1">
      <alignment wrapText="1"/>
    </xf>
    <xf numFmtId="0" fontId="20" fillId="0" borderId="0" xfId="0" applyFont="1" applyFill="1" applyBorder="1" applyAlignment="1">
      <alignment wrapText="1"/>
    </xf>
    <xf numFmtId="0" fontId="0" fillId="0" borderId="0" xfId="0" applyAlignment="1">
      <alignment wrapText="1"/>
    </xf>
    <xf numFmtId="167" fontId="2" fillId="0" borderId="0" xfId="0" applyNumberFormat="1" applyFont="1" applyFill="1" applyBorder="1" applyAlignment="1">
      <alignment horizontal="center"/>
    </xf>
    <xf numFmtId="0" fontId="14" fillId="0" borderId="0" xfId="0" applyFont="1" applyFill="1" applyBorder="1" applyAlignment="1">
      <alignment horizontal="centerContinuous"/>
    </xf>
    <xf numFmtId="37" fontId="5" fillId="0" borderId="1" xfId="0" applyNumberFormat="1" applyFont="1" applyFill="1" applyBorder="1" applyProtection="1"/>
    <xf numFmtId="37" fontId="22" fillId="0" borderId="2" xfId="0" applyNumberFormat="1" applyFont="1" applyFill="1" applyBorder="1" applyProtection="1"/>
    <xf numFmtId="37" fontId="22" fillId="0" borderId="2" xfId="0" applyNumberFormat="1" applyFont="1" applyFill="1" applyBorder="1" applyAlignment="1" applyProtection="1">
      <alignment horizontal="center"/>
    </xf>
    <xf numFmtId="0" fontId="22" fillId="0" borderId="3" xfId="0" applyFont="1" applyFill="1" applyBorder="1" applyAlignment="1">
      <alignment horizontal="center" wrapText="1"/>
    </xf>
    <xf numFmtId="167" fontId="2" fillId="0" borderId="5" xfId="0" applyNumberFormat="1" applyFont="1" applyFill="1" applyBorder="1"/>
    <xf numFmtId="167" fontId="2" fillId="0" borderId="1" xfId="0" applyNumberFormat="1" applyFont="1" applyFill="1" applyBorder="1" applyAlignment="1">
      <alignment horizontal="center"/>
    </xf>
    <xf numFmtId="167" fontId="2" fillId="0" borderId="7" xfId="0" applyNumberFormat="1" applyFont="1" applyFill="1" applyBorder="1"/>
    <xf numFmtId="49" fontId="4" fillId="0" borderId="0" xfId="0" applyNumberFormat="1" applyFont="1" applyFill="1" applyBorder="1" applyAlignment="1">
      <alignment horizontal="right"/>
    </xf>
    <xf numFmtId="0" fontId="27" fillId="0" borderId="0" xfId="0" applyFont="1" applyFill="1" applyAlignment="1">
      <alignment horizontal="center"/>
    </xf>
    <xf numFmtId="0" fontId="27" fillId="0" borderId="0" xfId="0" applyFont="1" applyFill="1"/>
    <xf numFmtId="167" fontId="29" fillId="0" borderId="0" xfId="0" applyNumberFormat="1" applyFont="1" applyFill="1"/>
    <xf numFmtId="0" fontId="14" fillId="0" borderId="0" xfId="0" applyFont="1" applyFill="1" applyBorder="1" applyAlignment="1">
      <alignment horizontal="center"/>
    </xf>
    <xf numFmtId="0" fontId="2" fillId="0" borderId="0" xfId="0" applyFont="1" applyFill="1" applyAlignment="1">
      <alignment horizontal="center"/>
    </xf>
    <xf numFmtId="0" fontId="2" fillId="0" borderId="0" xfId="0" applyFont="1" applyFill="1" applyBorder="1" applyAlignment="1">
      <alignment horizontal="center"/>
    </xf>
    <xf numFmtId="37" fontId="5" fillId="0" borderId="2" xfId="0" applyNumberFormat="1" applyFont="1" applyFill="1" applyBorder="1" applyProtection="1"/>
    <xf numFmtId="37" fontId="5" fillId="0" borderId="2" xfId="0" applyNumberFormat="1" applyFont="1" applyFill="1" applyBorder="1" applyAlignment="1" applyProtection="1">
      <alignment horizontal="center"/>
    </xf>
    <xf numFmtId="167" fontId="14" fillId="0" borderId="0" xfId="0" applyNumberFormat="1" applyFont="1" applyFill="1" applyBorder="1"/>
    <xf numFmtId="37" fontId="21" fillId="0" borderId="0" xfId="0" applyNumberFormat="1" applyFont="1" applyFill="1" applyAlignment="1" applyProtection="1">
      <alignment horizontal="center"/>
    </xf>
    <xf numFmtId="167" fontId="2" fillId="0" borderId="18" xfId="0" applyNumberFormat="1" applyFont="1" applyFill="1" applyBorder="1" applyAlignment="1">
      <alignment horizontal="center"/>
    </xf>
    <xf numFmtId="167" fontId="4" fillId="0" borderId="0" xfId="0" applyNumberFormat="1" applyFont="1" applyFill="1" applyBorder="1"/>
    <xf numFmtId="0" fontId="0" fillId="0" borderId="0" xfId="0" applyFill="1" applyBorder="1" applyAlignment="1">
      <alignment horizontal="centerContinuous"/>
    </xf>
    <xf numFmtId="37" fontId="17" fillId="0" borderId="0" xfId="0" applyNumberFormat="1" applyFont="1" applyFill="1" applyAlignment="1" applyProtection="1">
      <alignment horizontal="centerContinuous"/>
    </xf>
    <xf numFmtId="37" fontId="18" fillId="0" borderId="1" xfId="0" applyNumberFormat="1" applyFont="1" applyFill="1" applyBorder="1" applyProtection="1"/>
    <xf numFmtId="37" fontId="18" fillId="0" borderId="2" xfId="0" applyNumberFormat="1" applyFont="1" applyFill="1" applyBorder="1" applyProtection="1"/>
    <xf numFmtId="0" fontId="5" fillId="0" borderId="3" xfId="0" applyFont="1" applyFill="1" applyBorder="1" applyAlignment="1">
      <alignment horizontal="centerContinuous"/>
    </xf>
    <xf numFmtId="37" fontId="18" fillId="0" borderId="2" xfId="0" applyNumberFormat="1" applyFont="1" applyFill="1" applyBorder="1" applyAlignment="1" applyProtection="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wrapText="1"/>
    </xf>
    <xf numFmtId="167" fontId="2" fillId="0" borderId="8" xfId="0" applyNumberFormat="1" applyFont="1" applyFill="1" applyBorder="1" applyAlignment="1">
      <alignment horizontal="center"/>
    </xf>
    <xf numFmtId="37" fontId="18" fillId="0" borderId="0" xfId="0" applyNumberFormat="1" applyFont="1" applyFill="1" applyAlignment="1" applyProtection="1">
      <alignment horizontal="centerContinuous"/>
    </xf>
    <xf numFmtId="0" fontId="4" fillId="0" borderId="5" xfId="0" applyFont="1" applyFill="1" applyBorder="1"/>
    <xf numFmtId="167" fontId="14" fillId="0" borderId="5" xfId="0" applyNumberFormat="1" applyFont="1" applyFill="1" applyBorder="1" applyAlignment="1">
      <alignment horizontal="center"/>
    </xf>
    <xf numFmtId="0" fontId="0" fillId="0" borderId="0" xfId="0" applyFill="1" applyBorder="1" applyAlignment="1">
      <alignment horizontal="center"/>
    </xf>
    <xf numFmtId="37" fontId="18" fillId="0" borderId="1" xfId="0" applyNumberFormat="1" applyFont="1" applyFill="1" applyBorder="1" applyAlignment="1" applyProtection="1">
      <alignment horizontal="centerContinuous"/>
    </xf>
    <xf numFmtId="167" fontId="0" fillId="0" borderId="0" xfId="0" applyNumberFormat="1" applyFill="1" applyBorder="1"/>
    <xf numFmtId="37" fontId="17" fillId="0" borderId="0" xfId="0" applyNumberFormat="1" applyFont="1" applyFill="1" applyAlignment="1" applyProtection="1">
      <alignment horizontal="center"/>
    </xf>
    <xf numFmtId="0" fontId="14" fillId="0" borderId="0" xfId="0"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20" fillId="0" borderId="0" xfId="0" applyFont="1" applyFill="1" applyBorder="1" applyAlignment="1">
      <alignment vertical="top" wrapText="1"/>
    </xf>
    <xf numFmtId="0" fontId="20" fillId="0" borderId="0" xfId="0" applyFont="1" applyFill="1" applyBorder="1" applyAlignment="1">
      <alignment wrapText="1"/>
    </xf>
    <xf numFmtId="0" fontId="14" fillId="0" borderId="0" xfId="0" applyFont="1" applyAlignment="1">
      <alignment wrapText="1"/>
    </xf>
    <xf numFmtId="0" fontId="14" fillId="0" borderId="0" xfId="0" applyFont="1" applyBorder="1" applyAlignment="1">
      <alignment vertical="top" wrapText="1"/>
    </xf>
    <xf numFmtId="0" fontId="20" fillId="0" borderId="0" xfId="0" applyFont="1" applyFill="1" applyBorder="1" applyAlignment="1">
      <alignment vertical="top" wrapText="1"/>
    </xf>
    <xf numFmtId="0" fontId="0" fillId="0" borderId="0" xfId="0" applyBorder="1" applyAlignment="1">
      <alignment vertical="top" wrapText="1"/>
    </xf>
    <xf numFmtId="3" fontId="2" fillId="10" borderId="5" xfId="19650" applyNumberFormat="1" applyFont="1" applyFill="1" applyBorder="1" applyAlignment="1" applyProtection="1">
      <alignment horizontal="right"/>
      <protection locked="0"/>
    </xf>
    <xf numFmtId="3" fontId="2" fillId="10" borderId="10" xfId="19650" applyNumberFormat="1" applyFont="1" applyFill="1" applyBorder="1" applyAlignment="1" applyProtection="1">
      <alignment horizontal="right"/>
      <protection locked="0"/>
    </xf>
    <xf numFmtId="3" fontId="2" fillId="10" borderId="5" xfId="6" applyNumberFormat="1" applyFont="1" applyFill="1" applyBorder="1" applyAlignment="1" applyProtection="1">
      <alignment horizontal="right"/>
      <protection locked="0"/>
    </xf>
    <xf numFmtId="3" fontId="2" fillId="10" borderId="10" xfId="6" applyNumberFormat="1" applyFont="1" applyFill="1" applyBorder="1" applyAlignment="1" applyProtection="1">
      <alignment horizontal="right"/>
      <protection locked="0"/>
    </xf>
    <xf numFmtId="49" fontId="2" fillId="37" borderId="0" xfId="19648" applyNumberFormat="1" applyFont="1" applyFill="1" applyBorder="1" applyAlignment="1" applyProtection="1">
      <alignment horizontal="left"/>
      <protection locked="0"/>
    </xf>
    <xf numFmtId="49" fontId="5" fillId="37" borderId="0" xfId="19648" applyNumberFormat="1" applyFont="1" applyFill="1" applyBorder="1" applyAlignment="1" applyProtection="1">
      <alignment horizontal="left"/>
      <protection locked="0"/>
    </xf>
    <xf numFmtId="1" fontId="2" fillId="37" borderId="0" xfId="19649" applyNumberFormat="1" applyFont="1" applyFill="1" applyBorder="1" applyAlignment="1" applyProtection="1">
      <alignment horizontal="center"/>
      <protection locked="0"/>
    </xf>
    <xf numFmtId="49" fontId="2" fillId="37" borderId="5" xfId="19648" applyNumberFormat="1" applyFont="1" applyFill="1" applyBorder="1" applyAlignment="1" applyProtection="1">
      <alignment horizontal="center"/>
      <protection locked="0"/>
    </xf>
    <xf numFmtId="49" fontId="27" fillId="37" borderId="0" xfId="19648" applyNumberFormat="1" applyFont="1" applyFill="1" applyBorder="1" applyAlignment="1" applyProtection="1">
      <alignment horizontal="left"/>
      <protection locked="0"/>
    </xf>
    <xf numFmtId="1" fontId="2" fillId="37" borderId="0" xfId="5" applyNumberFormat="1" applyFont="1" applyFill="1" applyBorder="1" applyAlignment="1" applyProtection="1">
      <alignment horizontal="center"/>
      <protection locked="0"/>
    </xf>
    <xf numFmtId="1" fontId="2" fillId="37" borderId="0" xfId="19651" applyNumberFormat="1" applyFont="1" applyFill="1" applyBorder="1" applyAlignment="1" applyProtection="1">
      <alignment horizontal="center"/>
      <protection locked="0"/>
    </xf>
    <xf numFmtId="9" fontId="14" fillId="0" borderId="32" xfId="0" applyNumberFormat="1" applyFont="1" applyFill="1" applyBorder="1"/>
    <xf numFmtId="9" fontId="14" fillId="0" borderId="31" xfId="0" applyNumberFormat="1" applyFont="1" applyFill="1" applyBorder="1"/>
    <xf numFmtId="0" fontId="0" fillId="0" borderId="5" xfId="0" applyFill="1" applyBorder="1"/>
    <xf numFmtId="169" fontId="2" fillId="0" borderId="6" xfId="1" applyNumberFormat="1" applyFont="1" applyFill="1" applyBorder="1" applyAlignment="1">
      <alignment horizontal="right"/>
    </xf>
    <xf numFmtId="2" fontId="2" fillId="0" borderId="1" xfId="1" applyNumberFormat="1" applyFont="1" applyFill="1" applyBorder="1" applyAlignment="1">
      <alignment horizontal="right"/>
    </xf>
    <xf numFmtId="172" fontId="2" fillId="0" borderId="1" xfId="1" applyNumberFormat="1" applyFont="1" applyFill="1" applyBorder="1" applyAlignment="1">
      <alignment horizontal="right"/>
    </xf>
    <xf numFmtId="0" fontId="6" fillId="0" borderId="6" xfId="3" applyFont="1" applyBorder="1" applyAlignment="1">
      <alignment horizontal="centerContinuous"/>
    </xf>
    <xf numFmtId="0" fontId="6" fillId="0" borderId="6" xfId="3" applyFont="1" applyFill="1" applyBorder="1" applyAlignment="1">
      <alignment horizontal="centerContinuous"/>
    </xf>
    <xf numFmtId="0" fontId="2" fillId="0" borderId="19" xfId="3" applyFont="1" applyFill="1" applyBorder="1" applyAlignment="1"/>
    <xf numFmtId="3" fontId="37" fillId="0" borderId="5" xfId="0" applyNumberFormat="1" applyFont="1" applyFill="1" applyBorder="1" applyAlignment="1">
      <alignment horizontal="right"/>
    </xf>
    <xf numFmtId="3" fontId="37" fillId="0" borderId="10" xfId="0" applyNumberFormat="1" applyFont="1" applyFill="1" applyBorder="1" applyAlignment="1">
      <alignment horizontal="right"/>
    </xf>
    <xf numFmtId="0" fontId="2" fillId="0" borderId="5" xfId="2" applyFont="1" applyFill="1" applyBorder="1"/>
    <xf numFmtId="3" fontId="2" fillId="0" borderId="5" xfId="19650" applyNumberFormat="1" applyFont="1" applyFill="1" applyBorder="1" applyAlignment="1" applyProtection="1">
      <alignment horizontal="right"/>
      <protection locked="0"/>
    </xf>
    <xf numFmtId="3" fontId="2" fillId="0" borderId="10" xfId="19650" applyNumberFormat="1" applyFont="1" applyFill="1" applyBorder="1" applyAlignment="1" applyProtection="1">
      <alignment horizontal="right"/>
      <protection locked="0"/>
    </xf>
    <xf numFmtId="1" fontId="27" fillId="37" borderId="0" xfId="19649" applyNumberFormat="1" applyFont="1" applyFill="1" applyBorder="1" applyAlignment="1" applyProtection="1">
      <alignment horizontal="center"/>
      <protection locked="0"/>
    </xf>
    <xf numFmtId="49" fontId="2" fillId="3" borderId="5" xfId="5" applyNumberFormat="1" applyFont="1" applyFill="1" applyBorder="1" applyAlignment="1" applyProtection="1">
      <alignment horizontal="center"/>
      <protection locked="0"/>
    </xf>
    <xf numFmtId="49" fontId="2" fillId="3" borderId="0" xfId="5" applyNumberFormat="1" applyFont="1" applyFill="1" applyBorder="1" applyAlignment="1" applyProtection="1">
      <alignment horizontal="left"/>
      <protection locked="0"/>
    </xf>
    <xf numFmtId="49" fontId="71" fillId="3" borderId="0" xfId="5" applyNumberFormat="1" applyFont="1" applyFill="1" applyBorder="1" applyAlignment="1" applyProtection="1">
      <alignment horizontal="left"/>
      <protection locked="0"/>
    </xf>
    <xf numFmtId="1" fontId="2" fillId="3" borderId="0" xfId="5" applyNumberFormat="1" applyFont="1" applyFill="1" applyBorder="1" applyAlignment="1" applyProtection="1">
      <alignment horizontal="center"/>
      <protection locked="0"/>
    </xf>
    <xf numFmtId="49" fontId="2" fillId="3" borderId="0" xfId="5" applyNumberFormat="1" applyFont="1" applyFill="1" applyBorder="1" applyAlignment="1" applyProtection="1">
      <alignment horizontal="center"/>
      <protection locked="0"/>
    </xf>
    <xf numFmtId="49" fontId="72" fillId="3" borderId="0" xfId="5" applyNumberFormat="1" applyFont="1" applyFill="1" applyBorder="1" applyAlignment="1" applyProtection="1">
      <alignment horizontal="left"/>
      <protection locked="0"/>
    </xf>
    <xf numFmtId="1" fontId="2" fillId="3" borderId="0" xfId="19649" applyNumberFormat="1" applyFont="1" applyFill="1" applyBorder="1" applyAlignment="1" applyProtection="1">
      <alignment horizontal="center"/>
      <protection locked="0"/>
    </xf>
    <xf numFmtId="49" fontId="2" fillId="3" borderId="0" xfId="19665" applyNumberFormat="1" applyFont="1" applyFill="1" applyBorder="1" applyAlignment="1" applyProtection="1">
      <alignment horizontal="center"/>
      <protection locked="0"/>
    </xf>
    <xf numFmtId="49" fontId="2" fillId="3" borderId="0" xfId="19665" applyNumberFormat="1" applyFont="1" applyFill="1" applyBorder="1" applyAlignment="1" applyProtection="1">
      <alignment horizontal="left"/>
      <protection locked="0"/>
    </xf>
    <xf numFmtId="49" fontId="71" fillId="3" borderId="0" xfId="19665" applyNumberFormat="1" applyFont="1" applyFill="1" applyBorder="1" applyAlignment="1" applyProtection="1">
      <alignment horizontal="left"/>
      <protection locked="0"/>
    </xf>
    <xf numFmtId="1" fontId="2" fillId="3" borderId="0" xfId="19665" applyNumberFormat="1" applyFont="1" applyFill="1" applyBorder="1" applyAlignment="1" applyProtection="1">
      <alignment horizontal="center"/>
      <protection locked="0"/>
    </xf>
    <xf numFmtId="1" fontId="2" fillId="38" borderId="0" xfId="19666" applyNumberFormat="1" applyFont="1" applyFill="1" applyBorder="1" applyAlignment="1" applyProtection="1">
      <alignment horizontal="center"/>
      <protection locked="0"/>
    </xf>
    <xf numFmtId="49" fontId="71" fillId="3" borderId="0" xfId="19649" applyNumberFormat="1" applyFont="1" applyFill="1" applyBorder="1" applyAlignment="1" applyProtection="1">
      <alignment horizontal="left"/>
      <protection locked="0"/>
    </xf>
    <xf numFmtId="164" fontId="2" fillId="3" borderId="0" xfId="5" applyFont="1" applyFill="1" applyBorder="1" applyAlignment="1" applyProtection="1">
      <protection locked="0"/>
    </xf>
    <xf numFmtId="164" fontId="71" fillId="3" borderId="0" xfId="5" applyFont="1" applyFill="1" applyBorder="1" applyAlignment="1" applyProtection="1">
      <protection locked="0"/>
    </xf>
    <xf numFmtId="1" fontId="27" fillId="3" borderId="0" xfId="5" applyNumberFormat="1" applyFont="1" applyFill="1" applyBorder="1" applyAlignment="1" applyProtection="1">
      <alignment horizontal="center"/>
      <protection locked="0"/>
    </xf>
    <xf numFmtId="49" fontId="2" fillId="39" borderId="5" xfId="5" applyNumberFormat="1" applyFont="1" applyFill="1" applyBorder="1" applyAlignment="1" applyProtection="1">
      <alignment horizontal="center"/>
      <protection locked="0"/>
    </xf>
    <xf numFmtId="49" fontId="2" fillId="39" borderId="0" xfId="5" applyNumberFormat="1" applyFont="1" applyFill="1" applyBorder="1" applyAlignment="1" applyProtection="1">
      <alignment horizontal="left"/>
      <protection locked="0"/>
    </xf>
    <xf numFmtId="49" fontId="71" fillId="39" borderId="0" xfId="5" applyNumberFormat="1" applyFont="1" applyFill="1" applyBorder="1" applyAlignment="1" applyProtection="1">
      <alignment horizontal="left"/>
      <protection locked="0"/>
    </xf>
    <xf numFmtId="49" fontId="2" fillId="39" borderId="0" xfId="13" applyNumberFormat="1" applyFont="1" applyFill="1" applyBorder="1" applyAlignment="1" applyProtection="1">
      <alignment horizontal="center"/>
      <protection locked="0"/>
    </xf>
    <xf numFmtId="1" fontId="2" fillId="39" borderId="0" xfId="5" applyNumberFormat="1" applyFont="1" applyFill="1" applyBorder="1" applyAlignment="1" applyProtection="1">
      <alignment horizontal="center"/>
      <protection locked="0"/>
    </xf>
    <xf numFmtId="165" fontId="36" fillId="0" borderId="5" xfId="19650" applyNumberFormat="1" applyFont="1" applyFill="1" applyBorder="1" applyAlignment="1">
      <alignment horizontal="right"/>
    </xf>
    <xf numFmtId="165" fontId="1" fillId="0" borderId="5" xfId="19650" applyNumberFormat="1" applyFont="1" applyFill="1" applyBorder="1" applyAlignment="1">
      <alignment horizontal="right"/>
    </xf>
    <xf numFmtId="165" fontId="1" fillId="0" borderId="10" xfId="19650" applyNumberFormat="1" applyFont="1" applyFill="1" applyBorder="1" applyAlignment="1">
      <alignment horizontal="right"/>
    </xf>
    <xf numFmtId="49" fontId="72" fillId="39" borderId="0" xfId="5" applyNumberFormat="1" applyFont="1" applyFill="1" applyBorder="1" applyAlignment="1" applyProtection="1">
      <alignment horizontal="left"/>
      <protection locked="0"/>
    </xf>
    <xf numFmtId="1" fontId="27" fillId="39" borderId="0" xfId="5" applyNumberFormat="1" applyFont="1" applyFill="1" applyBorder="1" applyAlignment="1" applyProtection="1">
      <alignment horizontal="center"/>
      <protection locked="0"/>
    </xf>
    <xf numFmtId="49" fontId="2" fillId="39" borderId="0" xfId="19665" applyNumberFormat="1" applyFont="1" applyFill="1" applyBorder="1" applyAlignment="1" applyProtection="1">
      <alignment horizontal="left"/>
      <protection locked="0"/>
    </xf>
    <xf numFmtId="49" fontId="2" fillId="39" borderId="0" xfId="120" applyNumberFormat="1" applyFont="1" applyFill="1" applyBorder="1" applyAlignment="1" applyProtection="1">
      <alignment horizontal="center"/>
      <protection locked="0"/>
    </xf>
    <xf numFmtId="0" fontId="2" fillId="39" borderId="0" xfId="120" applyNumberFormat="1" applyFont="1" applyFill="1" applyBorder="1" applyAlignment="1" applyProtection="1">
      <alignment horizontal="center"/>
      <protection locked="0"/>
    </xf>
    <xf numFmtId="49" fontId="2" fillId="39" borderId="5" xfId="19649" applyNumberFormat="1" applyFont="1" applyFill="1" applyBorder="1" applyAlignment="1" applyProtection="1">
      <alignment horizontal="center"/>
      <protection locked="0"/>
    </xf>
    <xf numFmtId="3" fontId="2" fillId="39" borderId="0" xfId="19665" applyFont="1" applyFill="1" applyBorder="1" applyAlignment="1" applyProtection="1">
      <protection locked="0"/>
    </xf>
    <xf numFmtId="1" fontId="2" fillId="39" borderId="0" xfId="19649" applyNumberFormat="1" applyFont="1" applyFill="1" applyBorder="1" applyAlignment="1" applyProtection="1">
      <alignment horizontal="center"/>
      <protection locked="0"/>
    </xf>
    <xf numFmtId="49" fontId="2" fillId="39" borderId="0" xfId="19649" applyNumberFormat="1" applyFont="1" applyFill="1" applyBorder="1" applyAlignment="1" applyProtection="1">
      <alignment horizontal="left"/>
      <protection locked="0"/>
    </xf>
    <xf numFmtId="49" fontId="2" fillId="39" borderId="5" xfId="19665" applyNumberFormat="1" applyFont="1" applyFill="1" applyBorder="1" applyAlignment="1" applyProtection="1">
      <alignment horizontal="center"/>
      <protection locked="0"/>
    </xf>
    <xf numFmtId="1" fontId="2" fillId="40" borderId="0" xfId="19666" applyNumberFormat="1" applyFont="1" applyFill="1" applyBorder="1" applyAlignment="1" applyProtection="1">
      <alignment horizontal="center"/>
      <protection locked="0"/>
    </xf>
    <xf numFmtId="49" fontId="71" fillId="39" borderId="0" xfId="19649" applyNumberFormat="1" applyFont="1" applyFill="1" applyBorder="1" applyAlignment="1" applyProtection="1">
      <alignment horizontal="left"/>
      <protection locked="0"/>
    </xf>
    <xf numFmtId="0" fontId="5" fillId="0" borderId="9" xfId="3" applyFont="1" applyFill="1" applyBorder="1" applyAlignment="1" applyProtection="1">
      <alignment horizontal="center" wrapText="1"/>
      <protection locked="0"/>
    </xf>
    <xf numFmtId="0" fontId="2" fillId="4" borderId="11" xfId="3" applyFont="1" applyFill="1" applyBorder="1" applyAlignment="1">
      <alignment horizontal="center" wrapText="1"/>
    </xf>
    <xf numFmtId="165" fontId="36" fillId="0" borderId="10" xfId="19650" applyNumberFormat="1" applyFont="1" applyFill="1" applyBorder="1" applyAlignment="1">
      <alignment horizontal="right"/>
    </xf>
    <xf numFmtId="1" fontId="5" fillId="39" borderId="0" xfId="5" applyNumberFormat="1" applyFont="1" applyFill="1" applyBorder="1" applyAlignment="1" applyProtection="1">
      <alignment horizontal="center"/>
      <protection locked="0"/>
    </xf>
    <xf numFmtId="1" fontId="5" fillId="39" borderId="0" xfId="19649" applyNumberFormat="1" applyFont="1" applyFill="1" applyBorder="1" applyAlignment="1" applyProtection="1">
      <alignment horizontal="center"/>
      <protection locked="0"/>
    </xf>
    <xf numFmtId="49" fontId="2" fillId="6" borderId="5" xfId="19648" applyNumberFormat="1" applyFont="1" applyFill="1" applyBorder="1" applyAlignment="1" applyProtection="1">
      <alignment horizontal="center"/>
      <protection locked="0"/>
    </xf>
    <xf numFmtId="49" fontId="2" fillId="6" borderId="0" xfId="19648" applyNumberFormat="1" applyFont="1" applyFill="1" applyBorder="1" applyAlignment="1" applyProtection="1">
      <alignment horizontal="left"/>
      <protection locked="0"/>
    </xf>
    <xf numFmtId="49" fontId="5" fillId="6" borderId="0" xfId="19648" applyNumberFormat="1" applyFont="1" applyFill="1" applyBorder="1" applyAlignment="1" applyProtection="1">
      <alignment horizontal="left"/>
      <protection locked="0"/>
    </xf>
    <xf numFmtId="1" fontId="2" fillId="6" borderId="0" xfId="19648" applyNumberFormat="1" applyFont="1" applyFill="1" applyBorder="1" applyAlignment="1" applyProtection="1">
      <alignment horizontal="center"/>
      <protection locked="0"/>
    </xf>
    <xf numFmtId="1" fontId="2" fillId="6" borderId="0" xfId="5" applyNumberFormat="1" applyFont="1" applyFill="1" applyBorder="1" applyAlignment="1" applyProtection="1">
      <alignment horizontal="center"/>
      <protection locked="0"/>
    </xf>
    <xf numFmtId="3" fontId="2" fillId="0" borderId="5" xfId="19667" applyNumberFormat="1" applyFont="1" applyFill="1" applyBorder="1" applyAlignment="1" applyProtection="1">
      <alignment horizontal="right"/>
      <protection locked="0"/>
    </xf>
    <xf numFmtId="3" fontId="2" fillId="10" borderId="5" xfId="19667" applyNumberFormat="1" applyFont="1" applyFill="1" applyBorder="1" applyAlignment="1" applyProtection="1">
      <alignment horizontal="right"/>
      <protection locked="0"/>
    </xf>
    <xf numFmtId="3" fontId="2" fillId="0" borderId="10" xfId="19667" applyNumberFormat="1" applyFont="1" applyFill="1" applyBorder="1" applyAlignment="1" applyProtection="1">
      <alignment horizontal="right"/>
      <protection locked="0"/>
    </xf>
    <xf numFmtId="3" fontId="2" fillId="0" borderId="5" xfId="19668" applyNumberFormat="1" applyFont="1" applyFill="1" applyBorder="1" applyAlignment="1" applyProtection="1">
      <alignment horizontal="right"/>
      <protection locked="0"/>
    </xf>
    <xf numFmtId="3" fontId="2" fillId="10" borderId="10" xfId="19667" applyNumberFormat="1" applyFont="1" applyFill="1" applyBorder="1" applyAlignment="1" applyProtection="1">
      <alignment horizontal="right"/>
      <protection locked="0"/>
    </xf>
    <xf numFmtId="49" fontId="27" fillId="6" borderId="0" xfId="19648" applyNumberFormat="1" applyFont="1" applyFill="1" applyBorder="1" applyAlignment="1" applyProtection="1">
      <alignment horizontal="left"/>
      <protection locked="0"/>
    </xf>
    <xf numFmtId="3" fontId="2" fillId="0" borderId="5" xfId="6" applyNumberFormat="1" applyFont="1" applyFill="1" applyBorder="1" applyAlignment="1" applyProtection="1">
      <alignment horizontal="right"/>
      <protection locked="0"/>
    </xf>
    <xf numFmtId="3" fontId="2" fillId="0" borderId="10" xfId="6" applyNumberFormat="1" applyFont="1" applyFill="1" applyBorder="1" applyAlignment="1" applyProtection="1">
      <alignment horizontal="right"/>
      <protection locked="0"/>
    </xf>
    <xf numFmtId="49" fontId="5" fillId="6" borderId="0" xfId="19651" applyNumberFormat="1" applyFont="1" applyFill="1" applyBorder="1" applyAlignment="1" applyProtection="1">
      <alignment horizontal="left"/>
      <protection locked="0"/>
    </xf>
    <xf numFmtId="1" fontId="2" fillId="6" borderId="0" xfId="19651" applyNumberFormat="1" applyFont="1" applyFill="1" applyBorder="1" applyAlignment="1" applyProtection="1">
      <alignment horizontal="center"/>
      <protection locked="0"/>
    </xf>
    <xf numFmtId="1" fontId="2" fillId="6" borderId="0" xfId="19649" applyNumberFormat="1" applyFont="1" applyFill="1" applyBorder="1" applyAlignment="1" applyProtection="1">
      <alignment horizontal="center"/>
      <protection locked="0"/>
    </xf>
    <xf numFmtId="3" fontId="2" fillId="0" borderId="5" xfId="19669" applyNumberFormat="1" applyFont="1" applyFill="1" applyBorder="1" applyAlignment="1" applyProtection="1">
      <alignment horizontal="right"/>
      <protection locked="0"/>
    </xf>
    <xf numFmtId="49" fontId="2" fillId="6" borderId="0" xfId="19648" applyNumberFormat="1" applyFont="1" applyFill="1" applyBorder="1" applyAlignment="1" applyProtection="1">
      <alignment horizontal="center"/>
      <protection locked="0"/>
    </xf>
    <xf numFmtId="49" fontId="2" fillId="3" borderId="0" xfId="19648" applyNumberFormat="1" applyFont="1" applyFill="1" applyBorder="1" applyAlignment="1" applyProtection="1">
      <alignment horizontal="center"/>
      <protection locked="0"/>
    </xf>
    <xf numFmtId="49" fontId="2" fillId="3" borderId="0" xfId="19648" applyNumberFormat="1" applyFont="1" applyFill="1" applyBorder="1" applyAlignment="1" applyProtection="1">
      <alignment horizontal="left"/>
      <protection locked="0"/>
    </xf>
    <xf numFmtId="49" fontId="71" fillId="3" borderId="0" xfId="19648" applyNumberFormat="1" applyFont="1" applyFill="1" applyBorder="1" applyAlignment="1" applyProtection="1">
      <alignment horizontal="left"/>
      <protection locked="0"/>
    </xf>
    <xf numFmtId="1" fontId="2" fillId="3" borderId="0" xfId="19648" applyNumberFormat="1" applyFont="1" applyFill="1" applyBorder="1" applyAlignment="1" applyProtection="1">
      <alignment horizontal="center"/>
      <protection locked="0"/>
    </xf>
    <xf numFmtId="49" fontId="71" fillId="3" borderId="0" xfId="19651" applyNumberFormat="1" applyFont="1" applyFill="1" applyBorder="1" applyAlignment="1" applyProtection="1">
      <alignment horizontal="left"/>
      <protection locked="0"/>
    </xf>
    <xf numFmtId="1" fontId="2" fillId="3" borderId="0" xfId="19651" applyNumberFormat="1" applyFont="1" applyFill="1" applyBorder="1" applyAlignment="1" applyProtection="1">
      <alignment horizontal="center"/>
      <protection locked="0"/>
    </xf>
    <xf numFmtId="49" fontId="72" fillId="3" borderId="0" xfId="19648" applyNumberFormat="1" applyFont="1" applyFill="1" applyBorder="1" applyAlignment="1" applyProtection="1">
      <alignment horizontal="left"/>
      <protection locked="0"/>
    </xf>
    <xf numFmtId="49" fontId="2" fillId="41" borderId="5" xfId="19648" applyNumberFormat="1" applyFont="1" applyFill="1" applyBorder="1" applyAlignment="1" applyProtection="1">
      <alignment horizontal="center"/>
      <protection locked="0"/>
    </xf>
    <xf numFmtId="49" fontId="2" fillId="41" borderId="0" xfId="19648" applyNumberFormat="1" applyFont="1" applyFill="1" applyBorder="1" applyAlignment="1" applyProtection="1">
      <alignment horizontal="left"/>
      <protection locked="0"/>
    </xf>
    <xf numFmtId="49" fontId="71" fillId="41" borderId="0" xfId="19648" applyNumberFormat="1" applyFont="1" applyFill="1" applyBorder="1" applyAlignment="1" applyProtection="1">
      <alignment horizontal="left"/>
      <protection locked="0"/>
    </xf>
    <xf numFmtId="1" fontId="2" fillId="41" borderId="0" xfId="19651" applyNumberFormat="1" applyFont="1" applyFill="1" applyBorder="1" applyAlignment="1" applyProtection="1">
      <alignment horizontal="center"/>
      <protection locked="0"/>
    </xf>
    <xf numFmtId="1" fontId="2" fillId="41" borderId="0" xfId="19649" applyNumberFormat="1" applyFont="1" applyFill="1" applyBorder="1" applyAlignment="1" applyProtection="1">
      <alignment horizontal="center"/>
      <protection locked="0"/>
    </xf>
    <xf numFmtId="3" fontId="2" fillId="36" borderId="10" xfId="19650" applyNumberFormat="1" applyFont="1" applyFill="1" applyBorder="1" applyAlignment="1" applyProtection="1">
      <alignment horizontal="right"/>
      <protection locked="0"/>
    </xf>
    <xf numFmtId="3" fontId="2" fillId="36" borderId="5" xfId="19650" applyNumberFormat="1" applyFont="1" applyFill="1" applyBorder="1" applyAlignment="1" applyProtection="1">
      <alignment horizontal="right"/>
      <protection locked="0"/>
    </xf>
    <xf numFmtId="3" fontId="2" fillId="0" borderId="5" xfId="6044" applyNumberFormat="1" applyFont="1" applyFill="1" applyBorder="1" applyAlignment="1">
      <alignment horizontal="right"/>
    </xf>
    <xf numFmtId="49" fontId="2" fillId="41" borderId="0" xfId="19648" applyNumberFormat="1" applyFont="1" applyFill="1" applyBorder="1" applyAlignment="1" applyProtection="1">
      <alignment horizontal="center"/>
      <protection locked="0"/>
    </xf>
    <xf numFmtId="49" fontId="71" fillId="37" borderId="0" xfId="19651" applyNumberFormat="1" applyFont="1" applyFill="1" applyBorder="1" applyAlignment="1" applyProtection="1">
      <alignment horizontal="left"/>
      <protection locked="0"/>
    </xf>
    <xf numFmtId="49" fontId="71" fillId="37" borderId="0" xfId="19648" applyNumberFormat="1" applyFont="1" applyFill="1" applyBorder="1" applyAlignment="1" applyProtection="1">
      <alignment horizontal="left"/>
      <protection locked="0"/>
    </xf>
    <xf numFmtId="1" fontId="2" fillId="37" borderId="0" xfId="19648" applyNumberFormat="1" applyFont="1" applyFill="1" applyBorder="1" applyAlignment="1" applyProtection="1">
      <alignment horizontal="center"/>
      <protection locked="0"/>
    </xf>
    <xf numFmtId="0" fontId="2" fillId="37" borderId="0" xfId="5" applyNumberFormat="1" applyFont="1" applyFill="1" applyBorder="1" applyAlignment="1" applyProtection="1">
      <alignment horizontal="center"/>
      <protection locked="0"/>
    </xf>
    <xf numFmtId="49" fontId="2" fillId="37" borderId="0" xfId="8" applyNumberFormat="1" applyFont="1" applyFill="1" applyBorder="1" applyAlignment="1" applyProtection="1">
      <alignment horizontal="left"/>
      <protection locked="0"/>
    </xf>
    <xf numFmtId="164" fontId="2" fillId="37" borderId="0" xfId="19648" applyFont="1" applyFill="1" applyBorder="1" applyProtection="1">
      <protection locked="0"/>
    </xf>
    <xf numFmtId="164" fontId="71" fillId="37" borderId="0" xfId="19648" applyFont="1" applyFill="1" applyBorder="1" applyProtection="1">
      <protection locked="0"/>
    </xf>
    <xf numFmtId="49" fontId="72" fillId="37" borderId="0" xfId="19648" applyNumberFormat="1" applyFont="1" applyFill="1" applyBorder="1" applyAlignment="1" applyProtection="1">
      <alignment horizontal="left"/>
      <protection locked="0"/>
    </xf>
    <xf numFmtId="3" fontId="31" fillId="10" borderId="10" xfId="19650" applyNumberFormat="1" applyFont="1" applyFill="1" applyBorder="1" applyAlignment="1" applyProtection="1">
      <alignment horizontal="right"/>
      <protection locked="0"/>
    </xf>
    <xf numFmtId="3" fontId="31" fillId="0" borderId="5" xfId="19650" applyNumberFormat="1" applyFont="1" applyFill="1" applyBorder="1" applyAlignment="1" applyProtection="1">
      <alignment horizontal="right"/>
      <protection locked="0"/>
    </xf>
    <xf numFmtId="3" fontId="31" fillId="10" borderId="5" xfId="19650" applyNumberFormat="1" applyFont="1" applyFill="1" applyBorder="1" applyAlignment="1" applyProtection="1">
      <alignment horizontal="right"/>
      <protection locked="0"/>
    </xf>
    <xf numFmtId="1" fontId="27" fillId="37" borderId="0" xfId="5" applyNumberFormat="1" applyFont="1" applyFill="1" applyBorder="1" applyAlignment="1" applyProtection="1">
      <alignment horizontal="center"/>
      <protection locked="0"/>
    </xf>
    <xf numFmtId="49" fontId="2" fillId="5" borderId="5" xfId="19651" applyNumberFormat="1" applyFont="1" applyFill="1" applyBorder="1" applyAlignment="1" applyProtection="1">
      <alignment horizontal="center"/>
      <protection locked="0"/>
    </xf>
    <xf numFmtId="49" fontId="2" fillId="5" borderId="0" xfId="19651" applyNumberFormat="1" applyFont="1" applyFill="1" applyBorder="1" applyAlignment="1" applyProtection="1">
      <alignment horizontal="left"/>
      <protection locked="0"/>
    </xf>
    <xf numFmtId="49" fontId="71" fillId="42" borderId="0" xfId="19648" applyNumberFormat="1" applyFont="1" applyFill="1" applyBorder="1" applyAlignment="1" applyProtection="1">
      <alignment horizontal="left"/>
      <protection locked="0"/>
    </xf>
    <xf numFmtId="1" fontId="2" fillId="5" borderId="0" xfId="19651" applyNumberFormat="1" applyFont="1" applyFill="1" applyBorder="1" applyAlignment="1" applyProtection="1">
      <alignment horizontal="center"/>
      <protection locked="0"/>
    </xf>
    <xf numFmtId="1" fontId="2" fillId="5" borderId="0" xfId="19649" applyNumberFormat="1" applyFont="1" applyFill="1" applyBorder="1" applyAlignment="1" applyProtection="1">
      <alignment horizontal="center"/>
      <protection locked="0"/>
    </xf>
    <xf numFmtId="3" fontId="2" fillId="10" borderId="10" xfId="19650" applyNumberFormat="1" applyFont="1" applyFill="1" applyBorder="1" applyProtection="1">
      <protection locked="0"/>
    </xf>
    <xf numFmtId="3" fontId="36" fillId="0" borderId="0" xfId="19670" applyNumberFormat="1"/>
    <xf numFmtId="3" fontId="36" fillId="0" borderId="10" xfId="19671" applyNumberFormat="1" applyBorder="1"/>
    <xf numFmtId="0" fontId="2" fillId="10" borderId="10" xfId="0" applyFont="1" applyFill="1" applyBorder="1"/>
    <xf numFmtId="0" fontId="2" fillId="0" borderId="5" xfId="0" applyFont="1" applyFill="1" applyBorder="1" applyAlignment="1">
      <alignment horizontal="right"/>
    </xf>
    <xf numFmtId="0" fontId="2" fillId="10" borderId="5" xfId="0" applyFont="1" applyFill="1" applyBorder="1" applyAlignment="1">
      <alignment horizontal="right"/>
    </xf>
    <xf numFmtId="0" fontId="2" fillId="0" borderId="10" xfId="0" applyFont="1" applyFill="1" applyBorder="1" applyAlignment="1">
      <alignment horizontal="right"/>
    </xf>
    <xf numFmtId="49" fontId="2" fillId="5" borderId="0" xfId="19648" applyNumberFormat="1" applyFont="1" applyFill="1" applyBorder="1" applyAlignment="1" applyProtection="1">
      <alignment horizontal="left"/>
      <protection locked="0"/>
    </xf>
    <xf numFmtId="49" fontId="72" fillId="42" borderId="0" xfId="19648" applyNumberFormat="1" applyFont="1" applyFill="1" applyBorder="1" applyAlignment="1" applyProtection="1">
      <alignment horizontal="left"/>
      <protection locked="0"/>
    </xf>
    <xf numFmtId="49" fontId="2" fillId="5" borderId="5" xfId="19665" applyNumberFormat="1" applyFont="1" applyFill="1" applyBorder="1" applyAlignment="1" applyProtection="1">
      <alignment horizontal="center"/>
      <protection locked="0"/>
    </xf>
    <xf numFmtId="49" fontId="2" fillId="5" borderId="0" xfId="19651" applyNumberFormat="1" applyFont="1" applyFill="1" applyBorder="1" applyAlignment="1" applyProtection="1">
      <alignment horizontal="center"/>
      <protection locked="0"/>
    </xf>
    <xf numFmtId="49" fontId="2" fillId="5" borderId="0" xfId="19665" applyNumberFormat="1" applyFont="1" applyFill="1" applyBorder="1" applyAlignment="1" applyProtection="1">
      <alignment horizontal="center"/>
      <protection locked="0"/>
    </xf>
    <xf numFmtId="49" fontId="2" fillId="42" borderId="0" xfId="19648" applyNumberFormat="1" applyFont="1" applyFill="1" applyBorder="1" applyAlignment="1" applyProtection="1">
      <alignment horizontal="left"/>
      <protection locked="0"/>
    </xf>
    <xf numFmtId="1" fontId="2" fillId="5" borderId="0" xfId="5" applyNumberFormat="1" applyFont="1" applyFill="1" applyBorder="1" applyAlignment="1" applyProtection="1">
      <alignment horizontal="center"/>
      <protection locked="0"/>
    </xf>
    <xf numFmtId="49" fontId="2" fillId="36" borderId="0" xfId="19648" applyNumberFormat="1" applyFont="1" applyFill="1" applyBorder="1" applyAlignment="1" applyProtection="1">
      <alignment horizontal="left"/>
      <protection locked="0"/>
    </xf>
    <xf numFmtId="1" fontId="2" fillId="5" borderId="0" xfId="19648" applyNumberFormat="1" applyFont="1" applyFill="1" applyBorder="1" applyAlignment="1" applyProtection="1">
      <alignment horizontal="center"/>
      <protection locked="0"/>
    </xf>
    <xf numFmtId="3" fontId="31" fillId="0" borderId="0" xfId="19670" applyNumberFormat="1" applyFont="1"/>
    <xf numFmtId="3" fontId="1" fillId="36" borderId="10" xfId="19663" applyNumberFormat="1" applyFill="1" applyBorder="1"/>
    <xf numFmtId="3" fontId="31" fillId="36" borderId="10" xfId="19663" applyNumberFormat="1" applyFont="1" applyFill="1" applyBorder="1"/>
    <xf numFmtId="3" fontId="31" fillId="0" borderId="10" xfId="19671" applyNumberFormat="1" applyFont="1" applyBorder="1"/>
    <xf numFmtId="0" fontId="0" fillId="0" borderId="5" xfId="0" applyBorder="1"/>
    <xf numFmtId="3" fontId="1" fillId="36" borderId="10" xfId="19659" applyNumberFormat="1" applyFill="1" applyBorder="1"/>
    <xf numFmtId="3" fontId="31" fillId="36" borderId="10" xfId="19659" applyNumberFormat="1" applyFont="1" applyFill="1" applyBorder="1"/>
    <xf numFmtId="49" fontId="2" fillId="5" borderId="5" xfId="5" applyNumberFormat="1" applyFont="1" applyFill="1" applyBorder="1" applyAlignment="1" applyProtection="1">
      <alignment horizontal="center"/>
      <protection locked="0"/>
    </xf>
    <xf numFmtId="49" fontId="2" fillId="5" borderId="0" xfId="5" applyNumberFormat="1" applyFont="1" applyFill="1" applyBorder="1" applyAlignment="1" applyProtection="1">
      <alignment horizontal="left"/>
      <protection locked="0"/>
    </xf>
    <xf numFmtId="49" fontId="5" fillId="5" borderId="0" xfId="5" applyNumberFormat="1" applyFont="1" applyFill="1" applyBorder="1" applyAlignment="1" applyProtection="1">
      <alignment horizontal="left"/>
      <protection locked="0"/>
    </xf>
    <xf numFmtId="3" fontId="37" fillId="0" borderId="10" xfId="0" applyNumberFormat="1" applyFont="1" applyFill="1" applyBorder="1" applyAlignment="1" applyProtection="1">
      <alignment horizontal="right" wrapText="1"/>
    </xf>
    <xf numFmtId="3" fontId="37" fillId="0" borderId="5" xfId="0" applyNumberFormat="1" applyFont="1" applyFill="1" applyBorder="1" applyAlignment="1" applyProtection="1">
      <alignment horizontal="right" wrapText="1"/>
    </xf>
    <xf numFmtId="49" fontId="71" fillId="5" borderId="0" xfId="5" applyNumberFormat="1" applyFont="1" applyFill="1" applyBorder="1" applyAlignment="1" applyProtection="1">
      <alignment horizontal="left"/>
      <protection locked="0"/>
    </xf>
    <xf numFmtId="3" fontId="2" fillId="0" borderId="5" xfId="19650" applyNumberFormat="1" applyFont="1" applyFill="1" applyBorder="1" applyAlignment="1" applyProtection="1">
      <alignment horizontal="right" wrapText="1"/>
      <protection locked="0"/>
    </xf>
    <xf numFmtId="3" fontId="2" fillId="0" borderId="5" xfId="6054" applyNumberFormat="1" applyFont="1" applyFill="1" applyBorder="1" applyAlignment="1" applyProtection="1">
      <alignment horizontal="right"/>
      <protection locked="0"/>
    </xf>
    <xf numFmtId="3" fontId="2" fillId="0" borderId="5" xfId="1353" applyNumberFormat="1" applyFont="1" applyFill="1" applyBorder="1" applyAlignment="1" applyProtection="1">
      <alignment horizontal="right"/>
      <protection locked="0"/>
    </xf>
    <xf numFmtId="3" fontId="2" fillId="0" borderId="5" xfId="1923" applyNumberFormat="1" applyFont="1" applyFill="1" applyBorder="1" applyAlignment="1" applyProtection="1">
      <alignment horizontal="right"/>
      <protection locked="0"/>
    </xf>
    <xf numFmtId="49" fontId="5" fillId="5" borderId="0" xfId="19672" applyNumberFormat="1" applyFont="1" applyFill="1" applyBorder="1" applyAlignment="1" applyProtection="1">
      <alignment horizontal="left"/>
      <protection locked="0"/>
    </xf>
    <xf numFmtId="49" fontId="2" fillId="5" borderId="0" xfId="19673" applyNumberFormat="1" applyFont="1" applyFill="1" applyBorder="1" applyAlignment="1" applyProtection="1">
      <alignment horizontal="center"/>
      <protection locked="0"/>
    </xf>
    <xf numFmtId="49" fontId="71" fillId="5" borderId="0" xfId="19649" applyNumberFormat="1" applyFont="1" applyFill="1" applyBorder="1" applyAlignment="1" applyProtection="1">
      <alignment horizontal="left"/>
      <protection locked="0"/>
    </xf>
    <xf numFmtId="3" fontId="71" fillId="5" borderId="0" xfId="19665" applyFont="1" applyFill="1" applyBorder="1" applyAlignment="1" applyProtection="1">
      <protection locked="0"/>
    </xf>
    <xf numFmtId="3" fontId="2" fillId="5" borderId="0" xfId="19665" applyFont="1" applyFill="1" applyBorder="1" applyAlignment="1" applyProtection="1">
      <protection locked="0"/>
    </xf>
    <xf numFmtId="3" fontId="31" fillId="0" borderId="5" xfId="6" applyNumberFormat="1" applyFont="1" applyFill="1" applyBorder="1" applyAlignment="1" applyProtection="1">
      <alignment horizontal="right"/>
    </xf>
    <xf numFmtId="1" fontId="27" fillId="5" borderId="0" xfId="5" applyNumberFormat="1" applyFont="1" applyFill="1" applyBorder="1" applyAlignment="1" applyProtection="1">
      <alignment horizontal="center"/>
      <protection locked="0"/>
    </xf>
    <xf numFmtId="49" fontId="2" fillId="41" borderId="5" xfId="5" applyNumberFormat="1" applyFont="1" applyFill="1" applyBorder="1" applyAlignment="1" applyProtection="1">
      <alignment horizontal="center"/>
      <protection locked="0"/>
    </xf>
    <xf numFmtId="49" fontId="2" fillId="41" borderId="0" xfId="5" applyNumberFormat="1" applyFont="1" applyFill="1" applyBorder="1" applyAlignment="1" applyProtection="1">
      <alignment horizontal="left"/>
      <protection locked="0"/>
    </xf>
    <xf numFmtId="49" fontId="71" fillId="41" borderId="0" xfId="5" applyNumberFormat="1" applyFont="1" applyFill="1" applyBorder="1" applyAlignment="1" applyProtection="1">
      <alignment horizontal="left"/>
      <protection locked="0"/>
    </xf>
    <xf numFmtId="1" fontId="2" fillId="41" borderId="0" xfId="5" applyNumberFormat="1" applyFont="1" applyFill="1" applyBorder="1" applyAlignment="1" applyProtection="1">
      <alignment horizontal="center"/>
      <protection locked="0"/>
    </xf>
    <xf numFmtId="3" fontId="2" fillId="0" borderId="5" xfId="502" applyNumberFormat="1" applyFont="1" applyFill="1" applyBorder="1" applyAlignment="1" applyProtection="1">
      <alignment horizontal="right"/>
      <protection locked="0"/>
    </xf>
    <xf numFmtId="3" fontId="2" fillId="0" borderId="10" xfId="502" applyNumberFormat="1" applyFont="1" applyFill="1" applyBorder="1" applyAlignment="1" applyProtection="1">
      <alignment horizontal="right"/>
      <protection locked="0"/>
    </xf>
    <xf numFmtId="49" fontId="72" fillId="41" borderId="0" xfId="5" applyNumberFormat="1" applyFont="1" applyFill="1" applyBorder="1" applyAlignment="1" applyProtection="1">
      <alignment horizontal="left"/>
      <protection locked="0"/>
    </xf>
    <xf numFmtId="1" fontId="27" fillId="41" borderId="0" xfId="5" applyNumberFormat="1" applyFont="1" applyFill="1" applyBorder="1" applyAlignment="1" applyProtection="1">
      <alignment horizontal="center"/>
      <protection locked="0"/>
    </xf>
    <xf numFmtId="49" fontId="2" fillId="43" borderId="0" xfId="19649" applyNumberFormat="1" applyFont="1" applyFill="1" applyBorder="1" applyAlignment="1" applyProtection="1">
      <alignment horizontal="center"/>
      <protection locked="0"/>
    </xf>
    <xf numFmtId="49" fontId="2" fillId="43" borderId="0" xfId="5" applyNumberFormat="1" applyFont="1" applyFill="1" applyBorder="1" applyAlignment="1" applyProtection="1">
      <alignment horizontal="left"/>
      <protection locked="0"/>
    </xf>
    <xf numFmtId="3" fontId="72" fillId="43" borderId="0" xfId="19665" applyFont="1" applyFill="1" applyBorder="1" applyAlignment="1" applyProtection="1">
      <protection locked="0"/>
    </xf>
    <xf numFmtId="1" fontId="2" fillId="43" borderId="0" xfId="19649" applyNumberFormat="1" applyFont="1" applyFill="1" applyBorder="1" applyAlignment="1" applyProtection="1">
      <alignment horizontal="center"/>
      <protection locked="0"/>
    </xf>
    <xf numFmtId="1" fontId="27" fillId="43" borderId="0" xfId="19649" applyNumberFormat="1" applyFont="1" applyFill="1" applyBorder="1" applyAlignment="1" applyProtection="1">
      <alignment horizontal="center"/>
      <protection locked="0"/>
    </xf>
    <xf numFmtId="49" fontId="2" fillId="43" borderId="0" xfId="19649" applyNumberFormat="1" applyFont="1" applyFill="1" applyBorder="1" applyAlignment="1" applyProtection="1">
      <alignment horizontal="left"/>
      <protection locked="0"/>
    </xf>
    <xf numFmtId="49" fontId="71" fillId="43" borderId="0" xfId="19649" applyNumberFormat="1" applyFont="1" applyFill="1" applyBorder="1" applyAlignment="1" applyProtection="1">
      <alignment horizontal="left"/>
      <protection locked="0"/>
    </xf>
    <xf numFmtId="49" fontId="71" fillId="43" borderId="0" xfId="5" applyNumberFormat="1" applyFont="1" applyFill="1" applyBorder="1" applyAlignment="1" applyProtection="1">
      <alignment horizontal="left"/>
      <protection locked="0"/>
    </xf>
    <xf numFmtId="49" fontId="2" fillId="44" borderId="0" xfId="5" applyNumberFormat="1" applyFont="1" applyFill="1" applyBorder="1" applyAlignment="1" applyProtection="1">
      <alignment horizontal="left"/>
      <protection locked="0"/>
    </xf>
    <xf numFmtId="1" fontId="2" fillId="43" borderId="0" xfId="5" applyNumberFormat="1" applyFont="1" applyFill="1" applyBorder="1" applyAlignment="1" applyProtection="1">
      <alignment horizontal="center"/>
      <protection locked="0"/>
    </xf>
    <xf numFmtId="49" fontId="75" fillId="43" borderId="0" xfId="5" applyNumberFormat="1" applyFont="1" applyFill="1" applyBorder="1" applyAlignment="1" applyProtection="1">
      <alignment horizontal="left"/>
      <protection locked="0"/>
    </xf>
    <xf numFmtId="49" fontId="2" fillId="43" borderId="0" xfId="19665" applyNumberFormat="1" applyFont="1" applyFill="1" applyBorder="1" applyAlignment="1" applyProtection="1">
      <alignment horizontal="center"/>
      <protection locked="0"/>
    </xf>
    <xf numFmtId="1" fontId="2" fillId="43" borderId="0" xfId="19665" applyNumberFormat="1" applyFont="1" applyFill="1" applyBorder="1" applyAlignment="1" applyProtection="1">
      <alignment horizontal="center"/>
      <protection locked="0"/>
    </xf>
    <xf numFmtId="1" fontId="5" fillId="43" borderId="0" xfId="19649" applyNumberFormat="1" applyFont="1" applyFill="1" applyBorder="1" applyAlignment="1" applyProtection="1">
      <alignment horizontal="center"/>
      <protection locked="0"/>
    </xf>
    <xf numFmtId="49" fontId="2" fillId="5" borderId="0" xfId="19648" applyNumberFormat="1" applyFont="1" applyFill="1" applyBorder="1" applyAlignment="1" applyProtection="1">
      <alignment horizontal="center"/>
      <protection locked="0"/>
    </xf>
    <xf numFmtId="49" fontId="71" fillId="5" borderId="0" xfId="19648" applyNumberFormat="1" applyFont="1" applyFill="1" applyBorder="1" applyAlignment="1" applyProtection="1">
      <alignment horizontal="left"/>
      <protection locked="0"/>
    </xf>
    <xf numFmtId="49" fontId="72" fillId="5" borderId="0" xfId="19648" applyNumberFormat="1" applyFont="1" applyFill="1" applyBorder="1" applyAlignment="1" applyProtection="1">
      <alignment horizontal="left"/>
      <protection locked="0"/>
    </xf>
    <xf numFmtId="49" fontId="2" fillId="5" borderId="5" xfId="19648" applyNumberFormat="1" applyFont="1" applyFill="1" applyBorder="1" applyAlignment="1" applyProtection="1">
      <alignment horizontal="center"/>
      <protection locked="0"/>
    </xf>
    <xf numFmtId="49" fontId="2" fillId="5" borderId="0" xfId="19665" applyNumberFormat="1" applyFont="1" applyFill="1" applyBorder="1" applyAlignment="1" applyProtection="1">
      <alignment horizontal="left"/>
      <protection locked="0"/>
    </xf>
    <xf numFmtId="49" fontId="71" fillId="5" borderId="0" xfId="19665" applyNumberFormat="1" applyFont="1" applyFill="1" applyBorder="1" applyAlignment="1" applyProtection="1">
      <alignment horizontal="left"/>
      <protection locked="0"/>
    </xf>
    <xf numFmtId="1" fontId="2" fillId="5" borderId="0" xfId="19665" applyNumberFormat="1" applyFont="1" applyFill="1" applyBorder="1" applyAlignment="1" applyProtection="1">
      <alignment horizontal="center"/>
      <protection locked="0"/>
    </xf>
    <xf numFmtId="1" fontId="2" fillId="45" borderId="0" xfId="19666" applyNumberFormat="1" applyFont="1" applyFill="1" applyBorder="1" applyAlignment="1" applyProtection="1">
      <alignment horizontal="center"/>
      <protection locked="0"/>
    </xf>
    <xf numFmtId="49" fontId="2" fillId="6" borderId="0" xfId="5" applyNumberFormat="1" applyFont="1" applyFill="1" applyBorder="1" applyAlignment="1" applyProtection="1">
      <alignment horizontal="center"/>
      <protection locked="0"/>
    </xf>
    <xf numFmtId="49" fontId="2" fillId="6" borderId="0" xfId="5" applyNumberFormat="1" applyFont="1" applyFill="1" applyBorder="1" applyAlignment="1" applyProtection="1">
      <alignment horizontal="left"/>
      <protection locked="0"/>
    </xf>
    <xf numFmtId="49" fontId="71" fillId="6" borderId="0" xfId="5" applyNumberFormat="1" applyFont="1" applyFill="1" applyBorder="1" applyAlignment="1" applyProtection="1">
      <alignment horizontal="left"/>
      <protection locked="0"/>
    </xf>
    <xf numFmtId="164" fontId="36" fillId="0" borderId="5" xfId="0" applyNumberFormat="1" applyFont="1" applyFill="1" applyBorder="1" applyAlignment="1" applyProtection="1">
      <alignment horizontal="right"/>
      <protection locked="0"/>
    </xf>
    <xf numFmtId="3" fontId="2" fillId="10" borderId="5" xfId="19656" applyNumberFormat="1" applyFont="1" applyFill="1" applyBorder="1" applyAlignment="1" applyProtection="1">
      <alignment horizontal="right"/>
      <protection locked="0"/>
    </xf>
    <xf numFmtId="3" fontId="2" fillId="0" borderId="5" xfId="19656" applyNumberFormat="1" applyFont="1" applyFill="1" applyBorder="1" applyAlignment="1" applyProtection="1">
      <alignment horizontal="right"/>
      <protection locked="0"/>
    </xf>
    <xf numFmtId="3" fontId="2" fillId="0" borderId="10" xfId="19656" applyNumberFormat="1" applyFont="1" applyFill="1" applyBorder="1" applyAlignment="1" applyProtection="1">
      <alignment horizontal="right"/>
      <protection locked="0"/>
    </xf>
    <xf numFmtId="49" fontId="2" fillId="6" borderId="5" xfId="5" applyNumberFormat="1" applyFont="1" applyFill="1" applyBorder="1" applyAlignment="1" applyProtection="1">
      <alignment horizontal="center"/>
      <protection locked="0"/>
    </xf>
    <xf numFmtId="49" fontId="72" fillId="6" borderId="0" xfId="5" applyNumberFormat="1" applyFont="1" applyFill="1" applyBorder="1" applyAlignment="1" applyProtection="1">
      <alignment horizontal="left"/>
      <protection locked="0"/>
    </xf>
    <xf numFmtId="49" fontId="2" fillId="6" borderId="0" xfId="19649" applyNumberFormat="1" applyFont="1" applyFill="1" applyBorder="1" applyAlignment="1" applyProtection="1">
      <alignment horizontal="center"/>
      <protection locked="0"/>
    </xf>
    <xf numFmtId="49" fontId="2" fillId="6" borderId="0" xfId="13" applyNumberFormat="1" applyFont="1" applyFill="1" applyBorder="1" applyAlignment="1" applyProtection="1">
      <alignment horizontal="left"/>
      <protection locked="0"/>
    </xf>
    <xf numFmtId="49" fontId="2" fillId="6" borderId="5" xfId="19649" applyNumberFormat="1" applyFont="1" applyFill="1" applyBorder="1" applyAlignment="1" applyProtection="1">
      <alignment horizontal="center"/>
      <protection locked="0"/>
    </xf>
    <xf numFmtId="49" fontId="2" fillId="6" borderId="0" xfId="19649" applyNumberFormat="1" applyFont="1" applyFill="1" applyBorder="1" applyAlignment="1" applyProtection="1">
      <alignment horizontal="left"/>
      <protection locked="0"/>
    </xf>
    <xf numFmtId="49" fontId="71" fillId="6" borderId="0" xfId="19649" applyNumberFormat="1" applyFont="1" applyFill="1" applyBorder="1" applyAlignment="1" applyProtection="1">
      <alignment horizontal="left"/>
      <protection locked="0"/>
    </xf>
    <xf numFmtId="0" fontId="2" fillId="6" borderId="0" xfId="19674" applyNumberFormat="1" applyFont="1" applyFill="1" applyBorder="1" applyAlignment="1" applyProtection="1">
      <protection locked="0"/>
    </xf>
    <xf numFmtId="0" fontId="71" fillId="6" borderId="0" xfId="19674" applyNumberFormat="1" applyFont="1" applyFill="1" applyBorder="1" applyAlignment="1" applyProtection="1">
      <protection locked="0"/>
    </xf>
    <xf numFmtId="49" fontId="2" fillId="39" borderId="0" xfId="19648" applyNumberFormat="1" applyFont="1" applyFill="1" applyBorder="1" applyAlignment="1" applyProtection="1">
      <alignment horizontal="left"/>
      <protection locked="0"/>
    </xf>
    <xf numFmtId="49" fontId="71" fillId="39" borderId="0" xfId="19651" applyNumberFormat="1" applyFont="1" applyFill="1" applyBorder="1" applyAlignment="1" applyProtection="1">
      <alignment horizontal="left"/>
      <protection locked="0"/>
    </xf>
    <xf numFmtId="1" fontId="2" fillId="39" borderId="0" xfId="19651" applyNumberFormat="1" applyFont="1" applyFill="1" applyBorder="1" applyAlignment="1" applyProtection="1">
      <alignment horizontal="center"/>
      <protection locked="0"/>
    </xf>
    <xf numFmtId="49" fontId="71" fillId="39" borderId="0" xfId="19665" applyNumberFormat="1" applyFont="1" applyFill="1" applyBorder="1" applyAlignment="1" applyProtection="1">
      <alignment horizontal="left"/>
      <protection locked="0"/>
    </xf>
    <xf numFmtId="1" fontId="2" fillId="39" borderId="0" xfId="19665" applyNumberFormat="1" applyFont="1" applyFill="1" applyBorder="1" applyAlignment="1" applyProtection="1">
      <alignment horizontal="center"/>
      <protection locked="0"/>
    </xf>
    <xf numFmtId="49" fontId="71" fillId="39" borderId="0" xfId="19648" applyNumberFormat="1" applyFont="1" applyFill="1" applyBorder="1" applyAlignment="1" applyProtection="1">
      <alignment horizontal="left"/>
      <protection locked="0"/>
    </xf>
    <xf numFmtId="1" fontId="2" fillId="39" borderId="0" xfId="19648" applyNumberFormat="1" applyFont="1" applyFill="1" applyBorder="1" applyAlignment="1" applyProtection="1">
      <alignment horizontal="center"/>
      <protection locked="0"/>
    </xf>
    <xf numFmtId="3" fontId="71" fillId="39" borderId="0" xfId="19665" applyFont="1" applyFill="1" applyBorder="1" applyAlignment="1" applyProtection="1">
      <protection locked="0"/>
    </xf>
    <xf numFmtId="49" fontId="72" fillId="39" borderId="0" xfId="19648" applyNumberFormat="1" applyFont="1" applyFill="1" applyBorder="1" applyAlignment="1" applyProtection="1">
      <alignment horizontal="left"/>
      <protection locked="0"/>
    </xf>
    <xf numFmtId="1" fontId="27" fillId="39" borderId="0" xfId="19649" applyNumberFormat="1" applyFont="1" applyFill="1" applyBorder="1" applyAlignment="1" applyProtection="1">
      <alignment horizontal="center"/>
      <protection locked="0"/>
    </xf>
    <xf numFmtId="49" fontId="2" fillId="39" borderId="5" xfId="19651" applyNumberFormat="1" applyFont="1" applyFill="1" applyBorder="1" applyAlignment="1" applyProtection="1">
      <alignment horizontal="center"/>
      <protection locked="0"/>
    </xf>
    <xf numFmtId="49" fontId="2" fillId="39" borderId="0" xfId="19651" applyNumberFormat="1" applyFont="1" applyFill="1" applyBorder="1" applyAlignment="1" applyProtection="1">
      <alignment horizontal="left"/>
      <protection locked="0"/>
    </xf>
    <xf numFmtId="49" fontId="72" fillId="39" borderId="0" xfId="19651" applyNumberFormat="1" applyFont="1" applyFill="1" applyBorder="1" applyAlignment="1" applyProtection="1">
      <alignment horizontal="left"/>
      <protection locked="0"/>
    </xf>
    <xf numFmtId="49" fontId="2" fillId="43" borderId="5" xfId="19665" applyNumberFormat="1" applyFont="1" applyFill="1" applyBorder="1" applyAlignment="1" applyProtection="1">
      <alignment horizontal="center"/>
      <protection locked="0"/>
    </xf>
    <xf numFmtId="49" fontId="2" fillId="43" borderId="0" xfId="19648" applyNumberFormat="1" applyFont="1" applyFill="1" applyBorder="1" applyAlignment="1" applyProtection="1">
      <alignment horizontal="left"/>
      <protection locked="0"/>
    </xf>
    <xf numFmtId="49" fontId="71" fillId="43" borderId="0" xfId="19648" applyNumberFormat="1" applyFont="1" applyFill="1" applyBorder="1" applyAlignment="1" applyProtection="1">
      <alignment horizontal="left"/>
      <protection locked="0"/>
    </xf>
    <xf numFmtId="1" fontId="2" fillId="46" borderId="0" xfId="19675" applyNumberFormat="1" applyFont="1" applyFill="1" applyBorder="1" applyAlignment="1" applyProtection="1">
      <alignment horizontal="center"/>
      <protection locked="0"/>
    </xf>
    <xf numFmtId="49" fontId="2" fillId="43" borderId="5" xfId="19648" applyNumberFormat="1" applyFont="1" applyFill="1" applyBorder="1" applyAlignment="1" applyProtection="1">
      <alignment horizontal="center"/>
      <protection locked="0"/>
    </xf>
    <xf numFmtId="49" fontId="2" fillId="43" borderId="0" xfId="19648" applyNumberFormat="1" applyFont="1" applyFill="1" applyBorder="1" applyAlignment="1" applyProtection="1">
      <alignment horizontal="center"/>
      <protection locked="0"/>
    </xf>
    <xf numFmtId="49" fontId="5" fillId="43" borderId="0" xfId="19648" applyNumberFormat="1" applyFont="1" applyFill="1" applyBorder="1" applyAlignment="1" applyProtection="1">
      <alignment horizontal="center"/>
      <protection locked="0"/>
    </xf>
    <xf numFmtId="49" fontId="71" fillId="6" borderId="0" xfId="19648" applyNumberFormat="1" applyFont="1" applyFill="1" applyBorder="1" applyAlignment="1" applyProtection="1">
      <alignment horizontal="left"/>
      <protection locked="0"/>
    </xf>
    <xf numFmtId="3" fontId="76" fillId="0" borderId="10" xfId="0" applyNumberFormat="1" applyFont="1" applyFill="1" applyBorder="1" applyAlignment="1">
      <alignment horizontal="right" wrapText="1"/>
    </xf>
    <xf numFmtId="49" fontId="75" fillId="6" borderId="0" xfId="19648" applyNumberFormat="1" applyFont="1" applyFill="1" applyBorder="1" applyAlignment="1" applyProtection="1">
      <alignment horizontal="left"/>
      <protection locked="0"/>
    </xf>
    <xf numFmtId="49" fontId="2" fillId="6" borderId="0" xfId="19665" applyNumberFormat="1" applyFont="1" applyFill="1" applyBorder="1" applyAlignment="1" applyProtection="1">
      <alignment horizontal="center"/>
      <protection locked="0"/>
    </xf>
    <xf numFmtId="1" fontId="2" fillId="6" borderId="0" xfId="19665" applyNumberFormat="1" applyFont="1" applyFill="1" applyBorder="1" applyAlignment="1" applyProtection="1">
      <alignment horizontal="center"/>
      <protection locked="0"/>
    </xf>
    <xf numFmtId="1" fontId="2" fillId="47" borderId="0" xfId="19666" applyNumberFormat="1" applyFont="1" applyFill="1" applyBorder="1" applyAlignment="1" applyProtection="1">
      <alignment horizontal="center"/>
      <protection locked="0"/>
    </xf>
    <xf numFmtId="164" fontId="2" fillId="6" borderId="0" xfId="19648" applyFont="1" applyFill="1" applyBorder="1" applyProtection="1">
      <protection locked="0"/>
    </xf>
    <xf numFmtId="164" fontId="71" fillId="6" borderId="0" xfId="19648" applyFont="1" applyFill="1" applyBorder="1" applyProtection="1">
      <protection locked="0"/>
    </xf>
    <xf numFmtId="49" fontId="71" fillId="6" borderId="0" xfId="120" applyNumberFormat="1" applyFont="1" applyFill="1" applyBorder="1" applyAlignment="1" applyProtection="1">
      <alignment horizontal="left"/>
      <protection locked="0"/>
    </xf>
    <xf numFmtId="49" fontId="2" fillId="48" borderId="0" xfId="19648" applyNumberFormat="1" applyFont="1" applyFill="1" applyBorder="1" applyAlignment="1" applyProtection="1">
      <alignment horizontal="center"/>
      <protection locked="0"/>
    </xf>
    <xf numFmtId="49" fontId="2" fillId="48" borderId="0" xfId="19648" applyNumberFormat="1" applyFont="1" applyFill="1" applyBorder="1" applyAlignment="1" applyProtection="1">
      <alignment horizontal="left"/>
      <protection locked="0"/>
    </xf>
    <xf numFmtId="49" fontId="71" fillId="48" borderId="0" xfId="19648" applyNumberFormat="1" applyFont="1" applyFill="1" applyBorder="1" applyAlignment="1" applyProtection="1">
      <alignment horizontal="left"/>
      <protection locked="0"/>
    </xf>
    <xf numFmtId="1" fontId="2" fillId="48" borderId="0" xfId="19651" applyNumberFormat="1" applyFont="1" applyFill="1" applyBorder="1" applyAlignment="1" applyProtection="1">
      <alignment horizontal="center"/>
      <protection locked="0"/>
    </xf>
    <xf numFmtId="1" fontId="2" fillId="48" borderId="0" xfId="19649" applyNumberFormat="1" applyFont="1" applyFill="1" applyBorder="1" applyAlignment="1" applyProtection="1">
      <alignment horizontal="center"/>
      <protection locked="0"/>
    </xf>
    <xf numFmtId="3" fontId="36" fillId="0" borderId="5" xfId="0" applyNumberFormat="1" applyFont="1" applyFill="1" applyBorder="1" applyAlignment="1">
      <alignment horizontal="right"/>
    </xf>
    <xf numFmtId="49" fontId="72" fillId="48" borderId="0" xfId="19648" applyNumberFormat="1" applyFont="1" applyFill="1" applyBorder="1" applyAlignment="1" applyProtection="1">
      <alignment horizontal="left"/>
      <protection locked="0"/>
    </xf>
    <xf numFmtId="3" fontId="2" fillId="48" borderId="0" xfId="19665" applyFont="1" applyFill="1" applyBorder="1" applyAlignment="1" applyProtection="1">
      <protection locked="0"/>
    </xf>
    <xf numFmtId="3" fontId="71" fillId="48" borderId="0" xfId="19665" applyFont="1" applyFill="1" applyBorder="1" applyAlignment="1" applyProtection="1">
      <protection locked="0"/>
    </xf>
    <xf numFmtId="49" fontId="2" fillId="49" borderId="0" xfId="19648" applyNumberFormat="1" applyFont="1" applyFill="1" applyBorder="1" applyAlignment="1" applyProtection="1">
      <alignment horizontal="left"/>
      <protection locked="0"/>
    </xf>
    <xf numFmtId="49" fontId="71" fillId="49" borderId="0" xfId="19648" applyNumberFormat="1" applyFont="1" applyFill="1" applyBorder="1" applyAlignment="1" applyProtection="1">
      <alignment horizontal="left"/>
      <protection locked="0"/>
    </xf>
    <xf numFmtId="1" fontId="5" fillId="48" borderId="0" xfId="19649" applyNumberFormat="1" applyFont="1" applyFill="1" applyBorder="1" applyAlignment="1" applyProtection="1">
      <alignment horizontal="center"/>
      <protection locked="0"/>
    </xf>
    <xf numFmtId="49" fontId="71" fillId="48" borderId="0" xfId="19676" applyNumberFormat="1" applyFont="1" applyFill="1" applyBorder="1" applyAlignment="1" applyProtection="1">
      <alignment horizontal="left"/>
      <protection locked="0"/>
    </xf>
    <xf numFmtId="49" fontId="75" fillId="49" borderId="0" xfId="19648" applyNumberFormat="1" applyFont="1" applyFill="1" applyBorder="1" applyAlignment="1" applyProtection="1">
      <alignment horizontal="left"/>
      <protection locked="0"/>
    </xf>
    <xf numFmtId="49" fontId="2" fillId="48" borderId="0" xfId="19665" applyNumberFormat="1" applyFont="1" applyFill="1" applyBorder="1" applyAlignment="1" applyProtection="1">
      <alignment horizontal="left"/>
      <protection locked="0"/>
    </xf>
    <xf numFmtId="1" fontId="2" fillId="41" borderId="0" xfId="19648" applyNumberFormat="1" applyFont="1" applyFill="1" applyBorder="1" applyAlignment="1" applyProtection="1">
      <alignment horizontal="center"/>
      <protection locked="0"/>
    </xf>
    <xf numFmtId="49" fontId="72" fillId="41" borderId="0" xfId="19648" applyNumberFormat="1" applyFont="1" applyFill="1" applyBorder="1" applyAlignment="1" applyProtection="1">
      <alignment horizontal="left"/>
      <protection locked="0"/>
    </xf>
    <xf numFmtId="1" fontId="27" fillId="41" borderId="0" xfId="19665" quotePrefix="1" applyNumberFormat="1" applyFont="1" applyFill="1" applyBorder="1" applyAlignment="1" applyProtection="1">
      <alignment horizontal="center"/>
      <protection locked="0"/>
    </xf>
    <xf numFmtId="3" fontId="2" fillId="41" borderId="0" xfId="19665" applyFont="1" applyFill="1" applyBorder="1" applyAlignment="1" applyProtection="1">
      <protection locked="0"/>
    </xf>
    <xf numFmtId="3" fontId="71" fillId="41" borderId="0" xfId="19665" applyFont="1" applyFill="1" applyBorder="1" applyAlignment="1" applyProtection="1">
      <protection locked="0"/>
    </xf>
    <xf numFmtId="1" fontId="2" fillId="41" borderId="0" xfId="19665" applyNumberFormat="1" applyFont="1" applyFill="1" applyBorder="1" applyAlignment="1" applyProtection="1">
      <alignment horizontal="center"/>
      <protection locked="0"/>
    </xf>
    <xf numFmtId="1" fontId="2" fillId="50" borderId="0" xfId="19666" applyNumberFormat="1" applyFont="1" applyFill="1" applyBorder="1" applyAlignment="1" applyProtection="1">
      <alignment horizontal="center"/>
      <protection locked="0"/>
    </xf>
    <xf numFmtId="49" fontId="71" fillId="41" borderId="0" xfId="19651" applyNumberFormat="1" applyFont="1" applyFill="1" applyBorder="1" applyAlignment="1" applyProtection="1">
      <alignment horizontal="left"/>
      <protection locked="0"/>
    </xf>
    <xf numFmtId="49" fontId="2" fillId="41" borderId="0" xfId="19665" applyNumberFormat="1" applyFont="1" applyFill="1" applyBorder="1" applyAlignment="1" applyProtection="1">
      <alignment horizontal="left"/>
      <protection locked="0"/>
    </xf>
    <xf numFmtId="49" fontId="71" fillId="41" borderId="0" xfId="19665" applyNumberFormat="1" applyFont="1" applyFill="1" applyBorder="1" applyAlignment="1" applyProtection="1">
      <alignment horizontal="left"/>
      <protection locked="0"/>
    </xf>
    <xf numFmtId="1" fontId="2" fillId="41" borderId="0" xfId="19665" quotePrefix="1" applyNumberFormat="1" applyFont="1" applyFill="1" applyBorder="1" applyAlignment="1" applyProtection="1">
      <alignment horizontal="center"/>
      <protection locked="0"/>
    </xf>
    <xf numFmtId="49" fontId="72" fillId="41" borderId="0" xfId="19651" applyNumberFormat="1" applyFont="1" applyFill="1" applyBorder="1" applyAlignment="1" applyProtection="1">
      <alignment horizontal="left"/>
      <protection locked="0"/>
    </xf>
    <xf numFmtId="1" fontId="27" fillId="41" borderId="0" xfId="19649" applyNumberFormat="1" applyFont="1" applyFill="1" applyBorder="1" applyAlignment="1" applyProtection="1">
      <alignment horizontal="center"/>
      <protection locked="0"/>
    </xf>
    <xf numFmtId="37" fontId="2" fillId="41" borderId="0" xfId="19677" applyFont="1" applyFill="1" applyBorder="1" applyAlignment="1" applyProtection="1">
      <protection locked="0"/>
    </xf>
    <xf numFmtId="49" fontId="2" fillId="43" borderId="0" xfId="19651" applyNumberFormat="1" applyFont="1" applyFill="1" applyBorder="1" applyAlignment="1" applyProtection="1">
      <alignment horizontal="center"/>
      <protection locked="0"/>
    </xf>
    <xf numFmtId="49" fontId="2" fillId="43" borderId="0" xfId="19651" applyNumberFormat="1" applyFont="1" applyFill="1" applyBorder="1" applyAlignment="1" applyProtection="1">
      <alignment horizontal="left"/>
      <protection locked="0"/>
    </xf>
    <xf numFmtId="49" fontId="71" fillId="43" borderId="0" xfId="19676" applyNumberFormat="1" applyFont="1" applyFill="1" applyBorder="1" applyAlignment="1" applyProtection="1">
      <alignment horizontal="left"/>
      <protection locked="0"/>
    </xf>
    <xf numFmtId="1" fontId="2" fillId="43" borderId="0" xfId="19651" applyNumberFormat="1" applyFont="1" applyFill="1" applyBorder="1" applyAlignment="1" applyProtection="1">
      <alignment horizontal="center"/>
      <protection locked="0"/>
    </xf>
    <xf numFmtId="0" fontId="36" fillId="0" borderId="5" xfId="19658" applyFont="1" applyFill="1" applyBorder="1" applyAlignment="1">
      <alignment horizontal="right"/>
    </xf>
    <xf numFmtId="0" fontId="1" fillId="0" borderId="0" xfId="19678"/>
    <xf numFmtId="0" fontId="1" fillId="0" borderId="0" xfId="19679"/>
    <xf numFmtId="0" fontId="1" fillId="0" borderId="0" xfId="19680"/>
    <xf numFmtId="0" fontId="1" fillId="0" borderId="0" xfId="19681"/>
    <xf numFmtId="0" fontId="1" fillId="0" borderId="0" xfId="19682"/>
    <xf numFmtId="0" fontId="1" fillId="0" borderId="0" xfId="19684"/>
    <xf numFmtId="49" fontId="72" fillId="43" borderId="0" xfId="19648" applyNumberFormat="1" applyFont="1" applyFill="1" applyBorder="1" applyAlignment="1" applyProtection="1">
      <alignment horizontal="left"/>
      <protection locked="0"/>
    </xf>
    <xf numFmtId="1" fontId="2" fillId="43" borderId="0" xfId="19648" applyNumberFormat="1" applyFont="1" applyFill="1" applyBorder="1" applyAlignment="1" applyProtection="1">
      <alignment horizontal="center"/>
      <protection locked="0"/>
    </xf>
    <xf numFmtId="0" fontId="1" fillId="0" borderId="5" xfId="19660" applyFont="1" applyFill="1" applyBorder="1" applyAlignment="1">
      <alignment horizontal="right"/>
    </xf>
    <xf numFmtId="0" fontId="1" fillId="0" borderId="5" xfId="19661" applyFont="1" applyFill="1" applyBorder="1" applyAlignment="1">
      <alignment horizontal="right"/>
    </xf>
    <xf numFmtId="0" fontId="36" fillId="0" borderId="5" xfId="0" applyFont="1" applyFill="1" applyBorder="1" applyAlignment="1">
      <alignment horizontal="right"/>
    </xf>
    <xf numFmtId="0" fontId="0" fillId="0" borderId="5" xfId="0" applyFont="1" applyFill="1" applyBorder="1" applyAlignment="1">
      <alignment horizontal="right"/>
    </xf>
    <xf numFmtId="49" fontId="72" fillId="43" borderId="0" xfId="19676" applyNumberFormat="1" applyFont="1" applyFill="1" applyBorder="1" applyAlignment="1" applyProtection="1">
      <alignment horizontal="left"/>
      <protection locked="0"/>
    </xf>
    <xf numFmtId="0" fontId="1" fillId="0" borderId="10" xfId="19683" applyBorder="1"/>
    <xf numFmtId="0" fontId="5" fillId="43" borderId="0" xfId="19648" applyNumberFormat="1" applyFont="1" applyFill="1" applyBorder="1" applyAlignment="1" applyProtection="1">
      <alignment horizontal="center"/>
      <protection locked="0"/>
    </xf>
    <xf numFmtId="164" fontId="2" fillId="43" borderId="0" xfId="19648" applyFont="1" applyFill="1" applyBorder="1" applyProtection="1">
      <protection locked="0"/>
    </xf>
    <xf numFmtId="164" fontId="75" fillId="43" borderId="0" xfId="19648" applyFont="1" applyFill="1" applyBorder="1" applyProtection="1">
      <protection locked="0"/>
    </xf>
    <xf numFmtId="49" fontId="2" fillId="0" borderId="0" xfId="19665" applyNumberFormat="1" applyFont="1" applyFill="1" applyBorder="1" applyAlignment="1" applyProtection="1">
      <alignment horizontal="center"/>
      <protection locked="0"/>
    </xf>
    <xf numFmtId="49" fontId="2" fillId="0" borderId="0" xfId="19665" applyNumberFormat="1" applyFont="1" applyFill="1" applyBorder="1" applyAlignment="1" applyProtection="1">
      <alignment horizontal="left"/>
      <protection locked="0"/>
    </xf>
    <xf numFmtId="49" fontId="71" fillId="0" borderId="0" xfId="19651" applyNumberFormat="1" applyFont="1" applyFill="1" applyBorder="1" applyAlignment="1" applyProtection="1">
      <alignment horizontal="left"/>
      <protection locked="0"/>
    </xf>
    <xf numFmtId="1" fontId="2" fillId="0" borderId="0" xfId="19665" applyNumberFormat="1" applyFont="1" applyFill="1" applyBorder="1" applyAlignment="1" applyProtection="1">
      <alignment horizontal="center"/>
      <protection locked="0"/>
    </xf>
    <xf numFmtId="1" fontId="2" fillId="0" borderId="0" xfId="19649" applyNumberFormat="1" applyFont="1" applyFill="1" applyBorder="1" applyAlignment="1" applyProtection="1">
      <alignment horizontal="center"/>
      <protection locked="0"/>
    </xf>
    <xf numFmtId="170" fontId="32" fillId="36" borderId="1" xfId="0" applyNumberFormat="1" applyFont="1" applyFill="1" applyBorder="1"/>
    <xf numFmtId="170" fontId="32" fillId="36" borderId="7" xfId="0" applyNumberFormat="1" applyFont="1" applyFill="1" applyBorder="1"/>
    <xf numFmtId="170" fontId="32" fillId="36" borderId="22" xfId="0" applyNumberFormat="1" applyFont="1" applyFill="1" applyBorder="1"/>
    <xf numFmtId="166" fontId="14" fillId="36" borderId="0" xfId="0" applyNumberFormat="1" applyFont="1" applyFill="1" applyBorder="1"/>
    <xf numFmtId="3" fontId="2" fillId="51" borderId="5" xfId="19650" applyNumberFormat="1" applyFont="1" applyFill="1" applyBorder="1" applyAlignment="1" applyProtection="1">
      <alignment horizontal="right"/>
      <protection locked="0"/>
    </xf>
    <xf numFmtId="164" fontId="36" fillId="36" borderId="5" xfId="0" applyNumberFormat="1" applyFont="1" applyFill="1" applyBorder="1" applyAlignment="1" applyProtection="1">
      <alignment horizontal="right"/>
      <protection locked="0"/>
    </xf>
    <xf numFmtId="3" fontId="2" fillId="36" borderId="5" xfId="19656" applyNumberFormat="1" applyFont="1" applyFill="1" applyBorder="1" applyAlignment="1" applyProtection="1">
      <alignment horizontal="right"/>
      <protection locked="0"/>
    </xf>
    <xf numFmtId="3" fontId="2" fillId="36" borderId="10" xfId="19656" applyNumberFormat="1" applyFont="1" applyFill="1" applyBorder="1" applyAlignment="1" applyProtection="1">
      <alignment horizontal="right"/>
      <protection locked="0"/>
    </xf>
    <xf numFmtId="173" fontId="2" fillId="0" borderId="0" xfId="1" applyNumberFormat="1" applyFont="1" applyFill="1" applyBorder="1" applyAlignment="1">
      <alignment horizontal="right"/>
    </xf>
    <xf numFmtId="0" fontId="20" fillId="0" borderId="18" xfId="0" applyFont="1" applyFill="1" applyBorder="1" applyAlignment="1">
      <alignment horizontal="left" wrapText="1"/>
    </xf>
    <xf numFmtId="0" fontId="20" fillId="0" borderId="0" xfId="0" applyFont="1" applyFill="1" applyBorder="1" applyAlignment="1">
      <alignment vertical="top" wrapText="1"/>
    </xf>
    <xf numFmtId="0" fontId="14" fillId="0" borderId="0" xfId="0" applyFont="1" applyFill="1" applyBorder="1" applyAlignment="1">
      <alignment vertical="top" wrapText="1"/>
    </xf>
    <xf numFmtId="0" fontId="22" fillId="0" borderId="2" xfId="0" applyFont="1" applyFill="1" applyBorder="1" applyAlignment="1">
      <alignment horizontal="center"/>
    </xf>
    <xf numFmtId="0" fontId="22" fillId="0" borderId="4" xfId="0" applyFont="1" applyFill="1" applyBorder="1" applyAlignment="1">
      <alignment horizontal="center"/>
    </xf>
    <xf numFmtId="0" fontId="22" fillId="0" borderId="3" xfId="0" applyFont="1" applyFill="1" applyBorder="1" applyAlignment="1">
      <alignment horizontal="center"/>
    </xf>
    <xf numFmtId="37" fontId="15" fillId="0" borderId="0" xfId="0" applyNumberFormat="1" applyFont="1" applyFill="1" applyAlignment="1" applyProtection="1">
      <alignment horizontal="center"/>
    </xf>
    <xf numFmtId="37" fontId="21" fillId="0" borderId="0" xfId="0" applyNumberFormat="1" applyFont="1" applyFill="1" applyAlignment="1" applyProtection="1">
      <alignment horizontal="center"/>
    </xf>
    <xf numFmtId="0" fontId="20" fillId="0" borderId="0" xfId="0" applyFont="1" applyFill="1" applyBorder="1" applyAlignment="1">
      <alignment vertical="center" wrapText="1"/>
    </xf>
    <xf numFmtId="0" fontId="14" fillId="0" borderId="0" xfId="0" applyFont="1" applyFill="1" applyBorder="1" applyAlignment="1">
      <alignment vertical="center" wrapText="1"/>
    </xf>
    <xf numFmtId="0" fontId="20" fillId="0" borderId="0" xfId="0" applyFont="1" applyFill="1" applyBorder="1" applyAlignment="1">
      <alignment horizontal="left" wrapText="1"/>
    </xf>
    <xf numFmtId="0" fontId="5" fillId="0" borderId="2" xfId="0" applyFont="1" applyFill="1" applyBorder="1" applyAlignment="1">
      <alignment horizontal="center"/>
    </xf>
    <xf numFmtId="0" fontId="5" fillId="0" borderId="4" xfId="0" applyFont="1" applyFill="1" applyBorder="1" applyAlignment="1">
      <alignment horizontal="center"/>
    </xf>
    <xf numFmtId="0" fontId="5" fillId="0" borderId="3" xfId="0" applyFont="1" applyFill="1" applyBorder="1" applyAlignment="1">
      <alignment horizontal="center"/>
    </xf>
    <xf numFmtId="37" fontId="17" fillId="0" borderId="0" xfId="0" applyNumberFormat="1" applyFont="1" applyFill="1" applyAlignment="1" applyProtection="1">
      <alignment horizontal="center"/>
    </xf>
    <xf numFmtId="0" fontId="14" fillId="0" borderId="0" xfId="0" applyFont="1" applyBorder="1" applyAlignment="1">
      <alignment vertical="top" wrapText="1"/>
    </xf>
    <xf numFmtId="0" fontId="20" fillId="0" borderId="0" xfId="0" applyFont="1" applyFill="1" applyBorder="1" applyAlignment="1">
      <alignment wrapText="1"/>
    </xf>
    <xf numFmtId="0" fontId="14" fillId="0" borderId="0" xfId="0" applyFont="1" applyFill="1" applyAlignment="1"/>
    <xf numFmtId="0" fontId="28" fillId="0" borderId="0" xfId="0" applyFont="1" applyFill="1" applyBorder="1" applyAlignment="1">
      <alignment vertical="top" wrapText="1"/>
    </xf>
    <xf numFmtId="0" fontId="29" fillId="0" borderId="0" xfId="0" applyFont="1" applyBorder="1" applyAlignment="1">
      <alignment vertical="top" wrapText="1"/>
    </xf>
    <xf numFmtId="0" fontId="0" fillId="0" borderId="0" xfId="0" applyBorder="1" applyAlignment="1">
      <alignment vertical="top" wrapText="1"/>
    </xf>
    <xf numFmtId="0" fontId="4" fillId="0" borderId="0" xfId="0" applyFont="1" applyFill="1" applyBorder="1" applyAlignment="1">
      <alignment vertical="top" wrapText="1"/>
    </xf>
    <xf numFmtId="0" fontId="5" fillId="0" borderId="7" xfId="3" applyFont="1" applyFill="1" applyBorder="1" applyAlignment="1">
      <alignment horizontal="center" wrapText="1"/>
    </xf>
    <xf numFmtId="0" fontId="5" fillId="0" borderId="8" xfId="3" applyFont="1" applyFill="1" applyBorder="1" applyAlignment="1">
      <alignment horizontal="center" wrapText="1"/>
    </xf>
    <xf numFmtId="0" fontId="20" fillId="0" borderId="18"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0" xfId="0" applyFont="1" applyFill="1" applyBorder="1" applyAlignment="1">
      <alignment vertical="top"/>
    </xf>
    <xf numFmtId="0" fontId="14" fillId="0" borderId="0" xfId="0" applyFont="1" applyAlignment="1">
      <alignment vertical="top" wrapText="1"/>
    </xf>
    <xf numFmtId="0" fontId="0" fillId="0" borderId="0" xfId="0" applyAlignment="1">
      <alignment vertical="top" wrapText="1"/>
    </xf>
  </cellXfs>
  <cellStyles count="19685">
    <cellStyle name="20% - Accent1 2" xfId="3301"/>
    <cellStyle name="20% - Accent2 2" xfId="3342"/>
    <cellStyle name="20% - Accent3 2" xfId="3332"/>
    <cellStyle name="20% - Accent4 2" xfId="3343"/>
    <cellStyle name="20% - Accent5 2" xfId="3331"/>
    <cellStyle name="20% - Accent6 2" xfId="3344"/>
    <cellStyle name="40% - Accent1 2" xfId="3298"/>
    <cellStyle name="40% - Accent2 2" xfId="3347"/>
    <cellStyle name="40% - Accent3 2" xfId="3328"/>
    <cellStyle name="40% - Accent4 2" xfId="3338"/>
    <cellStyle name="40% - Accent5 2" xfId="3317"/>
    <cellStyle name="40% - Accent6 2" xfId="3281"/>
    <cellStyle name="60% - Accent1 2" xfId="3312"/>
    <cellStyle name="60% - Accent2 2" xfId="3278"/>
    <cellStyle name="60% - Accent3 2" xfId="3300"/>
    <cellStyle name="60% - Accent4 2" xfId="3341"/>
    <cellStyle name="60% - Accent5 2" xfId="3283"/>
    <cellStyle name="60% - Accent6 2" xfId="3326"/>
    <cellStyle name="Accent1 2" xfId="3335"/>
    <cellStyle name="Accent2 2" xfId="3345"/>
    <cellStyle name="Accent3 2" xfId="3309"/>
    <cellStyle name="Accent4 2" xfId="3324"/>
    <cellStyle name="Accent5 2" xfId="3348"/>
    <cellStyle name="Accent6 2" xfId="1846"/>
    <cellStyle name="Bad 2" xfId="1868"/>
    <cellStyle name="Calculation 2" xfId="3308"/>
    <cellStyle name="Calculation 3" xfId="3305"/>
    <cellStyle name="Check Cell 2" xfId="3306"/>
    <cellStyle name="Comma" xfId="9" builtinId="3"/>
    <cellStyle name="Comma 2" xfId="13"/>
    <cellStyle name="Comma 2 2" xfId="120"/>
    <cellStyle name="Comma 2 3" xfId="97"/>
    <cellStyle name="Comma 2 4" xfId="3296"/>
    <cellStyle name="Comma 3" xfId="6"/>
    <cellStyle name="Comma 3 2" xfId="7"/>
    <cellStyle name="Comma 4" xfId="26"/>
    <cellStyle name="Comma 5" xfId="11"/>
    <cellStyle name="Comma 5 10" xfId="477"/>
    <cellStyle name="Comma 5 10 11" xfId="19650"/>
    <cellStyle name="Comma 5 10 11 2" xfId="19652"/>
    <cellStyle name="Comma 5 10 11 2 2" xfId="19667"/>
    <cellStyle name="Comma 5 10 2" xfId="503"/>
    <cellStyle name="Comma 5 10 2 2" xfId="2233"/>
    <cellStyle name="Comma 5 10 2 2 2" xfId="16122"/>
    <cellStyle name="Comma 5 10 2 2 3" xfId="12544"/>
    <cellStyle name="Comma 5 10 2 2 4" xfId="7253"/>
    <cellStyle name="Comma 5 10 2 3" xfId="3501"/>
    <cellStyle name="Comma 5 10 2 3 2" xfId="17146"/>
    <cellStyle name="Comma 5 10 2 3 3" xfId="13567"/>
    <cellStyle name="Comma 5 10 2 3 4" xfId="8310"/>
    <cellStyle name="Comma 5 10 2 4" xfId="6369"/>
    <cellStyle name="Comma 5 10 2 4 2" xfId="15453"/>
    <cellStyle name="Comma 5 10 2 5" xfId="9764"/>
    <cellStyle name="Comma 5 10 2 5 2" xfId="18591"/>
    <cellStyle name="Comma 5 10 2 6" xfId="11208"/>
    <cellStyle name="Comma 5 10 2 7" xfId="4847"/>
    <cellStyle name="Comma 5 10 3" xfId="861"/>
    <cellStyle name="Comma 5 10 3 2" xfId="2581"/>
    <cellStyle name="Comma 5 10 3 2 2" xfId="16515"/>
    <cellStyle name="Comma 5 10 3 2 3" xfId="12937"/>
    <cellStyle name="Comma 5 10 3 2 4" xfId="7647"/>
    <cellStyle name="Comma 5 10 3 3" xfId="3849"/>
    <cellStyle name="Comma 5 10 3 3 2" xfId="17494"/>
    <cellStyle name="Comma 5 10 3 3 3" xfId="13915"/>
    <cellStyle name="Comma 5 10 3 3 4" xfId="8658"/>
    <cellStyle name="Comma 5 10 3 4" xfId="6737"/>
    <cellStyle name="Comma 5 10 3 4 2" xfId="15820"/>
    <cellStyle name="Comma 5 10 3 5" xfId="10112"/>
    <cellStyle name="Comma 5 10 3 5 2" xfId="18939"/>
    <cellStyle name="Comma 5 10 3 6" xfId="11558"/>
    <cellStyle name="Comma 5 10 3 7" xfId="5241"/>
    <cellStyle name="Comma 5 10 4" xfId="1353"/>
    <cellStyle name="Comma 5 10 4 2" xfId="2966"/>
    <cellStyle name="Comma 5 10 4 2 2" xfId="17879"/>
    <cellStyle name="Comma 5 10 4 2 2 2 2" xfId="19654"/>
    <cellStyle name="Comma 5 10 4 2 2 2 2 2" xfId="19669"/>
    <cellStyle name="Comma 5 10 4 2 3" xfId="14300"/>
    <cellStyle name="Comma 5 10 4 2 4" xfId="9043"/>
    <cellStyle name="Comma 5 10 4 3" xfId="10497"/>
    <cellStyle name="Comma 5 10 4 3 2" xfId="19324"/>
    <cellStyle name="Comma 5 10 4 4" xfId="11943"/>
    <cellStyle name="Comma 5 10 4 5" xfId="6938"/>
    <cellStyle name="Comma 5 10 5" xfId="1923"/>
    <cellStyle name="Comma 5 10 5 2" xfId="16834"/>
    <cellStyle name="Comma 5 10 5 2 2 2" xfId="19655"/>
    <cellStyle name="Comma 5 10 5 2 2 2 2" xfId="19668"/>
    <cellStyle name="Comma 5 10 5 3" xfId="13255"/>
    <cellStyle name="Comma 5 10 5 4" xfId="7998"/>
    <cellStyle name="Comma 5 10 6" xfId="6054"/>
    <cellStyle name="Comma 5 10 6 2" xfId="15138"/>
    <cellStyle name="Comma 5 10 6 2 2" xfId="19653"/>
    <cellStyle name="Comma 5 10 7" xfId="9454"/>
    <cellStyle name="Comma 5 10 7 2" xfId="18281"/>
    <cellStyle name="Comma 5 10 8" xfId="10898"/>
    <cellStyle name="Comma 5 10 9" xfId="4532"/>
    <cellStyle name="Comma 5 11" xfId="502"/>
    <cellStyle name="Comma 5 11 2" xfId="2232"/>
    <cellStyle name="Comma 5 11 2 2" xfId="16121"/>
    <cellStyle name="Comma 5 11 2 3" xfId="12543"/>
    <cellStyle name="Comma 5 11 2 4" xfId="7252"/>
    <cellStyle name="Comma 5 11 3" xfId="3500"/>
    <cellStyle name="Comma 5 11 3 2" xfId="17145"/>
    <cellStyle name="Comma 5 11 3 3" xfId="13566"/>
    <cellStyle name="Comma 5 11 3 4" xfId="8309"/>
    <cellStyle name="Comma 5 11 4" xfId="6368"/>
    <cellStyle name="Comma 5 11 4 2" xfId="15452"/>
    <cellStyle name="Comma 5 11 5" xfId="9763"/>
    <cellStyle name="Comma 5 11 5 2" xfId="18590"/>
    <cellStyle name="Comma 5 11 6" xfId="11207"/>
    <cellStyle name="Comma 5 11 7" xfId="4846"/>
    <cellStyle name="Comma 5 12" xfId="860"/>
    <cellStyle name="Comma 5 12 2" xfId="2580"/>
    <cellStyle name="Comma 5 12 2 2" xfId="16483"/>
    <cellStyle name="Comma 5 12 2 3" xfId="12905"/>
    <cellStyle name="Comma 5 12 2 4" xfId="7615"/>
    <cellStyle name="Comma 5 12 3" xfId="3848"/>
    <cellStyle name="Comma 5 12 3 2" xfId="17493"/>
    <cellStyle name="Comma 5 12 3 3" xfId="13914"/>
    <cellStyle name="Comma 5 12 3 4" xfId="8657"/>
    <cellStyle name="Comma 5 12 4" xfId="5873"/>
    <cellStyle name="Comma 5 12 4 2" xfId="14959"/>
    <cellStyle name="Comma 5 12 5" xfId="10111"/>
    <cellStyle name="Comma 5 12 5 2" xfId="18938"/>
    <cellStyle name="Comma 5 12 6" xfId="11557"/>
    <cellStyle name="Comma 5 12 7" xfId="5209"/>
    <cellStyle name="Comma 5 13" xfId="1282"/>
    <cellStyle name="Comma 5 13 2" xfId="2934"/>
    <cellStyle name="Comma 5 13 2 2" xfId="17847"/>
    <cellStyle name="Comma 5 13 2 3" xfId="14268"/>
    <cellStyle name="Comma 5 13 2 4" xfId="9011"/>
    <cellStyle name="Comma 5 13 3" xfId="10465"/>
    <cellStyle name="Comma 5 13 3 2" xfId="19292"/>
    <cellStyle name="Comma 5 13 4" xfId="11911"/>
    <cellStyle name="Comma 5 13 5" xfId="6759"/>
    <cellStyle name="Comma 5 14" xfId="1891"/>
    <cellStyle name="Comma 5 14 2" xfId="9422"/>
    <cellStyle name="Comma 5 14 2 2" xfId="18249"/>
    <cellStyle name="Comma 5 14 3" xfId="10866"/>
    <cellStyle name="Comma 5 14 4" xfId="7966"/>
    <cellStyle name="Comma 5 15" xfId="1848"/>
    <cellStyle name="Comma 5 15 2" xfId="14647"/>
    <cellStyle name="Comma 5 15 3" xfId="5561"/>
    <cellStyle name="Comma 5 16" xfId="9382"/>
    <cellStyle name="Comma 5 16 2" xfId="18209"/>
    <cellStyle name="Comma 5 17" xfId="10821"/>
    <cellStyle name="Comma 5 18" xfId="4354"/>
    <cellStyle name="Comma 5 2" xfId="12"/>
    <cellStyle name="Comma 5 2 10" xfId="504"/>
    <cellStyle name="Comma 5 2 10 2" xfId="2234"/>
    <cellStyle name="Comma 5 2 10 2 2" xfId="16123"/>
    <cellStyle name="Comma 5 2 10 2 3" xfId="12545"/>
    <cellStyle name="Comma 5 2 10 2 4" xfId="7254"/>
    <cellStyle name="Comma 5 2 10 3" xfId="3502"/>
    <cellStyle name="Comma 5 2 10 3 2" xfId="17147"/>
    <cellStyle name="Comma 5 2 10 3 3" xfId="13568"/>
    <cellStyle name="Comma 5 2 10 3 4" xfId="8311"/>
    <cellStyle name="Comma 5 2 10 4" xfId="6370"/>
    <cellStyle name="Comma 5 2 10 4 2" xfId="15454"/>
    <cellStyle name="Comma 5 2 10 5" xfId="9765"/>
    <cellStyle name="Comma 5 2 10 5 2" xfId="18592"/>
    <cellStyle name="Comma 5 2 10 6" xfId="11209"/>
    <cellStyle name="Comma 5 2 10 7" xfId="4848"/>
    <cellStyle name="Comma 5 2 11" xfId="862"/>
    <cellStyle name="Comma 5 2 11 2" xfId="2582"/>
    <cellStyle name="Comma 5 2 11 2 2" xfId="16484"/>
    <cellStyle name="Comma 5 2 11 2 3" xfId="12906"/>
    <cellStyle name="Comma 5 2 11 2 4" xfId="7616"/>
    <cellStyle name="Comma 5 2 11 3" xfId="3850"/>
    <cellStyle name="Comma 5 2 11 3 2" xfId="17495"/>
    <cellStyle name="Comma 5 2 11 3 3" xfId="13916"/>
    <cellStyle name="Comma 5 2 11 3 4" xfId="8659"/>
    <cellStyle name="Comma 5 2 11 4" xfId="5874"/>
    <cellStyle name="Comma 5 2 11 4 2" xfId="14960"/>
    <cellStyle name="Comma 5 2 11 5" xfId="10113"/>
    <cellStyle name="Comma 5 2 11 5 2" xfId="18940"/>
    <cellStyle name="Comma 5 2 11 6" xfId="11559"/>
    <cellStyle name="Comma 5 2 11 7" xfId="5210"/>
    <cellStyle name="Comma 5 2 12" xfId="1283"/>
    <cellStyle name="Comma 5 2 12 2" xfId="2935"/>
    <cellStyle name="Comma 5 2 12 2 2" xfId="17848"/>
    <cellStyle name="Comma 5 2 12 2 3" xfId="14269"/>
    <cellStyle name="Comma 5 2 12 2 4" xfId="9012"/>
    <cellStyle name="Comma 5 2 12 3" xfId="10466"/>
    <cellStyle name="Comma 5 2 12 3 2" xfId="19293"/>
    <cellStyle name="Comma 5 2 12 4" xfId="11912"/>
    <cellStyle name="Comma 5 2 12 5" xfId="6760"/>
    <cellStyle name="Comma 5 2 13" xfId="1892"/>
    <cellStyle name="Comma 5 2 13 2" xfId="9423"/>
    <cellStyle name="Comma 5 2 13 2 2" xfId="18250"/>
    <cellStyle name="Comma 5 2 13 3" xfId="10867"/>
    <cellStyle name="Comma 5 2 13 4" xfId="7967"/>
    <cellStyle name="Comma 5 2 14" xfId="1849"/>
    <cellStyle name="Comma 5 2 14 2" xfId="14648"/>
    <cellStyle name="Comma 5 2 14 3" xfId="5562"/>
    <cellStyle name="Comma 5 2 15" xfId="9383"/>
    <cellStyle name="Comma 5 2 15 2" xfId="18210"/>
    <cellStyle name="Comma 5 2 16" xfId="10822"/>
    <cellStyle name="Comma 5 2 17" xfId="4355"/>
    <cellStyle name="Comma 5 2 19" xfId="19656"/>
    <cellStyle name="Comma 5 2 2" xfId="130"/>
    <cellStyle name="Comma 5 2 2 10" xfId="1904"/>
    <cellStyle name="Comma 5 2 2 10 2" xfId="9435"/>
    <cellStyle name="Comma 5 2 2 10 2 2" xfId="18262"/>
    <cellStyle name="Comma 5 2 2 10 3" xfId="10879"/>
    <cellStyle name="Comma 5 2 2 10 4" xfId="7979"/>
    <cellStyle name="Comma 5 2 2 11" xfId="1874"/>
    <cellStyle name="Comma 5 2 2 11 2" xfId="14673"/>
    <cellStyle name="Comma 5 2 2 11 3" xfId="5587"/>
    <cellStyle name="Comma 5 2 2 12" xfId="9405"/>
    <cellStyle name="Comma 5 2 2 12 2" xfId="18232"/>
    <cellStyle name="Comma 5 2 2 13" xfId="10849"/>
    <cellStyle name="Comma 5 2 2 14" xfId="4368"/>
    <cellStyle name="Comma 5 2 2 2" xfId="230"/>
    <cellStyle name="Comma 5 2 2 2 10" xfId="9537"/>
    <cellStyle name="Comma 5 2 2 2 10 2" xfId="18364"/>
    <cellStyle name="Comma 5 2 2 2 11" xfId="10981"/>
    <cellStyle name="Comma 5 2 2 2 12" xfId="4398"/>
    <cellStyle name="Comma 5 2 2 2 2" xfId="443"/>
    <cellStyle name="Comma 5 2 2 2 2 10" xfId="4502"/>
    <cellStyle name="Comma 5 2 2 2 2 2" xfId="507"/>
    <cellStyle name="Comma 5 2 2 2 2 2 2" xfId="2237"/>
    <cellStyle name="Comma 5 2 2 2 2 2 2 2" xfId="16098"/>
    <cellStyle name="Comma 5 2 2 2 2 2 2 3" xfId="12520"/>
    <cellStyle name="Comma 5 2 2 2 2 2 2 4" xfId="7225"/>
    <cellStyle name="Comma 5 2 2 2 2 2 3" xfId="3505"/>
    <cellStyle name="Comma 5 2 2 2 2 2 3 2" xfId="17150"/>
    <cellStyle name="Comma 5 2 2 2 2 2 3 3" xfId="13571"/>
    <cellStyle name="Comma 5 2 2 2 2 2 3 4" xfId="8314"/>
    <cellStyle name="Comma 5 2 2 2 2 2 4" xfId="6341"/>
    <cellStyle name="Comma 5 2 2 2 2 2 4 2" xfId="15425"/>
    <cellStyle name="Comma 5 2 2 2 2 2 5" xfId="9768"/>
    <cellStyle name="Comma 5 2 2 2 2 2 5 2" xfId="18595"/>
    <cellStyle name="Comma 5 2 2 2 2 2 6" xfId="11212"/>
    <cellStyle name="Comma 5 2 2 2 2 2 7" xfId="4819"/>
    <cellStyle name="Comma 5 2 2 2 2 3" xfId="865"/>
    <cellStyle name="Comma 5 2 2 2 2 3 2" xfId="2585"/>
    <cellStyle name="Comma 5 2 2 2 2 3 2 2" xfId="16126"/>
    <cellStyle name="Comma 5 2 2 2 2 3 2 3" xfId="12548"/>
    <cellStyle name="Comma 5 2 2 2 2 3 2 4" xfId="7257"/>
    <cellStyle name="Comma 5 2 2 2 2 3 3" xfId="3853"/>
    <cellStyle name="Comma 5 2 2 2 2 3 3 2" xfId="17498"/>
    <cellStyle name="Comma 5 2 2 2 2 3 3 3" xfId="13919"/>
    <cellStyle name="Comma 5 2 2 2 2 3 3 4" xfId="8662"/>
    <cellStyle name="Comma 5 2 2 2 2 3 4" xfId="6373"/>
    <cellStyle name="Comma 5 2 2 2 2 3 4 2" xfId="15457"/>
    <cellStyle name="Comma 5 2 2 2 2 3 5" xfId="10116"/>
    <cellStyle name="Comma 5 2 2 2 2 3 5 2" xfId="18943"/>
    <cellStyle name="Comma 5 2 2 2 2 3 6" xfId="11562"/>
    <cellStyle name="Comma 5 2 2 2 2 3 7" xfId="4851"/>
    <cellStyle name="Comma 5 2 2 2 2 4" xfId="1657"/>
    <cellStyle name="Comma 5 2 2 2 2 4 2" xfId="3253"/>
    <cellStyle name="Comma 5 2 2 2 2 4 2 2" xfId="16802"/>
    <cellStyle name="Comma 5 2 2 2 2 4 2 3" xfId="13223"/>
    <cellStyle name="Comma 5 2 2 2 2 4 2 4" xfId="7934"/>
    <cellStyle name="Comma 5 2 2 2 2 4 3" xfId="4320"/>
    <cellStyle name="Comma 5 2 2 2 2 4 3 2" xfId="18166"/>
    <cellStyle name="Comma 5 2 2 2 2 4 3 3" xfId="14587"/>
    <cellStyle name="Comma 5 2 2 2 2 4 3 4" xfId="9330"/>
    <cellStyle name="Comma 5 2 2 2 2 4 4" xfId="6022"/>
    <cellStyle name="Comma 5 2 2 2 2 4 4 2" xfId="15108"/>
    <cellStyle name="Comma 5 2 2 2 2 4 5" xfId="10784"/>
    <cellStyle name="Comma 5 2 2 2 2 4 5 2" xfId="19611"/>
    <cellStyle name="Comma 5 2 2 2 2 4 6" xfId="12230"/>
    <cellStyle name="Comma 5 2 2 2 2 4 7" xfId="5528"/>
    <cellStyle name="Comma 5 2 2 2 2 5" xfId="2210"/>
    <cellStyle name="Comma 5 2 2 2 2 5 2" xfId="15951"/>
    <cellStyle name="Comma 5 2 2 2 2 5 3" xfId="12285"/>
    <cellStyle name="Comma 5 2 2 2 2 5 4" xfId="6908"/>
    <cellStyle name="Comma 5 2 2 2 2 6" xfId="3482"/>
    <cellStyle name="Comma 5 2 2 2 2 6 2" xfId="17123"/>
    <cellStyle name="Comma 5 2 2 2 2 6 3" xfId="13544"/>
    <cellStyle name="Comma 5 2 2 2 2 6 4" xfId="8287"/>
    <cellStyle name="Comma 5 2 2 2 2 7" xfId="5848"/>
    <cellStyle name="Comma 5 2 2 2 2 7 2" xfId="14934"/>
    <cellStyle name="Comma 5 2 2 2 2 8" xfId="9741"/>
    <cellStyle name="Comma 5 2 2 2 2 8 2" xfId="18568"/>
    <cellStyle name="Comma 5 2 2 2 2 9" xfId="11185"/>
    <cellStyle name="Comma 5 2 2 2 3" xfId="338"/>
    <cellStyle name="Comma 5 2 2 2 3 2" xfId="508"/>
    <cellStyle name="Comma 5 2 2 2 3 2 2" xfId="2238"/>
    <cellStyle name="Comma 5 2 2 2 3 2 2 2" xfId="16127"/>
    <cellStyle name="Comma 5 2 2 2 3 2 2 3" xfId="12549"/>
    <cellStyle name="Comma 5 2 2 2 3 2 2 4" xfId="7258"/>
    <cellStyle name="Comma 5 2 2 2 3 2 3" xfId="3506"/>
    <cellStyle name="Comma 5 2 2 2 3 2 3 2" xfId="17151"/>
    <cellStyle name="Comma 5 2 2 2 3 2 3 3" xfId="13572"/>
    <cellStyle name="Comma 5 2 2 2 3 2 3 4" xfId="8315"/>
    <cellStyle name="Comma 5 2 2 2 3 2 4" xfId="6374"/>
    <cellStyle name="Comma 5 2 2 2 3 2 4 2" xfId="15458"/>
    <cellStyle name="Comma 5 2 2 2 3 2 5" xfId="9769"/>
    <cellStyle name="Comma 5 2 2 2 3 2 5 2" xfId="18596"/>
    <cellStyle name="Comma 5 2 2 2 3 2 6" xfId="11213"/>
    <cellStyle name="Comma 5 2 2 2 3 2 7" xfId="4852"/>
    <cellStyle name="Comma 5 2 2 2 3 3" xfId="866"/>
    <cellStyle name="Comma 5 2 2 2 3 3 2" xfId="2586"/>
    <cellStyle name="Comma 5 2 2 2 3 3 2 2" xfId="16698"/>
    <cellStyle name="Comma 5 2 2 2 3 3 2 3" xfId="13119"/>
    <cellStyle name="Comma 5 2 2 2 3 3 2 4" xfId="7830"/>
    <cellStyle name="Comma 5 2 2 2 3 3 3" xfId="3854"/>
    <cellStyle name="Comma 5 2 2 2 3 3 3 2" xfId="17499"/>
    <cellStyle name="Comma 5 2 2 2 3 3 3 3" xfId="13920"/>
    <cellStyle name="Comma 5 2 2 2 3 3 3 4" xfId="8663"/>
    <cellStyle name="Comma 5 2 2 2 3 3 4" xfId="6237"/>
    <cellStyle name="Comma 5 2 2 2 3 3 4 2" xfId="15321"/>
    <cellStyle name="Comma 5 2 2 2 3 3 5" xfId="10117"/>
    <cellStyle name="Comma 5 2 2 2 3 3 5 2" xfId="18944"/>
    <cellStyle name="Comma 5 2 2 2 3 3 6" xfId="11563"/>
    <cellStyle name="Comma 5 2 2 2 3 3 7" xfId="5424"/>
    <cellStyle name="Comma 5 2 2 2 3 4" xfId="1550"/>
    <cellStyle name="Comma 5 2 2 2 3 4 2" xfId="3149"/>
    <cellStyle name="Comma 5 2 2 2 3 4 2 2" xfId="18062"/>
    <cellStyle name="Comma 5 2 2 2 3 4 2 3" xfId="14483"/>
    <cellStyle name="Comma 5 2 2 2 3 4 2 4" xfId="9226"/>
    <cellStyle name="Comma 5 2 2 2 3 4 3" xfId="10680"/>
    <cellStyle name="Comma 5 2 2 2 3 4 3 2" xfId="19507"/>
    <cellStyle name="Comma 5 2 2 2 3 4 4" xfId="12126"/>
    <cellStyle name="Comma 5 2 2 2 3 4 5" xfId="7121"/>
    <cellStyle name="Comma 5 2 2 2 3 5" xfId="2106"/>
    <cellStyle name="Comma 5 2 2 2 3 5 2" xfId="17019"/>
    <cellStyle name="Comma 5 2 2 2 3 5 3" xfId="13440"/>
    <cellStyle name="Comma 5 2 2 2 3 5 4" xfId="8183"/>
    <cellStyle name="Comma 5 2 2 2 3 6" xfId="5744"/>
    <cellStyle name="Comma 5 2 2 2 3 6 2" xfId="14830"/>
    <cellStyle name="Comma 5 2 2 2 3 7" xfId="9637"/>
    <cellStyle name="Comma 5 2 2 2 3 7 2" xfId="18464"/>
    <cellStyle name="Comma 5 2 2 2 3 8" xfId="11081"/>
    <cellStyle name="Comma 5 2 2 2 3 9" xfId="4715"/>
    <cellStyle name="Comma 5 2 2 2 4" xfId="506"/>
    <cellStyle name="Comma 5 2 2 2 4 2" xfId="2236"/>
    <cellStyle name="Comma 5 2 2 2 4 2 2" xfId="16035"/>
    <cellStyle name="Comma 5 2 2 2 4 2 3" xfId="12282"/>
    <cellStyle name="Comma 5 2 2 2 4 2 4" xfId="7021"/>
    <cellStyle name="Comma 5 2 2 2 4 3" xfId="3504"/>
    <cellStyle name="Comma 5 2 2 2 4 3 2" xfId="17149"/>
    <cellStyle name="Comma 5 2 2 2 4 3 3" xfId="13570"/>
    <cellStyle name="Comma 5 2 2 2 4 3 4" xfId="8313"/>
    <cellStyle name="Comma 5 2 2 2 4 4" xfId="6137"/>
    <cellStyle name="Comma 5 2 2 2 4 4 2" xfId="15221"/>
    <cellStyle name="Comma 5 2 2 2 4 5" xfId="9767"/>
    <cellStyle name="Comma 5 2 2 2 4 5 2" xfId="18594"/>
    <cellStyle name="Comma 5 2 2 2 4 6" xfId="11211"/>
    <cellStyle name="Comma 5 2 2 2 4 7" xfId="4615"/>
    <cellStyle name="Comma 5 2 2 2 5" xfId="864"/>
    <cellStyle name="Comma 5 2 2 2 5 2" xfId="2584"/>
    <cellStyle name="Comma 5 2 2 2 5 2 2" xfId="16125"/>
    <cellStyle name="Comma 5 2 2 2 5 2 3" xfId="12547"/>
    <cellStyle name="Comma 5 2 2 2 5 2 4" xfId="7256"/>
    <cellStyle name="Comma 5 2 2 2 5 3" xfId="3852"/>
    <cellStyle name="Comma 5 2 2 2 5 3 2" xfId="17497"/>
    <cellStyle name="Comma 5 2 2 2 5 3 3" xfId="13918"/>
    <cellStyle name="Comma 5 2 2 2 5 3 4" xfId="8661"/>
    <cellStyle name="Comma 5 2 2 2 5 4" xfId="6372"/>
    <cellStyle name="Comma 5 2 2 2 5 4 2" xfId="15456"/>
    <cellStyle name="Comma 5 2 2 2 5 5" xfId="10115"/>
    <cellStyle name="Comma 5 2 2 2 5 5 2" xfId="18942"/>
    <cellStyle name="Comma 5 2 2 2 5 6" xfId="11561"/>
    <cellStyle name="Comma 5 2 2 2 5 7" xfId="4850"/>
    <cellStyle name="Comma 5 2 2 2 6" xfId="1448"/>
    <cellStyle name="Comma 5 2 2 2 6 2" xfId="3049"/>
    <cellStyle name="Comma 5 2 2 2 6 2 2" xfId="16598"/>
    <cellStyle name="Comma 5 2 2 2 6 2 3" xfId="13019"/>
    <cellStyle name="Comma 5 2 2 2 6 2 4" xfId="7730"/>
    <cellStyle name="Comma 5 2 2 2 6 3" xfId="4257"/>
    <cellStyle name="Comma 5 2 2 2 6 3 2" xfId="17962"/>
    <cellStyle name="Comma 5 2 2 2 6 3 3" xfId="14383"/>
    <cellStyle name="Comma 5 2 2 2 6 3 4" xfId="9126"/>
    <cellStyle name="Comma 5 2 2 2 6 4" xfId="5918"/>
    <cellStyle name="Comma 5 2 2 2 6 4 2" xfId="15004"/>
    <cellStyle name="Comma 5 2 2 2 6 5" xfId="10580"/>
    <cellStyle name="Comma 5 2 2 2 6 5 2" xfId="19407"/>
    <cellStyle name="Comma 5 2 2 2 6 6" xfId="12026"/>
    <cellStyle name="Comma 5 2 2 2 6 7" xfId="5324"/>
    <cellStyle name="Comma 5 2 2 2 7" xfId="2006"/>
    <cellStyle name="Comma 5 2 2 2 7 2" xfId="15850"/>
    <cellStyle name="Comma 5 2 2 2 7 3" xfId="12374"/>
    <cellStyle name="Comma 5 2 2 2 7 4" xfId="6804"/>
    <cellStyle name="Comma 5 2 2 2 8" xfId="3419"/>
    <cellStyle name="Comma 5 2 2 2 8 2" xfId="16919"/>
    <cellStyle name="Comma 5 2 2 2 8 3" xfId="13340"/>
    <cellStyle name="Comma 5 2 2 2 8 4" xfId="8083"/>
    <cellStyle name="Comma 5 2 2 2 9" xfId="5644"/>
    <cellStyle name="Comma 5 2 2 2 9 2" xfId="14730"/>
    <cellStyle name="Comma 5 2 2 3" xfId="273"/>
    <cellStyle name="Comma 5 2 2 3 10" xfId="11024"/>
    <cellStyle name="Comma 5 2 2 3 11" xfId="4441"/>
    <cellStyle name="Comma 5 2 2 3 2" xfId="381"/>
    <cellStyle name="Comma 5 2 2 3 2 2" xfId="510"/>
    <cellStyle name="Comma 5 2 2 3 2 2 2" xfId="2240"/>
    <cellStyle name="Comma 5 2 2 3 2 2 2 2" xfId="16129"/>
    <cellStyle name="Comma 5 2 2 3 2 2 2 3" xfId="12551"/>
    <cellStyle name="Comma 5 2 2 3 2 2 2 4" xfId="7260"/>
    <cellStyle name="Comma 5 2 2 3 2 2 3" xfId="3508"/>
    <cellStyle name="Comma 5 2 2 3 2 2 3 2" xfId="17153"/>
    <cellStyle name="Comma 5 2 2 3 2 2 3 3" xfId="13574"/>
    <cellStyle name="Comma 5 2 2 3 2 2 3 4" xfId="8317"/>
    <cellStyle name="Comma 5 2 2 3 2 2 4" xfId="6376"/>
    <cellStyle name="Comma 5 2 2 3 2 2 4 2" xfId="15460"/>
    <cellStyle name="Comma 5 2 2 3 2 2 5" xfId="9771"/>
    <cellStyle name="Comma 5 2 2 3 2 2 5 2" xfId="18598"/>
    <cellStyle name="Comma 5 2 2 3 2 2 6" xfId="11215"/>
    <cellStyle name="Comma 5 2 2 3 2 2 7" xfId="4854"/>
    <cellStyle name="Comma 5 2 2 3 2 3" xfId="868"/>
    <cellStyle name="Comma 5 2 2 3 2 3 2" xfId="2588"/>
    <cellStyle name="Comma 5 2 2 3 2 3 2 2" xfId="16741"/>
    <cellStyle name="Comma 5 2 2 3 2 3 2 3" xfId="13162"/>
    <cellStyle name="Comma 5 2 2 3 2 3 2 4" xfId="7873"/>
    <cellStyle name="Comma 5 2 2 3 2 3 3" xfId="3856"/>
    <cellStyle name="Comma 5 2 2 3 2 3 3 2" xfId="17501"/>
    <cellStyle name="Comma 5 2 2 3 2 3 3 3" xfId="13922"/>
    <cellStyle name="Comma 5 2 2 3 2 3 3 4" xfId="8665"/>
    <cellStyle name="Comma 5 2 2 3 2 3 4" xfId="6280"/>
    <cellStyle name="Comma 5 2 2 3 2 3 4 2" xfId="15364"/>
    <cellStyle name="Comma 5 2 2 3 2 3 5" xfId="10119"/>
    <cellStyle name="Comma 5 2 2 3 2 3 5 2" xfId="18946"/>
    <cellStyle name="Comma 5 2 2 3 2 3 6" xfId="11565"/>
    <cellStyle name="Comma 5 2 2 3 2 3 7" xfId="5467"/>
    <cellStyle name="Comma 5 2 2 3 2 4" xfId="1595"/>
    <cellStyle name="Comma 5 2 2 3 2 4 2" xfId="3192"/>
    <cellStyle name="Comma 5 2 2 3 2 4 2 2" xfId="18105"/>
    <cellStyle name="Comma 5 2 2 3 2 4 2 3" xfId="14526"/>
    <cellStyle name="Comma 5 2 2 3 2 4 2 4" xfId="9269"/>
    <cellStyle name="Comma 5 2 2 3 2 4 3" xfId="10723"/>
    <cellStyle name="Comma 5 2 2 3 2 4 3 2" xfId="19550"/>
    <cellStyle name="Comma 5 2 2 3 2 4 4" xfId="12169"/>
    <cellStyle name="Comma 5 2 2 3 2 4 5" xfId="7164"/>
    <cellStyle name="Comma 5 2 2 3 2 5" xfId="2149"/>
    <cellStyle name="Comma 5 2 2 3 2 5 2" xfId="17062"/>
    <cellStyle name="Comma 5 2 2 3 2 5 3" xfId="13483"/>
    <cellStyle name="Comma 5 2 2 3 2 5 4" xfId="8226"/>
    <cellStyle name="Comma 5 2 2 3 2 6" xfId="5787"/>
    <cellStyle name="Comma 5 2 2 3 2 6 2" xfId="14873"/>
    <cellStyle name="Comma 5 2 2 3 2 7" xfId="9680"/>
    <cellStyle name="Comma 5 2 2 3 2 7 2" xfId="18507"/>
    <cellStyle name="Comma 5 2 2 3 2 8" xfId="11124"/>
    <cellStyle name="Comma 5 2 2 3 2 9" xfId="4758"/>
    <cellStyle name="Comma 5 2 2 3 3" xfId="509"/>
    <cellStyle name="Comma 5 2 2 3 3 2" xfId="2239"/>
    <cellStyle name="Comma 5 2 2 3 3 2 2" xfId="16078"/>
    <cellStyle name="Comma 5 2 2 3 3 2 3" xfId="12261"/>
    <cellStyle name="Comma 5 2 2 3 3 2 4" xfId="7064"/>
    <cellStyle name="Comma 5 2 2 3 3 3" xfId="3507"/>
    <cellStyle name="Comma 5 2 2 3 3 3 2" xfId="17152"/>
    <cellStyle name="Comma 5 2 2 3 3 3 3" xfId="13573"/>
    <cellStyle name="Comma 5 2 2 3 3 3 4" xfId="8316"/>
    <cellStyle name="Comma 5 2 2 3 3 4" xfId="6180"/>
    <cellStyle name="Comma 5 2 2 3 3 4 2" xfId="15264"/>
    <cellStyle name="Comma 5 2 2 3 3 5" xfId="9770"/>
    <cellStyle name="Comma 5 2 2 3 3 5 2" xfId="18597"/>
    <cellStyle name="Comma 5 2 2 3 3 6" xfId="11214"/>
    <cellStyle name="Comma 5 2 2 3 3 7" xfId="4658"/>
    <cellStyle name="Comma 5 2 2 3 4" xfId="867"/>
    <cellStyle name="Comma 5 2 2 3 4 2" xfId="2587"/>
    <cellStyle name="Comma 5 2 2 3 4 2 2" xfId="16128"/>
    <cellStyle name="Comma 5 2 2 3 4 2 3" xfId="12550"/>
    <cellStyle name="Comma 5 2 2 3 4 2 4" xfId="7259"/>
    <cellStyle name="Comma 5 2 2 3 4 3" xfId="3855"/>
    <cellStyle name="Comma 5 2 2 3 4 3 2" xfId="17500"/>
    <cellStyle name="Comma 5 2 2 3 4 3 3" xfId="13921"/>
    <cellStyle name="Comma 5 2 2 3 4 3 4" xfId="8664"/>
    <cellStyle name="Comma 5 2 2 3 4 4" xfId="6375"/>
    <cellStyle name="Comma 5 2 2 3 4 4 2" xfId="15459"/>
    <cellStyle name="Comma 5 2 2 3 4 5" xfId="10118"/>
    <cellStyle name="Comma 5 2 2 3 4 5 2" xfId="18945"/>
    <cellStyle name="Comma 5 2 2 3 4 6" xfId="11564"/>
    <cellStyle name="Comma 5 2 2 3 4 7" xfId="4853"/>
    <cellStyle name="Comma 5 2 2 3 5" xfId="1493"/>
    <cellStyle name="Comma 5 2 2 3 5 2" xfId="3092"/>
    <cellStyle name="Comma 5 2 2 3 5 2 2" xfId="16641"/>
    <cellStyle name="Comma 5 2 2 3 5 2 3" xfId="13062"/>
    <cellStyle name="Comma 5 2 2 3 5 2 4" xfId="7773"/>
    <cellStyle name="Comma 5 2 2 3 5 3" xfId="4300"/>
    <cellStyle name="Comma 5 2 2 3 5 3 2" xfId="18005"/>
    <cellStyle name="Comma 5 2 2 3 5 3 3" xfId="14426"/>
    <cellStyle name="Comma 5 2 2 3 5 3 4" xfId="9169"/>
    <cellStyle name="Comma 5 2 2 3 5 4" xfId="5961"/>
    <cellStyle name="Comma 5 2 2 3 5 4 2" xfId="15047"/>
    <cellStyle name="Comma 5 2 2 3 5 5" xfId="10623"/>
    <cellStyle name="Comma 5 2 2 3 5 5 2" xfId="19450"/>
    <cellStyle name="Comma 5 2 2 3 5 6" xfId="12069"/>
    <cellStyle name="Comma 5 2 2 3 5 7" xfId="5367"/>
    <cellStyle name="Comma 5 2 2 3 6" xfId="2049"/>
    <cellStyle name="Comma 5 2 2 3 6 2" xfId="15890"/>
    <cellStyle name="Comma 5 2 2 3 6 3" xfId="12429"/>
    <cellStyle name="Comma 5 2 2 3 6 4" xfId="6847"/>
    <cellStyle name="Comma 5 2 2 3 7" xfId="3462"/>
    <cellStyle name="Comma 5 2 2 3 7 2" xfId="16962"/>
    <cellStyle name="Comma 5 2 2 3 7 3" xfId="13383"/>
    <cellStyle name="Comma 5 2 2 3 7 4" xfId="8126"/>
    <cellStyle name="Comma 5 2 2 3 8" xfId="5687"/>
    <cellStyle name="Comma 5 2 2 3 8 2" xfId="14773"/>
    <cellStyle name="Comma 5 2 2 3 9" xfId="9580"/>
    <cellStyle name="Comma 5 2 2 3 9 2" xfId="18407"/>
    <cellStyle name="Comma 5 2 2 4" xfId="197"/>
    <cellStyle name="Comma 5 2 2 4 10" xfId="10951"/>
    <cellStyle name="Comma 5 2 2 4 11" xfId="4473"/>
    <cellStyle name="Comma 5 2 2 4 2" xfId="414"/>
    <cellStyle name="Comma 5 2 2 4 2 2" xfId="512"/>
    <cellStyle name="Comma 5 2 2 4 2 2 2" xfId="2242"/>
    <cellStyle name="Comma 5 2 2 4 2 2 2 2" xfId="16131"/>
    <cellStyle name="Comma 5 2 2 4 2 2 2 3" xfId="12553"/>
    <cellStyle name="Comma 5 2 2 4 2 2 2 4" xfId="7262"/>
    <cellStyle name="Comma 5 2 2 4 2 2 3" xfId="3510"/>
    <cellStyle name="Comma 5 2 2 4 2 2 3 2" xfId="17155"/>
    <cellStyle name="Comma 5 2 2 4 2 2 3 3" xfId="13576"/>
    <cellStyle name="Comma 5 2 2 4 2 2 3 4" xfId="8319"/>
    <cellStyle name="Comma 5 2 2 4 2 2 4" xfId="6378"/>
    <cellStyle name="Comma 5 2 2 4 2 2 4 2" xfId="15462"/>
    <cellStyle name="Comma 5 2 2 4 2 2 5" xfId="9773"/>
    <cellStyle name="Comma 5 2 2 4 2 2 5 2" xfId="18600"/>
    <cellStyle name="Comma 5 2 2 4 2 2 6" xfId="11217"/>
    <cellStyle name="Comma 5 2 2 4 2 2 7" xfId="4856"/>
    <cellStyle name="Comma 5 2 2 4 2 3" xfId="870"/>
    <cellStyle name="Comma 5 2 2 4 2 3 2" xfId="2590"/>
    <cellStyle name="Comma 5 2 2 4 2 3 2 2" xfId="16773"/>
    <cellStyle name="Comma 5 2 2 4 2 3 2 3" xfId="13194"/>
    <cellStyle name="Comma 5 2 2 4 2 3 2 4" xfId="7905"/>
    <cellStyle name="Comma 5 2 2 4 2 3 3" xfId="3858"/>
    <cellStyle name="Comma 5 2 2 4 2 3 3 2" xfId="17503"/>
    <cellStyle name="Comma 5 2 2 4 2 3 3 3" xfId="13924"/>
    <cellStyle name="Comma 5 2 2 4 2 3 3 4" xfId="8667"/>
    <cellStyle name="Comma 5 2 2 4 2 3 4" xfId="6312"/>
    <cellStyle name="Comma 5 2 2 4 2 3 4 2" xfId="15396"/>
    <cellStyle name="Comma 5 2 2 4 2 3 5" xfId="10121"/>
    <cellStyle name="Comma 5 2 2 4 2 3 5 2" xfId="18948"/>
    <cellStyle name="Comma 5 2 2 4 2 3 6" xfId="11567"/>
    <cellStyle name="Comma 5 2 2 4 2 3 7" xfId="5499"/>
    <cellStyle name="Comma 5 2 2 4 2 4" xfId="1628"/>
    <cellStyle name="Comma 5 2 2 4 2 4 2" xfId="3224"/>
    <cellStyle name="Comma 5 2 2 4 2 4 2 2" xfId="18137"/>
    <cellStyle name="Comma 5 2 2 4 2 4 2 3" xfId="14558"/>
    <cellStyle name="Comma 5 2 2 4 2 4 2 4" xfId="9301"/>
    <cellStyle name="Comma 5 2 2 4 2 4 3" xfId="10755"/>
    <cellStyle name="Comma 5 2 2 4 2 4 3 2" xfId="19582"/>
    <cellStyle name="Comma 5 2 2 4 2 4 4" xfId="12201"/>
    <cellStyle name="Comma 5 2 2 4 2 4 5" xfId="7196"/>
    <cellStyle name="Comma 5 2 2 4 2 5" xfId="2181"/>
    <cellStyle name="Comma 5 2 2 4 2 5 2" xfId="17094"/>
    <cellStyle name="Comma 5 2 2 4 2 5 3" xfId="13515"/>
    <cellStyle name="Comma 5 2 2 4 2 5 4" xfId="8258"/>
    <cellStyle name="Comma 5 2 2 4 2 6" xfId="5819"/>
    <cellStyle name="Comma 5 2 2 4 2 6 2" xfId="14905"/>
    <cellStyle name="Comma 5 2 2 4 2 7" xfId="9712"/>
    <cellStyle name="Comma 5 2 2 4 2 7 2" xfId="18539"/>
    <cellStyle name="Comma 5 2 2 4 2 8" xfId="11156"/>
    <cellStyle name="Comma 5 2 2 4 2 9" xfId="4790"/>
    <cellStyle name="Comma 5 2 2 4 3" xfId="511"/>
    <cellStyle name="Comma 5 2 2 4 3 2" xfId="2241"/>
    <cellStyle name="Comma 5 2 2 4 3 2 2" xfId="16005"/>
    <cellStyle name="Comma 5 2 2 4 3 2 3" xfId="12315"/>
    <cellStyle name="Comma 5 2 2 4 3 2 4" xfId="6991"/>
    <cellStyle name="Comma 5 2 2 4 3 3" xfId="3509"/>
    <cellStyle name="Comma 5 2 2 4 3 3 2" xfId="17154"/>
    <cellStyle name="Comma 5 2 2 4 3 3 3" xfId="13575"/>
    <cellStyle name="Comma 5 2 2 4 3 3 4" xfId="8318"/>
    <cellStyle name="Comma 5 2 2 4 3 4" xfId="6107"/>
    <cellStyle name="Comma 5 2 2 4 3 4 2" xfId="15191"/>
    <cellStyle name="Comma 5 2 2 4 3 5" xfId="9772"/>
    <cellStyle name="Comma 5 2 2 4 3 5 2" xfId="18599"/>
    <cellStyle name="Comma 5 2 2 4 3 6" xfId="11216"/>
    <cellStyle name="Comma 5 2 2 4 3 7" xfId="4585"/>
    <cellStyle name="Comma 5 2 2 4 4" xfId="869"/>
    <cellStyle name="Comma 5 2 2 4 4 2" xfId="2589"/>
    <cellStyle name="Comma 5 2 2 4 4 2 2" xfId="16130"/>
    <cellStyle name="Comma 5 2 2 4 4 2 3" xfId="12552"/>
    <cellStyle name="Comma 5 2 2 4 4 2 4" xfId="7261"/>
    <cellStyle name="Comma 5 2 2 4 4 3" xfId="3857"/>
    <cellStyle name="Comma 5 2 2 4 4 3 2" xfId="17502"/>
    <cellStyle name="Comma 5 2 2 4 4 3 3" xfId="13923"/>
    <cellStyle name="Comma 5 2 2 4 4 3 4" xfId="8666"/>
    <cellStyle name="Comma 5 2 2 4 4 4" xfId="6377"/>
    <cellStyle name="Comma 5 2 2 4 4 4 2" xfId="15461"/>
    <cellStyle name="Comma 5 2 2 4 4 5" xfId="10120"/>
    <cellStyle name="Comma 5 2 2 4 4 5 2" xfId="18947"/>
    <cellStyle name="Comma 5 2 2 4 4 6" xfId="11566"/>
    <cellStyle name="Comma 5 2 2 4 4 7" xfId="4855"/>
    <cellStyle name="Comma 5 2 2 4 5" xfId="1414"/>
    <cellStyle name="Comma 5 2 2 4 5 2" xfId="3019"/>
    <cellStyle name="Comma 5 2 2 4 5 2 2" xfId="16568"/>
    <cellStyle name="Comma 5 2 2 4 5 2 3" xfId="12989"/>
    <cellStyle name="Comma 5 2 2 4 5 2 4" xfId="7700"/>
    <cellStyle name="Comma 5 2 2 4 5 3" xfId="4227"/>
    <cellStyle name="Comma 5 2 2 4 5 3 2" xfId="17932"/>
    <cellStyle name="Comma 5 2 2 4 5 3 3" xfId="14353"/>
    <cellStyle name="Comma 5 2 2 4 5 3 4" xfId="9096"/>
    <cellStyle name="Comma 5 2 2 4 5 4" xfId="5993"/>
    <cellStyle name="Comma 5 2 2 4 5 4 2" xfId="15079"/>
    <cellStyle name="Comma 5 2 2 4 5 5" xfId="10550"/>
    <cellStyle name="Comma 5 2 2 4 5 5 2" xfId="19377"/>
    <cellStyle name="Comma 5 2 2 4 5 6" xfId="11996"/>
    <cellStyle name="Comma 5 2 2 4 5 7" xfId="5294"/>
    <cellStyle name="Comma 5 2 2 4 6" xfId="1976"/>
    <cellStyle name="Comma 5 2 2 4 6 2" xfId="15922"/>
    <cellStyle name="Comma 5 2 2 4 6 3" xfId="12422"/>
    <cellStyle name="Comma 5 2 2 4 6 4" xfId="6879"/>
    <cellStyle name="Comma 5 2 2 4 7" xfId="3390"/>
    <cellStyle name="Comma 5 2 2 4 7 2" xfId="16889"/>
    <cellStyle name="Comma 5 2 2 4 7 3" xfId="13310"/>
    <cellStyle name="Comma 5 2 2 4 7 4" xfId="8053"/>
    <cellStyle name="Comma 5 2 2 4 8" xfId="5614"/>
    <cellStyle name="Comma 5 2 2 4 8 2" xfId="14700"/>
    <cellStyle name="Comma 5 2 2 4 9" xfId="9507"/>
    <cellStyle name="Comma 5 2 2 4 9 2" xfId="18334"/>
    <cellStyle name="Comma 5 2 2 5" xfId="308"/>
    <cellStyle name="Comma 5 2 2 5 2" xfId="513"/>
    <cellStyle name="Comma 5 2 2 5 2 2" xfId="2243"/>
    <cellStyle name="Comma 5 2 2 5 2 2 2" xfId="16132"/>
    <cellStyle name="Comma 5 2 2 5 2 2 3" xfId="12554"/>
    <cellStyle name="Comma 5 2 2 5 2 2 4" xfId="7263"/>
    <cellStyle name="Comma 5 2 2 5 2 3" xfId="3511"/>
    <cellStyle name="Comma 5 2 2 5 2 3 2" xfId="17156"/>
    <cellStyle name="Comma 5 2 2 5 2 3 3" xfId="13577"/>
    <cellStyle name="Comma 5 2 2 5 2 3 4" xfId="8320"/>
    <cellStyle name="Comma 5 2 2 5 2 4" xfId="6379"/>
    <cellStyle name="Comma 5 2 2 5 2 4 2" xfId="15463"/>
    <cellStyle name="Comma 5 2 2 5 2 5" xfId="9774"/>
    <cellStyle name="Comma 5 2 2 5 2 5 2" xfId="18601"/>
    <cellStyle name="Comma 5 2 2 5 2 6" xfId="11218"/>
    <cellStyle name="Comma 5 2 2 5 2 7" xfId="4857"/>
    <cellStyle name="Comma 5 2 2 5 3" xfId="871"/>
    <cellStyle name="Comma 5 2 2 5 3 2" xfId="2591"/>
    <cellStyle name="Comma 5 2 2 5 3 2 2" xfId="16668"/>
    <cellStyle name="Comma 5 2 2 5 3 2 3" xfId="13089"/>
    <cellStyle name="Comma 5 2 2 5 3 2 4" xfId="7800"/>
    <cellStyle name="Comma 5 2 2 5 3 3" xfId="3859"/>
    <cellStyle name="Comma 5 2 2 5 3 3 2" xfId="17504"/>
    <cellStyle name="Comma 5 2 2 5 3 3 3" xfId="13925"/>
    <cellStyle name="Comma 5 2 2 5 3 3 4" xfId="8668"/>
    <cellStyle name="Comma 5 2 2 5 3 4" xfId="6207"/>
    <cellStyle name="Comma 5 2 2 5 3 4 2" xfId="15291"/>
    <cellStyle name="Comma 5 2 2 5 3 5" xfId="10122"/>
    <cellStyle name="Comma 5 2 2 5 3 5 2" xfId="18949"/>
    <cellStyle name="Comma 5 2 2 5 3 6" xfId="11568"/>
    <cellStyle name="Comma 5 2 2 5 3 7" xfId="5394"/>
    <cellStyle name="Comma 5 2 2 5 4" xfId="1520"/>
    <cellStyle name="Comma 5 2 2 5 4 2" xfId="3119"/>
    <cellStyle name="Comma 5 2 2 5 4 2 2" xfId="18032"/>
    <cellStyle name="Comma 5 2 2 5 4 2 3" xfId="14453"/>
    <cellStyle name="Comma 5 2 2 5 4 2 4" xfId="9196"/>
    <cellStyle name="Comma 5 2 2 5 4 3" xfId="10650"/>
    <cellStyle name="Comma 5 2 2 5 4 3 2" xfId="19477"/>
    <cellStyle name="Comma 5 2 2 5 4 4" xfId="12096"/>
    <cellStyle name="Comma 5 2 2 5 4 5" xfId="7091"/>
    <cellStyle name="Comma 5 2 2 5 5" xfId="2076"/>
    <cellStyle name="Comma 5 2 2 5 5 2" xfId="16989"/>
    <cellStyle name="Comma 5 2 2 5 5 3" xfId="13410"/>
    <cellStyle name="Comma 5 2 2 5 5 4" xfId="8153"/>
    <cellStyle name="Comma 5 2 2 5 6" xfId="5714"/>
    <cellStyle name="Comma 5 2 2 5 6 2" xfId="14800"/>
    <cellStyle name="Comma 5 2 2 5 7" xfId="9607"/>
    <cellStyle name="Comma 5 2 2 5 7 2" xfId="18434"/>
    <cellStyle name="Comma 5 2 2 5 8" xfId="11051"/>
    <cellStyle name="Comma 5 2 2 5 9" xfId="4685"/>
    <cellStyle name="Comma 5 2 2 6" xfId="488"/>
    <cellStyle name="Comma 5 2 2 6 2" xfId="514"/>
    <cellStyle name="Comma 5 2 2 6 2 2" xfId="2244"/>
    <cellStyle name="Comma 5 2 2 6 2 2 2" xfId="16133"/>
    <cellStyle name="Comma 5 2 2 6 2 2 3" xfId="12555"/>
    <cellStyle name="Comma 5 2 2 6 2 2 4" xfId="7264"/>
    <cellStyle name="Comma 5 2 2 6 2 3" xfId="3512"/>
    <cellStyle name="Comma 5 2 2 6 2 3 2" xfId="17157"/>
    <cellStyle name="Comma 5 2 2 6 2 3 3" xfId="13578"/>
    <cellStyle name="Comma 5 2 2 6 2 3 4" xfId="8321"/>
    <cellStyle name="Comma 5 2 2 6 2 4" xfId="6380"/>
    <cellStyle name="Comma 5 2 2 6 2 4 2" xfId="15464"/>
    <cellStyle name="Comma 5 2 2 6 2 5" xfId="9775"/>
    <cellStyle name="Comma 5 2 2 6 2 5 2" xfId="18602"/>
    <cellStyle name="Comma 5 2 2 6 2 6" xfId="11219"/>
    <cellStyle name="Comma 5 2 2 6 2 7" xfId="4858"/>
    <cellStyle name="Comma 5 2 2 6 3" xfId="872"/>
    <cellStyle name="Comma 5 2 2 6 3 2" xfId="2592"/>
    <cellStyle name="Comma 5 2 2 6 3 2 2" xfId="16541"/>
    <cellStyle name="Comma 5 2 2 6 3 2 3" xfId="12962"/>
    <cellStyle name="Comma 5 2 2 6 3 2 4" xfId="7673"/>
    <cellStyle name="Comma 5 2 2 6 3 3" xfId="3860"/>
    <cellStyle name="Comma 5 2 2 6 3 3 2" xfId="17505"/>
    <cellStyle name="Comma 5 2 2 6 3 3 3" xfId="13926"/>
    <cellStyle name="Comma 5 2 2 6 3 3 4" xfId="8669"/>
    <cellStyle name="Comma 5 2 2 6 3 4" xfId="6728"/>
    <cellStyle name="Comma 5 2 2 6 3 4 2" xfId="15811"/>
    <cellStyle name="Comma 5 2 2 6 3 5" xfId="10123"/>
    <cellStyle name="Comma 5 2 2 6 3 5 2" xfId="18950"/>
    <cellStyle name="Comma 5 2 2 6 3 6" xfId="11569"/>
    <cellStyle name="Comma 5 2 2 6 3 7" xfId="5267"/>
    <cellStyle name="Comma 5 2 2 6 4" xfId="1383"/>
    <cellStyle name="Comma 5 2 2 6 4 2" xfId="2992"/>
    <cellStyle name="Comma 5 2 2 6 4 2 2" xfId="17905"/>
    <cellStyle name="Comma 5 2 2 6 4 2 3" xfId="14326"/>
    <cellStyle name="Comma 5 2 2 6 4 2 4" xfId="9069"/>
    <cellStyle name="Comma 5 2 2 6 4 3" xfId="10523"/>
    <cellStyle name="Comma 5 2 2 6 4 3 2" xfId="19350"/>
    <cellStyle name="Comma 5 2 2 6 4 4" xfId="11969"/>
    <cellStyle name="Comma 5 2 2 6 4 5" xfId="6964"/>
    <cellStyle name="Comma 5 2 2 6 5" xfId="1949"/>
    <cellStyle name="Comma 5 2 2 6 5 2" xfId="16860"/>
    <cellStyle name="Comma 5 2 2 6 5 3" xfId="13281"/>
    <cellStyle name="Comma 5 2 2 6 5 4" xfId="8024"/>
    <cellStyle name="Comma 5 2 2 6 6" xfId="6080"/>
    <cellStyle name="Comma 5 2 2 6 6 2" xfId="15164"/>
    <cellStyle name="Comma 5 2 2 6 7" xfId="9480"/>
    <cellStyle name="Comma 5 2 2 6 7 2" xfId="18307"/>
    <cellStyle name="Comma 5 2 2 6 8" xfId="10924"/>
    <cellStyle name="Comma 5 2 2 6 9" xfId="4558"/>
    <cellStyle name="Comma 5 2 2 7" xfId="505"/>
    <cellStyle name="Comma 5 2 2 7 2" xfId="2235"/>
    <cellStyle name="Comma 5 2 2 7 2 2" xfId="16124"/>
    <cellStyle name="Comma 5 2 2 7 2 3" xfId="12546"/>
    <cellStyle name="Comma 5 2 2 7 2 4" xfId="7255"/>
    <cellStyle name="Comma 5 2 2 7 3" xfId="3503"/>
    <cellStyle name="Comma 5 2 2 7 3 2" xfId="17148"/>
    <cellStyle name="Comma 5 2 2 7 3 3" xfId="13569"/>
    <cellStyle name="Comma 5 2 2 7 3 4" xfId="8312"/>
    <cellStyle name="Comma 5 2 2 7 4" xfId="6371"/>
    <cellStyle name="Comma 5 2 2 7 4 2" xfId="15455"/>
    <cellStyle name="Comma 5 2 2 7 5" xfId="9766"/>
    <cellStyle name="Comma 5 2 2 7 5 2" xfId="18593"/>
    <cellStyle name="Comma 5 2 2 7 6" xfId="11210"/>
    <cellStyle name="Comma 5 2 2 7 7" xfId="4849"/>
    <cellStyle name="Comma 5 2 2 8" xfId="863"/>
    <cellStyle name="Comma 5 2 2 8 2" xfId="2583"/>
    <cellStyle name="Comma 5 2 2 8 2 2" xfId="16496"/>
    <cellStyle name="Comma 5 2 2 8 2 3" xfId="12918"/>
    <cellStyle name="Comma 5 2 2 8 2 4" xfId="7628"/>
    <cellStyle name="Comma 5 2 2 8 3" xfId="3851"/>
    <cellStyle name="Comma 5 2 2 8 3 2" xfId="17496"/>
    <cellStyle name="Comma 5 2 2 8 3 3" xfId="13917"/>
    <cellStyle name="Comma 5 2 2 8 3 4" xfId="8660"/>
    <cellStyle name="Comma 5 2 2 8 4" xfId="5887"/>
    <cellStyle name="Comma 5 2 2 8 4 2" xfId="14973"/>
    <cellStyle name="Comma 5 2 2 8 5" xfId="10114"/>
    <cellStyle name="Comma 5 2 2 8 5 2" xfId="18941"/>
    <cellStyle name="Comma 5 2 2 8 6" xfId="11560"/>
    <cellStyle name="Comma 5 2 2 8 7" xfId="5222"/>
    <cellStyle name="Comma 5 2 2 9" xfId="1332"/>
    <cellStyle name="Comma 5 2 2 9 2" xfId="2947"/>
    <cellStyle name="Comma 5 2 2 9 2 2" xfId="17860"/>
    <cellStyle name="Comma 5 2 2 9 2 3" xfId="14281"/>
    <cellStyle name="Comma 5 2 2 9 2 4" xfId="9024"/>
    <cellStyle name="Comma 5 2 2 9 3" xfId="10478"/>
    <cellStyle name="Comma 5 2 2 9 3 2" xfId="19305"/>
    <cellStyle name="Comma 5 2 2 9 4" xfId="11924"/>
    <cellStyle name="Comma 5 2 2 9 5" xfId="6773"/>
    <cellStyle name="Comma 5 2 3" xfId="163"/>
    <cellStyle name="Comma 5 2 3 10" xfId="1912"/>
    <cellStyle name="Comma 5 2 3 10 2" xfId="9443"/>
    <cellStyle name="Comma 5 2 3 10 2 2" xfId="18270"/>
    <cellStyle name="Comma 5 2 3 10 3" xfId="10887"/>
    <cellStyle name="Comma 5 2 3 10 4" xfId="7987"/>
    <cellStyle name="Comma 5 2 3 11" xfId="1882"/>
    <cellStyle name="Comma 5 2 3 11 2" xfId="14681"/>
    <cellStyle name="Comma 5 2 3 11 3" xfId="5595"/>
    <cellStyle name="Comma 5 2 3 12" xfId="9413"/>
    <cellStyle name="Comma 5 2 3 12 2" xfId="18240"/>
    <cellStyle name="Comma 5 2 3 13" xfId="10857"/>
    <cellStyle name="Comma 5 2 3 14" xfId="4374"/>
    <cellStyle name="Comma 5 2 3 2" xfId="238"/>
    <cellStyle name="Comma 5 2 3 2 10" xfId="9545"/>
    <cellStyle name="Comma 5 2 3 2 10 2" xfId="18372"/>
    <cellStyle name="Comma 5 2 3 2 11" xfId="10989"/>
    <cellStyle name="Comma 5 2 3 2 12" xfId="4406"/>
    <cellStyle name="Comma 5 2 3 2 2" xfId="451"/>
    <cellStyle name="Comma 5 2 3 2 2 10" xfId="4510"/>
    <cellStyle name="Comma 5 2 3 2 2 2" xfId="517"/>
    <cellStyle name="Comma 5 2 3 2 2 2 2" xfId="2247"/>
    <cellStyle name="Comma 5 2 3 2 2 2 2 2" xfId="16102"/>
    <cellStyle name="Comma 5 2 3 2 2 2 2 3" xfId="12524"/>
    <cellStyle name="Comma 5 2 3 2 2 2 2 4" xfId="7233"/>
    <cellStyle name="Comma 5 2 3 2 2 2 3" xfId="3515"/>
    <cellStyle name="Comma 5 2 3 2 2 2 3 2" xfId="17160"/>
    <cellStyle name="Comma 5 2 3 2 2 2 3 3" xfId="13581"/>
    <cellStyle name="Comma 5 2 3 2 2 2 3 4" xfId="8324"/>
    <cellStyle name="Comma 5 2 3 2 2 2 4" xfId="6349"/>
    <cellStyle name="Comma 5 2 3 2 2 2 4 2" xfId="15433"/>
    <cellStyle name="Comma 5 2 3 2 2 2 5" xfId="9778"/>
    <cellStyle name="Comma 5 2 3 2 2 2 5 2" xfId="18605"/>
    <cellStyle name="Comma 5 2 3 2 2 2 6" xfId="11222"/>
    <cellStyle name="Comma 5 2 3 2 2 2 7" xfId="4827"/>
    <cellStyle name="Comma 5 2 3 2 2 3" xfId="875"/>
    <cellStyle name="Comma 5 2 3 2 2 3 2" xfId="2595"/>
    <cellStyle name="Comma 5 2 3 2 2 3 2 2" xfId="16136"/>
    <cellStyle name="Comma 5 2 3 2 2 3 2 3" xfId="12558"/>
    <cellStyle name="Comma 5 2 3 2 2 3 2 4" xfId="7267"/>
    <cellStyle name="Comma 5 2 3 2 2 3 3" xfId="3863"/>
    <cellStyle name="Comma 5 2 3 2 2 3 3 2" xfId="17508"/>
    <cellStyle name="Comma 5 2 3 2 2 3 3 3" xfId="13929"/>
    <cellStyle name="Comma 5 2 3 2 2 3 3 4" xfId="8672"/>
    <cellStyle name="Comma 5 2 3 2 2 3 4" xfId="6383"/>
    <cellStyle name="Comma 5 2 3 2 2 3 4 2" xfId="15467"/>
    <cellStyle name="Comma 5 2 3 2 2 3 5" xfId="10126"/>
    <cellStyle name="Comma 5 2 3 2 2 3 5 2" xfId="18953"/>
    <cellStyle name="Comma 5 2 3 2 2 3 6" xfId="11572"/>
    <cellStyle name="Comma 5 2 3 2 2 3 7" xfId="4861"/>
    <cellStyle name="Comma 5 2 3 2 2 4" xfId="1665"/>
    <cellStyle name="Comma 5 2 3 2 2 4 2" xfId="3261"/>
    <cellStyle name="Comma 5 2 3 2 2 4 2 2" xfId="16810"/>
    <cellStyle name="Comma 5 2 3 2 2 4 2 3" xfId="13231"/>
    <cellStyle name="Comma 5 2 3 2 2 4 2 4" xfId="7942"/>
    <cellStyle name="Comma 5 2 3 2 2 4 3" xfId="4324"/>
    <cellStyle name="Comma 5 2 3 2 2 4 3 2" xfId="18174"/>
    <cellStyle name="Comma 5 2 3 2 2 4 3 3" xfId="14595"/>
    <cellStyle name="Comma 5 2 3 2 2 4 3 4" xfId="9338"/>
    <cellStyle name="Comma 5 2 3 2 2 4 4" xfId="6030"/>
    <cellStyle name="Comma 5 2 3 2 2 4 4 2" xfId="15116"/>
    <cellStyle name="Comma 5 2 3 2 2 4 5" xfId="10792"/>
    <cellStyle name="Comma 5 2 3 2 2 4 5 2" xfId="19619"/>
    <cellStyle name="Comma 5 2 3 2 2 4 6" xfId="12238"/>
    <cellStyle name="Comma 5 2 3 2 2 4 7" xfId="5536"/>
    <cellStyle name="Comma 5 2 3 2 2 5" xfId="2218"/>
    <cellStyle name="Comma 5 2 3 2 2 5 2" xfId="15959"/>
    <cellStyle name="Comma 5 2 3 2 2 5 3" xfId="12504"/>
    <cellStyle name="Comma 5 2 3 2 2 5 4" xfId="6916"/>
    <cellStyle name="Comma 5 2 3 2 2 6" xfId="3486"/>
    <cellStyle name="Comma 5 2 3 2 2 6 2" xfId="17131"/>
    <cellStyle name="Comma 5 2 3 2 2 6 3" xfId="13552"/>
    <cellStyle name="Comma 5 2 3 2 2 6 4" xfId="8295"/>
    <cellStyle name="Comma 5 2 3 2 2 7" xfId="5856"/>
    <cellStyle name="Comma 5 2 3 2 2 7 2" xfId="14942"/>
    <cellStyle name="Comma 5 2 3 2 2 8" xfId="9749"/>
    <cellStyle name="Comma 5 2 3 2 2 8 2" xfId="18576"/>
    <cellStyle name="Comma 5 2 3 2 2 9" xfId="11193"/>
    <cellStyle name="Comma 5 2 3 2 3" xfId="346"/>
    <cellStyle name="Comma 5 2 3 2 3 2" xfId="518"/>
    <cellStyle name="Comma 5 2 3 2 3 2 2" xfId="2248"/>
    <cellStyle name="Comma 5 2 3 2 3 2 2 2" xfId="16137"/>
    <cellStyle name="Comma 5 2 3 2 3 2 2 3" xfId="12559"/>
    <cellStyle name="Comma 5 2 3 2 3 2 2 4" xfId="7268"/>
    <cellStyle name="Comma 5 2 3 2 3 2 3" xfId="3516"/>
    <cellStyle name="Comma 5 2 3 2 3 2 3 2" xfId="17161"/>
    <cellStyle name="Comma 5 2 3 2 3 2 3 3" xfId="13582"/>
    <cellStyle name="Comma 5 2 3 2 3 2 3 4" xfId="8325"/>
    <cellStyle name="Comma 5 2 3 2 3 2 4" xfId="6384"/>
    <cellStyle name="Comma 5 2 3 2 3 2 4 2" xfId="15468"/>
    <cellStyle name="Comma 5 2 3 2 3 2 5" xfId="9779"/>
    <cellStyle name="Comma 5 2 3 2 3 2 5 2" xfId="18606"/>
    <cellStyle name="Comma 5 2 3 2 3 2 6" xfId="11223"/>
    <cellStyle name="Comma 5 2 3 2 3 2 7" xfId="4862"/>
    <cellStyle name="Comma 5 2 3 2 3 3" xfId="876"/>
    <cellStyle name="Comma 5 2 3 2 3 3 2" xfId="2596"/>
    <cellStyle name="Comma 5 2 3 2 3 3 2 2" xfId="16706"/>
    <cellStyle name="Comma 5 2 3 2 3 3 2 3" xfId="13127"/>
    <cellStyle name="Comma 5 2 3 2 3 3 2 4" xfId="7838"/>
    <cellStyle name="Comma 5 2 3 2 3 3 3" xfId="3864"/>
    <cellStyle name="Comma 5 2 3 2 3 3 3 2" xfId="17509"/>
    <cellStyle name="Comma 5 2 3 2 3 3 3 3" xfId="13930"/>
    <cellStyle name="Comma 5 2 3 2 3 3 3 4" xfId="8673"/>
    <cellStyle name="Comma 5 2 3 2 3 3 4" xfId="6245"/>
    <cellStyle name="Comma 5 2 3 2 3 3 4 2" xfId="15329"/>
    <cellStyle name="Comma 5 2 3 2 3 3 5" xfId="10127"/>
    <cellStyle name="Comma 5 2 3 2 3 3 5 2" xfId="18954"/>
    <cellStyle name="Comma 5 2 3 2 3 3 6" xfId="11573"/>
    <cellStyle name="Comma 5 2 3 2 3 3 7" xfId="5432"/>
    <cellStyle name="Comma 5 2 3 2 3 4" xfId="1558"/>
    <cellStyle name="Comma 5 2 3 2 3 4 2" xfId="3157"/>
    <cellStyle name="Comma 5 2 3 2 3 4 2 2" xfId="18070"/>
    <cellStyle name="Comma 5 2 3 2 3 4 2 3" xfId="14491"/>
    <cellStyle name="Comma 5 2 3 2 3 4 2 4" xfId="9234"/>
    <cellStyle name="Comma 5 2 3 2 3 4 3" xfId="10688"/>
    <cellStyle name="Comma 5 2 3 2 3 4 3 2" xfId="19515"/>
    <cellStyle name="Comma 5 2 3 2 3 4 4" xfId="12134"/>
    <cellStyle name="Comma 5 2 3 2 3 4 5" xfId="7129"/>
    <cellStyle name="Comma 5 2 3 2 3 5" xfId="2114"/>
    <cellStyle name="Comma 5 2 3 2 3 5 2" xfId="17027"/>
    <cellStyle name="Comma 5 2 3 2 3 5 3" xfId="13448"/>
    <cellStyle name="Comma 5 2 3 2 3 5 4" xfId="8191"/>
    <cellStyle name="Comma 5 2 3 2 3 6" xfId="5752"/>
    <cellStyle name="Comma 5 2 3 2 3 6 2" xfId="14838"/>
    <cellStyle name="Comma 5 2 3 2 3 7" xfId="9645"/>
    <cellStyle name="Comma 5 2 3 2 3 7 2" xfId="18472"/>
    <cellStyle name="Comma 5 2 3 2 3 8" xfId="11089"/>
    <cellStyle name="Comma 5 2 3 2 3 9" xfId="4723"/>
    <cellStyle name="Comma 5 2 3 2 4" xfId="516"/>
    <cellStyle name="Comma 5 2 3 2 4 2" xfId="2246"/>
    <cellStyle name="Comma 5 2 3 2 4 2 2" xfId="16043"/>
    <cellStyle name="Comma 5 2 3 2 4 2 3" xfId="12511"/>
    <cellStyle name="Comma 5 2 3 2 4 2 4" xfId="7029"/>
    <cellStyle name="Comma 5 2 3 2 4 3" xfId="3514"/>
    <cellStyle name="Comma 5 2 3 2 4 3 2" xfId="17159"/>
    <cellStyle name="Comma 5 2 3 2 4 3 3" xfId="13580"/>
    <cellStyle name="Comma 5 2 3 2 4 3 4" xfId="8323"/>
    <cellStyle name="Comma 5 2 3 2 4 4" xfId="6145"/>
    <cellStyle name="Comma 5 2 3 2 4 4 2" xfId="15229"/>
    <cellStyle name="Comma 5 2 3 2 4 5" xfId="9777"/>
    <cellStyle name="Comma 5 2 3 2 4 5 2" xfId="18604"/>
    <cellStyle name="Comma 5 2 3 2 4 6" xfId="11221"/>
    <cellStyle name="Comma 5 2 3 2 4 7" xfId="4623"/>
    <cellStyle name="Comma 5 2 3 2 5" xfId="874"/>
    <cellStyle name="Comma 5 2 3 2 5 2" xfId="2594"/>
    <cellStyle name="Comma 5 2 3 2 5 2 2" xfId="16135"/>
    <cellStyle name="Comma 5 2 3 2 5 2 3" xfId="12557"/>
    <cellStyle name="Comma 5 2 3 2 5 2 4" xfId="7266"/>
    <cellStyle name="Comma 5 2 3 2 5 3" xfId="3862"/>
    <cellStyle name="Comma 5 2 3 2 5 3 2" xfId="17507"/>
    <cellStyle name="Comma 5 2 3 2 5 3 3" xfId="13928"/>
    <cellStyle name="Comma 5 2 3 2 5 3 4" xfId="8671"/>
    <cellStyle name="Comma 5 2 3 2 5 4" xfId="6382"/>
    <cellStyle name="Comma 5 2 3 2 5 4 2" xfId="15466"/>
    <cellStyle name="Comma 5 2 3 2 5 5" xfId="10125"/>
    <cellStyle name="Comma 5 2 3 2 5 5 2" xfId="18952"/>
    <cellStyle name="Comma 5 2 3 2 5 6" xfId="11571"/>
    <cellStyle name="Comma 5 2 3 2 5 7" xfId="4860"/>
    <cellStyle name="Comma 5 2 3 2 6" xfId="1456"/>
    <cellStyle name="Comma 5 2 3 2 6 2" xfId="3057"/>
    <cellStyle name="Comma 5 2 3 2 6 2 2" xfId="16606"/>
    <cellStyle name="Comma 5 2 3 2 6 2 3" xfId="13027"/>
    <cellStyle name="Comma 5 2 3 2 6 2 4" xfId="7738"/>
    <cellStyle name="Comma 5 2 3 2 6 3" xfId="4265"/>
    <cellStyle name="Comma 5 2 3 2 6 3 2" xfId="17970"/>
    <cellStyle name="Comma 5 2 3 2 6 3 3" xfId="14391"/>
    <cellStyle name="Comma 5 2 3 2 6 3 4" xfId="9134"/>
    <cellStyle name="Comma 5 2 3 2 6 4" xfId="5926"/>
    <cellStyle name="Comma 5 2 3 2 6 4 2" xfId="15012"/>
    <cellStyle name="Comma 5 2 3 2 6 5" xfId="10588"/>
    <cellStyle name="Comma 5 2 3 2 6 5 2" xfId="19415"/>
    <cellStyle name="Comma 5 2 3 2 6 6" xfId="12034"/>
    <cellStyle name="Comma 5 2 3 2 6 7" xfId="5332"/>
    <cellStyle name="Comma 5 2 3 2 7" xfId="2014"/>
    <cellStyle name="Comma 5 2 3 2 7 2" xfId="15855"/>
    <cellStyle name="Comma 5 2 3 2 7 3" xfId="12478"/>
    <cellStyle name="Comma 5 2 3 2 7 4" xfId="6812"/>
    <cellStyle name="Comma 5 2 3 2 8" xfId="3427"/>
    <cellStyle name="Comma 5 2 3 2 8 2" xfId="16927"/>
    <cellStyle name="Comma 5 2 3 2 8 3" xfId="13348"/>
    <cellStyle name="Comma 5 2 3 2 8 4" xfId="8091"/>
    <cellStyle name="Comma 5 2 3 2 9" xfId="5652"/>
    <cellStyle name="Comma 5 2 3 2 9 2" xfId="14738"/>
    <cellStyle name="Comma 5 2 3 3" xfId="281"/>
    <cellStyle name="Comma 5 2 3 3 10" xfId="11032"/>
    <cellStyle name="Comma 5 2 3 3 11" xfId="4449"/>
    <cellStyle name="Comma 5 2 3 3 2" xfId="389"/>
    <cellStyle name="Comma 5 2 3 3 2 2" xfId="520"/>
    <cellStyle name="Comma 5 2 3 3 2 2 2" xfId="2250"/>
    <cellStyle name="Comma 5 2 3 3 2 2 2 2" xfId="16139"/>
    <cellStyle name="Comma 5 2 3 3 2 2 2 3" xfId="12561"/>
    <cellStyle name="Comma 5 2 3 3 2 2 2 4" xfId="7270"/>
    <cellStyle name="Comma 5 2 3 3 2 2 3" xfId="3518"/>
    <cellStyle name="Comma 5 2 3 3 2 2 3 2" xfId="17163"/>
    <cellStyle name="Comma 5 2 3 3 2 2 3 3" xfId="13584"/>
    <cellStyle name="Comma 5 2 3 3 2 2 3 4" xfId="8327"/>
    <cellStyle name="Comma 5 2 3 3 2 2 4" xfId="6386"/>
    <cellStyle name="Comma 5 2 3 3 2 2 4 2" xfId="15470"/>
    <cellStyle name="Comma 5 2 3 3 2 2 5" xfId="9781"/>
    <cellStyle name="Comma 5 2 3 3 2 2 5 2" xfId="18608"/>
    <cellStyle name="Comma 5 2 3 3 2 2 6" xfId="11225"/>
    <cellStyle name="Comma 5 2 3 3 2 2 7" xfId="4864"/>
    <cellStyle name="Comma 5 2 3 3 2 3" xfId="878"/>
    <cellStyle name="Comma 5 2 3 3 2 3 2" xfId="2598"/>
    <cellStyle name="Comma 5 2 3 3 2 3 2 2" xfId="16749"/>
    <cellStyle name="Comma 5 2 3 3 2 3 2 3" xfId="13170"/>
    <cellStyle name="Comma 5 2 3 3 2 3 2 4" xfId="7881"/>
    <cellStyle name="Comma 5 2 3 3 2 3 3" xfId="3866"/>
    <cellStyle name="Comma 5 2 3 3 2 3 3 2" xfId="17511"/>
    <cellStyle name="Comma 5 2 3 3 2 3 3 3" xfId="13932"/>
    <cellStyle name="Comma 5 2 3 3 2 3 3 4" xfId="8675"/>
    <cellStyle name="Comma 5 2 3 3 2 3 4" xfId="6288"/>
    <cellStyle name="Comma 5 2 3 3 2 3 4 2" xfId="15372"/>
    <cellStyle name="Comma 5 2 3 3 2 3 5" xfId="10129"/>
    <cellStyle name="Comma 5 2 3 3 2 3 5 2" xfId="18956"/>
    <cellStyle name="Comma 5 2 3 3 2 3 6" xfId="11575"/>
    <cellStyle name="Comma 5 2 3 3 2 3 7" xfId="5475"/>
    <cellStyle name="Comma 5 2 3 3 2 4" xfId="1603"/>
    <cellStyle name="Comma 5 2 3 3 2 4 2" xfId="3200"/>
    <cellStyle name="Comma 5 2 3 3 2 4 2 2" xfId="18113"/>
    <cellStyle name="Comma 5 2 3 3 2 4 2 3" xfId="14534"/>
    <cellStyle name="Comma 5 2 3 3 2 4 2 4" xfId="9277"/>
    <cellStyle name="Comma 5 2 3 3 2 4 3" xfId="10731"/>
    <cellStyle name="Comma 5 2 3 3 2 4 3 2" xfId="19558"/>
    <cellStyle name="Comma 5 2 3 3 2 4 4" xfId="12177"/>
    <cellStyle name="Comma 5 2 3 3 2 4 5" xfId="7172"/>
    <cellStyle name="Comma 5 2 3 3 2 5" xfId="2157"/>
    <cellStyle name="Comma 5 2 3 3 2 5 2" xfId="17070"/>
    <cellStyle name="Comma 5 2 3 3 2 5 3" xfId="13491"/>
    <cellStyle name="Comma 5 2 3 3 2 5 4" xfId="8234"/>
    <cellStyle name="Comma 5 2 3 3 2 6" xfId="5795"/>
    <cellStyle name="Comma 5 2 3 3 2 6 2" xfId="14881"/>
    <cellStyle name="Comma 5 2 3 3 2 7" xfId="9688"/>
    <cellStyle name="Comma 5 2 3 3 2 7 2" xfId="18515"/>
    <cellStyle name="Comma 5 2 3 3 2 8" xfId="11132"/>
    <cellStyle name="Comma 5 2 3 3 2 9" xfId="4766"/>
    <cellStyle name="Comma 5 2 3 3 3" xfId="519"/>
    <cellStyle name="Comma 5 2 3 3 3 2" xfId="2249"/>
    <cellStyle name="Comma 5 2 3 3 3 2 2" xfId="16086"/>
    <cellStyle name="Comma 5 2 3 3 3 2 3" xfId="12471"/>
    <cellStyle name="Comma 5 2 3 3 3 2 4" xfId="7072"/>
    <cellStyle name="Comma 5 2 3 3 3 3" xfId="3517"/>
    <cellStyle name="Comma 5 2 3 3 3 3 2" xfId="17162"/>
    <cellStyle name="Comma 5 2 3 3 3 3 3" xfId="13583"/>
    <cellStyle name="Comma 5 2 3 3 3 3 4" xfId="8326"/>
    <cellStyle name="Comma 5 2 3 3 3 4" xfId="6188"/>
    <cellStyle name="Comma 5 2 3 3 3 4 2" xfId="15272"/>
    <cellStyle name="Comma 5 2 3 3 3 5" xfId="9780"/>
    <cellStyle name="Comma 5 2 3 3 3 5 2" xfId="18607"/>
    <cellStyle name="Comma 5 2 3 3 3 6" xfId="11224"/>
    <cellStyle name="Comma 5 2 3 3 3 7" xfId="4666"/>
    <cellStyle name="Comma 5 2 3 3 4" xfId="877"/>
    <cellStyle name="Comma 5 2 3 3 4 2" xfId="2597"/>
    <cellStyle name="Comma 5 2 3 3 4 2 2" xfId="16138"/>
    <cellStyle name="Comma 5 2 3 3 4 2 3" xfId="12560"/>
    <cellStyle name="Comma 5 2 3 3 4 2 4" xfId="7269"/>
    <cellStyle name="Comma 5 2 3 3 4 3" xfId="3865"/>
    <cellStyle name="Comma 5 2 3 3 4 3 2" xfId="17510"/>
    <cellStyle name="Comma 5 2 3 3 4 3 3" xfId="13931"/>
    <cellStyle name="Comma 5 2 3 3 4 3 4" xfId="8674"/>
    <cellStyle name="Comma 5 2 3 3 4 4" xfId="6385"/>
    <cellStyle name="Comma 5 2 3 3 4 4 2" xfId="15469"/>
    <cellStyle name="Comma 5 2 3 3 4 5" xfId="10128"/>
    <cellStyle name="Comma 5 2 3 3 4 5 2" xfId="18955"/>
    <cellStyle name="Comma 5 2 3 3 4 6" xfId="11574"/>
    <cellStyle name="Comma 5 2 3 3 4 7" xfId="4863"/>
    <cellStyle name="Comma 5 2 3 3 5" xfId="1501"/>
    <cellStyle name="Comma 5 2 3 3 5 2" xfId="3100"/>
    <cellStyle name="Comma 5 2 3 3 5 2 2" xfId="16649"/>
    <cellStyle name="Comma 5 2 3 3 5 2 3" xfId="13070"/>
    <cellStyle name="Comma 5 2 3 3 5 2 4" xfId="7781"/>
    <cellStyle name="Comma 5 2 3 3 5 3" xfId="4308"/>
    <cellStyle name="Comma 5 2 3 3 5 3 2" xfId="18013"/>
    <cellStyle name="Comma 5 2 3 3 5 3 3" xfId="14434"/>
    <cellStyle name="Comma 5 2 3 3 5 3 4" xfId="9177"/>
    <cellStyle name="Comma 5 2 3 3 5 4" xfId="5969"/>
    <cellStyle name="Comma 5 2 3 3 5 4 2" xfId="15055"/>
    <cellStyle name="Comma 5 2 3 3 5 5" xfId="10631"/>
    <cellStyle name="Comma 5 2 3 3 5 5 2" xfId="19458"/>
    <cellStyle name="Comma 5 2 3 3 5 6" xfId="12077"/>
    <cellStyle name="Comma 5 2 3 3 5 7" xfId="5375"/>
    <cellStyle name="Comma 5 2 3 3 6" xfId="2057"/>
    <cellStyle name="Comma 5 2 3 3 6 2" xfId="15898"/>
    <cellStyle name="Comma 5 2 3 3 6 3" xfId="11369"/>
    <cellStyle name="Comma 5 2 3 3 6 4" xfId="6855"/>
    <cellStyle name="Comma 5 2 3 3 7" xfId="3470"/>
    <cellStyle name="Comma 5 2 3 3 7 2" xfId="16970"/>
    <cellStyle name="Comma 5 2 3 3 7 3" xfId="13391"/>
    <cellStyle name="Comma 5 2 3 3 7 4" xfId="8134"/>
    <cellStyle name="Comma 5 2 3 3 8" xfId="5695"/>
    <cellStyle name="Comma 5 2 3 3 8 2" xfId="14781"/>
    <cellStyle name="Comma 5 2 3 3 9" xfId="9588"/>
    <cellStyle name="Comma 5 2 3 3 9 2" xfId="18415"/>
    <cellStyle name="Comma 5 2 3 4" xfId="203"/>
    <cellStyle name="Comma 5 2 3 4 10" xfId="10957"/>
    <cellStyle name="Comma 5 2 3 4 11" xfId="4479"/>
    <cellStyle name="Comma 5 2 3 4 2" xfId="420"/>
    <cellStyle name="Comma 5 2 3 4 2 2" xfId="522"/>
    <cellStyle name="Comma 5 2 3 4 2 2 2" xfId="2252"/>
    <cellStyle name="Comma 5 2 3 4 2 2 2 2" xfId="16141"/>
    <cellStyle name="Comma 5 2 3 4 2 2 2 3" xfId="12563"/>
    <cellStyle name="Comma 5 2 3 4 2 2 2 4" xfId="7272"/>
    <cellStyle name="Comma 5 2 3 4 2 2 3" xfId="3520"/>
    <cellStyle name="Comma 5 2 3 4 2 2 3 2" xfId="17165"/>
    <cellStyle name="Comma 5 2 3 4 2 2 3 3" xfId="13586"/>
    <cellStyle name="Comma 5 2 3 4 2 2 3 4" xfId="8329"/>
    <cellStyle name="Comma 5 2 3 4 2 2 4" xfId="6388"/>
    <cellStyle name="Comma 5 2 3 4 2 2 4 2" xfId="15472"/>
    <cellStyle name="Comma 5 2 3 4 2 2 5" xfId="9783"/>
    <cellStyle name="Comma 5 2 3 4 2 2 5 2" xfId="18610"/>
    <cellStyle name="Comma 5 2 3 4 2 2 6" xfId="11227"/>
    <cellStyle name="Comma 5 2 3 4 2 2 7" xfId="4866"/>
    <cellStyle name="Comma 5 2 3 4 2 3" xfId="880"/>
    <cellStyle name="Comma 5 2 3 4 2 3 2" xfId="2600"/>
    <cellStyle name="Comma 5 2 3 4 2 3 2 2" xfId="16779"/>
    <cellStyle name="Comma 5 2 3 4 2 3 2 3" xfId="13200"/>
    <cellStyle name="Comma 5 2 3 4 2 3 2 4" xfId="7911"/>
    <cellStyle name="Comma 5 2 3 4 2 3 3" xfId="3868"/>
    <cellStyle name="Comma 5 2 3 4 2 3 3 2" xfId="17513"/>
    <cellStyle name="Comma 5 2 3 4 2 3 3 3" xfId="13934"/>
    <cellStyle name="Comma 5 2 3 4 2 3 3 4" xfId="8677"/>
    <cellStyle name="Comma 5 2 3 4 2 3 4" xfId="6318"/>
    <cellStyle name="Comma 5 2 3 4 2 3 4 2" xfId="15402"/>
    <cellStyle name="Comma 5 2 3 4 2 3 5" xfId="10131"/>
    <cellStyle name="Comma 5 2 3 4 2 3 5 2" xfId="18958"/>
    <cellStyle name="Comma 5 2 3 4 2 3 6" xfId="11577"/>
    <cellStyle name="Comma 5 2 3 4 2 3 7" xfId="5505"/>
    <cellStyle name="Comma 5 2 3 4 2 4" xfId="1634"/>
    <cellStyle name="Comma 5 2 3 4 2 4 2" xfId="3230"/>
    <cellStyle name="Comma 5 2 3 4 2 4 2 2" xfId="18143"/>
    <cellStyle name="Comma 5 2 3 4 2 4 2 3" xfId="14564"/>
    <cellStyle name="Comma 5 2 3 4 2 4 2 4" xfId="9307"/>
    <cellStyle name="Comma 5 2 3 4 2 4 3" xfId="10761"/>
    <cellStyle name="Comma 5 2 3 4 2 4 3 2" xfId="19588"/>
    <cellStyle name="Comma 5 2 3 4 2 4 4" xfId="12207"/>
    <cellStyle name="Comma 5 2 3 4 2 4 5" xfId="7202"/>
    <cellStyle name="Comma 5 2 3 4 2 5" xfId="2187"/>
    <cellStyle name="Comma 5 2 3 4 2 5 2" xfId="17100"/>
    <cellStyle name="Comma 5 2 3 4 2 5 3" xfId="13521"/>
    <cellStyle name="Comma 5 2 3 4 2 5 4" xfId="8264"/>
    <cellStyle name="Comma 5 2 3 4 2 6" xfId="5825"/>
    <cellStyle name="Comma 5 2 3 4 2 6 2" xfId="14911"/>
    <cellStyle name="Comma 5 2 3 4 2 7" xfId="9718"/>
    <cellStyle name="Comma 5 2 3 4 2 7 2" xfId="18545"/>
    <cellStyle name="Comma 5 2 3 4 2 8" xfId="11162"/>
    <cellStyle name="Comma 5 2 3 4 2 9" xfId="4796"/>
    <cellStyle name="Comma 5 2 3 4 3" xfId="521"/>
    <cellStyle name="Comma 5 2 3 4 3 2" xfId="2251"/>
    <cellStyle name="Comma 5 2 3 4 3 2 2" xfId="16011"/>
    <cellStyle name="Comma 5 2 3 4 3 2 3" xfId="12329"/>
    <cellStyle name="Comma 5 2 3 4 3 2 4" xfId="6997"/>
    <cellStyle name="Comma 5 2 3 4 3 3" xfId="3519"/>
    <cellStyle name="Comma 5 2 3 4 3 3 2" xfId="17164"/>
    <cellStyle name="Comma 5 2 3 4 3 3 3" xfId="13585"/>
    <cellStyle name="Comma 5 2 3 4 3 3 4" xfId="8328"/>
    <cellStyle name="Comma 5 2 3 4 3 4" xfId="6113"/>
    <cellStyle name="Comma 5 2 3 4 3 4 2" xfId="15197"/>
    <cellStyle name="Comma 5 2 3 4 3 5" xfId="9782"/>
    <cellStyle name="Comma 5 2 3 4 3 5 2" xfId="18609"/>
    <cellStyle name="Comma 5 2 3 4 3 6" xfId="11226"/>
    <cellStyle name="Comma 5 2 3 4 3 7" xfId="4591"/>
    <cellStyle name="Comma 5 2 3 4 4" xfId="879"/>
    <cellStyle name="Comma 5 2 3 4 4 2" xfId="2599"/>
    <cellStyle name="Comma 5 2 3 4 4 2 2" xfId="16140"/>
    <cellStyle name="Comma 5 2 3 4 4 2 3" xfId="12562"/>
    <cellStyle name="Comma 5 2 3 4 4 2 4" xfId="7271"/>
    <cellStyle name="Comma 5 2 3 4 4 3" xfId="3867"/>
    <cellStyle name="Comma 5 2 3 4 4 3 2" xfId="17512"/>
    <cellStyle name="Comma 5 2 3 4 4 3 3" xfId="13933"/>
    <cellStyle name="Comma 5 2 3 4 4 3 4" xfId="8676"/>
    <cellStyle name="Comma 5 2 3 4 4 4" xfId="6387"/>
    <cellStyle name="Comma 5 2 3 4 4 4 2" xfId="15471"/>
    <cellStyle name="Comma 5 2 3 4 4 5" xfId="10130"/>
    <cellStyle name="Comma 5 2 3 4 4 5 2" xfId="18957"/>
    <cellStyle name="Comma 5 2 3 4 4 6" xfId="11576"/>
    <cellStyle name="Comma 5 2 3 4 4 7" xfId="4865"/>
    <cellStyle name="Comma 5 2 3 4 5" xfId="1420"/>
    <cellStyle name="Comma 5 2 3 4 5 2" xfId="3025"/>
    <cellStyle name="Comma 5 2 3 4 5 2 2" xfId="16574"/>
    <cellStyle name="Comma 5 2 3 4 5 2 3" xfId="12995"/>
    <cellStyle name="Comma 5 2 3 4 5 2 4" xfId="7706"/>
    <cellStyle name="Comma 5 2 3 4 5 3" xfId="4233"/>
    <cellStyle name="Comma 5 2 3 4 5 3 2" xfId="17938"/>
    <cellStyle name="Comma 5 2 3 4 5 3 3" xfId="14359"/>
    <cellStyle name="Comma 5 2 3 4 5 3 4" xfId="9102"/>
    <cellStyle name="Comma 5 2 3 4 5 4" xfId="5999"/>
    <cellStyle name="Comma 5 2 3 4 5 4 2" xfId="15085"/>
    <cellStyle name="Comma 5 2 3 4 5 5" xfId="10556"/>
    <cellStyle name="Comma 5 2 3 4 5 5 2" xfId="19383"/>
    <cellStyle name="Comma 5 2 3 4 5 6" xfId="12002"/>
    <cellStyle name="Comma 5 2 3 4 5 7" xfId="5300"/>
    <cellStyle name="Comma 5 2 3 4 6" xfId="1982"/>
    <cellStyle name="Comma 5 2 3 4 6 2" xfId="15928"/>
    <cellStyle name="Comma 5 2 3 4 6 3" xfId="12355"/>
    <cellStyle name="Comma 5 2 3 4 6 4" xfId="6885"/>
    <cellStyle name="Comma 5 2 3 4 7" xfId="3396"/>
    <cellStyle name="Comma 5 2 3 4 7 2" xfId="16895"/>
    <cellStyle name="Comma 5 2 3 4 7 3" xfId="13316"/>
    <cellStyle name="Comma 5 2 3 4 7 4" xfId="8059"/>
    <cellStyle name="Comma 5 2 3 4 8" xfId="5620"/>
    <cellStyle name="Comma 5 2 3 4 8 2" xfId="14706"/>
    <cellStyle name="Comma 5 2 3 4 9" xfId="9513"/>
    <cellStyle name="Comma 5 2 3 4 9 2" xfId="18340"/>
    <cellStyle name="Comma 5 2 3 5" xfId="314"/>
    <cellStyle name="Comma 5 2 3 5 2" xfId="523"/>
    <cellStyle name="Comma 5 2 3 5 2 2" xfId="2253"/>
    <cellStyle name="Comma 5 2 3 5 2 2 2" xfId="16142"/>
    <cellStyle name="Comma 5 2 3 5 2 2 3" xfId="12564"/>
    <cellStyle name="Comma 5 2 3 5 2 2 4" xfId="7273"/>
    <cellStyle name="Comma 5 2 3 5 2 3" xfId="3521"/>
    <cellStyle name="Comma 5 2 3 5 2 3 2" xfId="17166"/>
    <cellStyle name="Comma 5 2 3 5 2 3 3" xfId="13587"/>
    <cellStyle name="Comma 5 2 3 5 2 3 4" xfId="8330"/>
    <cellStyle name="Comma 5 2 3 5 2 4" xfId="6389"/>
    <cellStyle name="Comma 5 2 3 5 2 4 2" xfId="15473"/>
    <cellStyle name="Comma 5 2 3 5 2 5" xfId="9784"/>
    <cellStyle name="Comma 5 2 3 5 2 5 2" xfId="18611"/>
    <cellStyle name="Comma 5 2 3 5 2 6" xfId="11228"/>
    <cellStyle name="Comma 5 2 3 5 2 7" xfId="4867"/>
    <cellStyle name="Comma 5 2 3 5 3" xfId="881"/>
    <cellStyle name="Comma 5 2 3 5 3 2" xfId="2601"/>
    <cellStyle name="Comma 5 2 3 5 3 2 2" xfId="16674"/>
    <cellStyle name="Comma 5 2 3 5 3 2 3" xfId="13095"/>
    <cellStyle name="Comma 5 2 3 5 3 2 4" xfId="7806"/>
    <cellStyle name="Comma 5 2 3 5 3 3" xfId="3869"/>
    <cellStyle name="Comma 5 2 3 5 3 3 2" xfId="17514"/>
    <cellStyle name="Comma 5 2 3 5 3 3 3" xfId="13935"/>
    <cellStyle name="Comma 5 2 3 5 3 3 4" xfId="8678"/>
    <cellStyle name="Comma 5 2 3 5 3 4" xfId="6213"/>
    <cellStyle name="Comma 5 2 3 5 3 4 2" xfId="15297"/>
    <cellStyle name="Comma 5 2 3 5 3 5" xfId="10132"/>
    <cellStyle name="Comma 5 2 3 5 3 5 2" xfId="18959"/>
    <cellStyle name="Comma 5 2 3 5 3 6" xfId="11578"/>
    <cellStyle name="Comma 5 2 3 5 3 7" xfId="5400"/>
    <cellStyle name="Comma 5 2 3 5 4" xfId="1526"/>
    <cellStyle name="Comma 5 2 3 5 4 2" xfId="3125"/>
    <cellStyle name="Comma 5 2 3 5 4 2 2" xfId="18038"/>
    <cellStyle name="Comma 5 2 3 5 4 2 3" xfId="14459"/>
    <cellStyle name="Comma 5 2 3 5 4 2 4" xfId="9202"/>
    <cellStyle name="Comma 5 2 3 5 4 3" xfId="10656"/>
    <cellStyle name="Comma 5 2 3 5 4 3 2" xfId="19483"/>
    <cellStyle name="Comma 5 2 3 5 4 4" xfId="12102"/>
    <cellStyle name="Comma 5 2 3 5 4 5" xfId="7097"/>
    <cellStyle name="Comma 5 2 3 5 5" xfId="2082"/>
    <cellStyle name="Comma 5 2 3 5 5 2" xfId="16995"/>
    <cellStyle name="Comma 5 2 3 5 5 3" xfId="13416"/>
    <cellStyle name="Comma 5 2 3 5 5 4" xfId="8159"/>
    <cellStyle name="Comma 5 2 3 5 6" xfId="5720"/>
    <cellStyle name="Comma 5 2 3 5 6 2" xfId="14806"/>
    <cellStyle name="Comma 5 2 3 5 7" xfId="9613"/>
    <cellStyle name="Comma 5 2 3 5 7 2" xfId="18440"/>
    <cellStyle name="Comma 5 2 3 5 8" xfId="11057"/>
    <cellStyle name="Comma 5 2 3 5 9" xfId="4691"/>
    <cellStyle name="Comma 5 2 3 6" xfId="495"/>
    <cellStyle name="Comma 5 2 3 6 2" xfId="524"/>
    <cellStyle name="Comma 5 2 3 6 2 2" xfId="2254"/>
    <cellStyle name="Comma 5 2 3 6 2 2 2" xfId="16143"/>
    <cellStyle name="Comma 5 2 3 6 2 2 3" xfId="12565"/>
    <cellStyle name="Comma 5 2 3 6 2 2 4" xfId="7274"/>
    <cellStyle name="Comma 5 2 3 6 2 3" xfId="3522"/>
    <cellStyle name="Comma 5 2 3 6 2 3 2" xfId="17167"/>
    <cellStyle name="Comma 5 2 3 6 2 3 3" xfId="13588"/>
    <cellStyle name="Comma 5 2 3 6 2 3 4" xfId="8331"/>
    <cellStyle name="Comma 5 2 3 6 2 4" xfId="6390"/>
    <cellStyle name="Comma 5 2 3 6 2 4 2" xfId="15474"/>
    <cellStyle name="Comma 5 2 3 6 2 5" xfId="9785"/>
    <cellStyle name="Comma 5 2 3 6 2 5 2" xfId="18612"/>
    <cellStyle name="Comma 5 2 3 6 2 6" xfId="11229"/>
    <cellStyle name="Comma 5 2 3 6 2 7" xfId="4868"/>
    <cellStyle name="Comma 5 2 3 6 3" xfId="882"/>
    <cellStyle name="Comma 5 2 3 6 3 2" xfId="2602"/>
    <cellStyle name="Comma 5 2 3 6 3 2 2" xfId="16549"/>
    <cellStyle name="Comma 5 2 3 6 3 2 3" xfId="12970"/>
    <cellStyle name="Comma 5 2 3 6 3 2 4" xfId="7681"/>
    <cellStyle name="Comma 5 2 3 6 3 3" xfId="3870"/>
    <cellStyle name="Comma 5 2 3 6 3 3 2" xfId="17515"/>
    <cellStyle name="Comma 5 2 3 6 3 3 3" xfId="13936"/>
    <cellStyle name="Comma 5 2 3 6 3 3 4" xfId="8679"/>
    <cellStyle name="Comma 5 2 3 6 3 4" xfId="6726"/>
    <cellStyle name="Comma 5 2 3 6 3 4 2" xfId="15809"/>
    <cellStyle name="Comma 5 2 3 6 3 5" xfId="10133"/>
    <cellStyle name="Comma 5 2 3 6 3 5 2" xfId="18960"/>
    <cellStyle name="Comma 5 2 3 6 3 6" xfId="11579"/>
    <cellStyle name="Comma 5 2 3 6 3 7" xfId="5275"/>
    <cellStyle name="Comma 5 2 3 6 4" xfId="1391"/>
    <cellStyle name="Comma 5 2 3 6 4 2" xfId="3000"/>
    <cellStyle name="Comma 5 2 3 6 4 2 2" xfId="17913"/>
    <cellStyle name="Comma 5 2 3 6 4 2 3" xfId="14334"/>
    <cellStyle name="Comma 5 2 3 6 4 2 4" xfId="9077"/>
    <cellStyle name="Comma 5 2 3 6 4 3" xfId="10531"/>
    <cellStyle name="Comma 5 2 3 6 4 3 2" xfId="19358"/>
    <cellStyle name="Comma 5 2 3 6 4 4" xfId="11977"/>
    <cellStyle name="Comma 5 2 3 6 4 5" xfId="6972"/>
    <cellStyle name="Comma 5 2 3 6 5" xfId="1957"/>
    <cellStyle name="Comma 5 2 3 6 5 2" xfId="16868"/>
    <cellStyle name="Comma 5 2 3 6 5 3" xfId="13289"/>
    <cellStyle name="Comma 5 2 3 6 5 4" xfId="8032"/>
    <cellStyle name="Comma 5 2 3 6 6" xfId="6088"/>
    <cellStyle name="Comma 5 2 3 6 6 2" xfId="15172"/>
    <cellStyle name="Comma 5 2 3 6 7" xfId="9488"/>
    <cellStyle name="Comma 5 2 3 6 7 2" xfId="18315"/>
    <cellStyle name="Comma 5 2 3 6 8" xfId="10932"/>
    <cellStyle name="Comma 5 2 3 6 9" xfId="4566"/>
    <cellStyle name="Comma 5 2 3 7" xfId="515"/>
    <cellStyle name="Comma 5 2 3 7 2" xfId="2245"/>
    <cellStyle name="Comma 5 2 3 7 2 2" xfId="16134"/>
    <cellStyle name="Comma 5 2 3 7 2 3" xfId="12556"/>
    <cellStyle name="Comma 5 2 3 7 2 4" xfId="7265"/>
    <cellStyle name="Comma 5 2 3 7 3" xfId="3513"/>
    <cellStyle name="Comma 5 2 3 7 3 2" xfId="17158"/>
    <cellStyle name="Comma 5 2 3 7 3 3" xfId="13579"/>
    <cellStyle name="Comma 5 2 3 7 3 4" xfId="8322"/>
    <cellStyle name="Comma 5 2 3 7 4" xfId="6381"/>
    <cellStyle name="Comma 5 2 3 7 4 2" xfId="15465"/>
    <cellStyle name="Comma 5 2 3 7 5" xfId="9776"/>
    <cellStyle name="Comma 5 2 3 7 5 2" xfId="18603"/>
    <cellStyle name="Comma 5 2 3 7 6" xfId="11220"/>
    <cellStyle name="Comma 5 2 3 7 7" xfId="4859"/>
    <cellStyle name="Comma 5 2 3 8" xfId="873"/>
    <cellStyle name="Comma 5 2 3 8 2" xfId="2593"/>
    <cellStyle name="Comma 5 2 3 8 2 2" xfId="16504"/>
    <cellStyle name="Comma 5 2 3 8 2 3" xfId="12926"/>
    <cellStyle name="Comma 5 2 3 8 2 4" xfId="7636"/>
    <cellStyle name="Comma 5 2 3 8 3" xfId="3861"/>
    <cellStyle name="Comma 5 2 3 8 3 2" xfId="17506"/>
    <cellStyle name="Comma 5 2 3 8 3 3" xfId="13927"/>
    <cellStyle name="Comma 5 2 3 8 3 4" xfId="8670"/>
    <cellStyle name="Comma 5 2 3 8 4" xfId="5893"/>
    <cellStyle name="Comma 5 2 3 8 4 2" xfId="14979"/>
    <cellStyle name="Comma 5 2 3 8 5" xfId="10124"/>
    <cellStyle name="Comma 5 2 3 8 5 2" xfId="18951"/>
    <cellStyle name="Comma 5 2 3 8 6" xfId="11570"/>
    <cellStyle name="Comma 5 2 3 8 7" xfId="5230"/>
    <cellStyle name="Comma 5 2 3 9" xfId="1342"/>
    <cellStyle name="Comma 5 2 3 9 2" xfId="2955"/>
    <cellStyle name="Comma 5 2 3 9 2 2" xfId="17868"/>
    <cellStyle name="Comma 5 2 3 9 2 3" xfId="14289"/>
    <cellStyle name="Comma 5 2 3 9 2 4" xfId="9032"/>
    <cellStyle name="Comma 5 2 3 9 3" xfId="10486"/>
    <cellStyle name="Comma 5 2 3 9 3 2" xfId="19313"/>
    <cellStyle name="Comma 5 2 3 9 4" xfId="11932"/>
    <cellStyle name="Comma 5 2 3 9 5" xfId="6780"/>
    <cellStyle name="Comma 5 2 4" xfId="149"/>
    <cellStyle name="Comma 5 2 4 10" xfId="5573"/>
    <cellStyle name="Comma 5 2 4 10 2" xfId="14659"/>
    <cellStyle name="Comma 5 2 4 11" xfId="9393"/>
    <cellStyle name="Comma 5 2 4 11 2" xfId="18220"/>
    <cellStyle name="Comma 5 2 4 12" xfId="10833"/>
    <cellStyle name="Comma 5 2 4 13" xfId="4386"/>
    <cellStyle name="Comma 5 2 4 2" xfId="261"/>
    <cellStyle name="Comma 5 2 4 2 10" xfId="11012"/>
    <cellStyle name="Comma 5 2 4 2 11" xfId="4429"/>
    <cellStyle name="Comma 5 2 4 2 2" xfId="369"/>
    <cellStyle name="Comma 5 2 4 2 2 2" xfId="527"/>
    <cellStyle name="Comma 5 2 4 2 2 2 2" xfId="2257"/>
    <cellStyle name="Comma 5 2 4 2 2 2 2 2" xfId="16146"/>
    <cellStyle name="Comma 5 2 4 2 2 2 2 3" xfId="12568"/>
    <cellStyle name="Comma 5 2 4 2 2 2 2 4" xfId="7277"/>
    <cellStyle name="Comma 5 2 4 2 2 2 3" xfId="3525"/>
    <cellStyle name="Comma 5 2 4 2 2 2 3 2" xfId="17170"/>
    <cellStyle name="Comma 5 2 4 2 2 2 3 3" xfId="13591"/>
    <cellStyle name="Comma 5 2 4 2 2 2 3 4" xfId="8334"/>
    <cellStyle name="Comma 5 2 4 2 2 2 4" xfId="6393"/>
    <cellStyle name="Comma 5 2 4 2 2 2 4 2" xfId="15477"/>
    <cellStyle name="Comma 5 2 4 2 2 2 5" xfId="9788"/>
    <cellStyle name="Comma 5 2 4 2 2 2 5 2" xfId="18615"/>
    <cellStyle name="Comma 5 2 4 2 2 2 6" xfId="11232"/>
    <cellStyle name="Comma 5 2 4 2 2 2 7" xfId="4871"/>
    <cellStyle name="Comma 5 2 4 2 2 3" xfId="885"/>
    <cellStyle name="Comma 5 2 4 2 2 3 2" xfId="2605"/>
    <cellStyle name="Comma 5 2 4 2 2 3 2 2" xfId="16729"/>
    <cellStyle name="Comma 5 2 4 2 2 3 2 3" xfId="13150"/>
    <cellStyle name="Comma 5 2 4 2 2 3 2 4" xfId="7861"/>
    <cellStyle name="Comma 5 2 4 2 2 3 3" xfId="3873"/>
    <cellStyle name="Comma 5 2 4 2 2 3 3 2" xfId="17518"/>
    <cellStyle name="Comma 5 2 4 2 2 3 3 3" xfId="13939"/>
    <cellStyle name="Comma 5 2 4 2 2 3 3 4" xfId="8682"/>
    <cellStyle name="Comma 5 2 4 2 2 3 4" xfId="6268"/>
    <cellStyle name="Comma 5 2 4 2 2 3 4 2" xfId="15352"/>
    <cellStyle name="Comma 5 2 4 2 2 3 5" xfId="10136"/>
    <cellStyle name="Comma 5 2 4 2 2 3 5 2" xfId="18963"/>
    <cellStyle name="Comma 5 2 4 2 2 3 6" xfId="11582"/>
    <cellStyle name="Comma 5 2 4 2 2 3 7" xfId="5455"/>
    <cellStyle name="Comma 5 2 4 2 2 4" xfId="1582"/>
    <cellStyle name="Comma 5 2 4 2 2 4 2" xfId="3180"/>
    <cellStyle name="Comma 5 2 4 2 2 4 2 2" xfId="18093"/>
    <cellStyle name="Comma 5 2 4 2 2 4 2 3" xfId="14514"/>
    <cellStyle name="Comma 5 2 4 2 2 4 2 4" xfId="9257"/>
    <cellStyle name="Comma 5 2 4 2 2 4 3" xfId="10711"/>
    <cellStyle name="Comma 5 2 4 2 2 4 3 2" xfId="19538"/>
    <cellStyle name="Comma 5 2 4 2 2 4 4" xfId="12157"/>
    <cellStyle name="Comma 5 2 4 2 2 4 5" xfId="7152"/>
    <cellStyle name="Comma 5 2 4 2 2 5" xfId="2137"/>
    <cellStyle name="Comma 5 2 4 2 2 5 2" xfId="17050"/>
    <cellStyle name="Comma 5 2 4 2 2 5 3" xfId="13471"/>
    <cellStyle name="Comma 5 2 4 2 2 5 4" xfId="8214"/>
    <cellStyle name="Comma 5 2 4 2 2 6" xfId="5775"/>
    <cellStyle name="Comma 5 2 4 2 2 6 2" xfId="14861"/>
    <cellStyle name="Comma 5 2 4 2 2 7" xfId="9668"/>
    <cellStyle name="Comma 5 2 4 2 2 7 2" xfId="18495"/>
    <cellStyle name="Comma 5 2 4 2 2 8" xfId="11112"/>
    <cellStyle name="Comma 5 2 4 2 2 9" xfId="4746"/>
    <cellStyle name="Comma 5 2 4 2 3" xfId="526"/>
    <cellStyle name="Comma 5 2 4 2 3 2" xfId="2256"/>
    <cellStyle name="Comma 5 2 4 2 3 2 2" xfId="16066"/>
    <cellStyle name="Comma 5 2 4 2 3 2 3" xfId="12387"/>
    <cellStyle name="Comma 5 2 4 2 3 2 4" xfId="7052"/>
    <cellStyle name="Comma 5 2 4 2 3 3" xfId="3524"/>
    <cellStyle name="Comma 5 2 4 2 3 3 2" xfId="17169"/>
    <cellStyle name="Comma 5 2 4 2 3 3 3" xfId="13590"/>
    <cellStyle name="Comma 5 2 4 2 3 3 4" xfId="8333"/>
    <cellStyle name="Comma 5 2 4 2 3 4" xfId="6168"/>
    <cellStyle name="Comma 5 2 4 2 3 4 2" xfId="15252"/>
    <cellStyle name="Comma 5 2 4 2 3 5" xfId="9787"/>
    <cellStyle name="Comma 5 2 4 2 3 5 2" xfId="18614"/>
    <cellStyle name="Comma 5 2 4 2 3 6" xfId="11231"/>
    <cellStyle name="Comma 5 2 4 2 3 7" xfId="4646"/>
    <cellStyle name="Comma 5 2 4 2 4" xfId="884"/>
    <cellStyle name="Comma 5 2 4 2 4 2" xfId="2604"/>
    <cellStyle name="Comma 5 2 4 2 4 2 2" xfId="16145"/>
    <cellStyle name="Comma 5 2 4 2 4 2 3" xfId="12567"/>
    <cellStyle name="Comma 5 2 4 2 4 2 4" xfId="7276"/>
    <cellStyle name="Comma 5 2 4 2 4 3" xfId="3872"/>
    <cellStyle name="Comma 5 2 4 2 4 3 2" xfId="17517"/>
    <cellStyle name="Comma 5 2 4 2 4 3 3" xfId="13938"/>
    <cellStyle name="Comma 5 2 4 2 4 3 4" xfId="8681"/>
    <cellStyle name="Comma 5 2 4 2 4 4" xfId="6392"/>
    <cellStyle name="Comma 5 2 4 2 4 4 2" xfId="15476"/>
    <cellStyle name="Comma 5 2 4 2 4 5" xfId="10135"/>
    <cellStyle name="Comma 5 2 4 2 4 5 2" xfId="18962"/>
    <cellStyle name="Comma 5 2 4 2 4 6" xfId="11581"/>
    <cellStyle name="Comma 5 2 4 2 4 7" xfId="4870"/>
    <cellStyle name="Comma 5 2 4 2 5" xfId="1480"/>
    <cellStyle name="Comma 5 2 4 2 5 2" xfId="3080"/>
    <cellStyle name="Comma 5 2 4 2 5 2 2" xfId="16629"/>
    <cellStyle name="Comma 5 2 4 2 5 2 3" xfId="13050"/>
    <cellStyle name="Comma 5 2 4 2 5 2 4" xfId="7761"/>
    <cellStyle name="Comma 5 2 4 2 5 3" xfId="4288"/>
    <cellStyle name="Comma 5 2 4 2 5 3 2" xfId="17993"/>
    <cellStyle name="Comma 5 2 4 2 5 3 3" xfId="14414"/>
    <cellStyle name="Comma 5 2 4 2 5 3 4" xfId="9157"/>
    <cellStyle name="Comma 5 2 4 2 5 4" xfId="5949"/>
    <cellStyle name="Comma 5 2 4 2 5 4 2" xfId="15035"/>
    <cellStyle name="Comma 5 2 4 2 5 5" xfId="10611"/>
    <cellStyle name="Comma 5 2 4 2 5 5 2" xfId="19438"/>
    <cellStyle name="Comma 5 2 4 2 5 6" xfId="12057"/>
    <cellStyle name="Comma 5 2 4 2 5 7" xfId="5355"/>
    <cellStyle name="Comma 5 2 4 2 6" xfId="2037"/>
    <cellStyle name="Comma 5 2 4 2 6 2" xfId="15878"/>
    <cellStyle name="Comma 5 2 4 2 6 3" xfId="12458"/>
    <cellStyle name="Comma 5 2 4 2 6 4" xfId="6835"/>
    <cellStyle name="Comma 5 2 4 2 7" xfId="3450"/>
    <cellStyle name="Comma 5 2 4 2 7 2" xfId="16950"/>
    <cellStyle name="Comma 5 2 4 2 7 3" xfId="13371"/>
    <cellStyle name="Comma 5 2 4 2 7 4" xfId="8114"/>
    <cellStyle name="Comma 5 2 4 2 8" xfId="5675"/>
    <cellStyle name="Comma 5 2 4 2 8 2" xfId="14761"/>
    <cellStyle name="Comma 5 2 4 2 9" xfId="9568"/>
    <cellStyle name="Comma 5 2 4 2 9 2" xfId="18395"/>
    <cellStyle name="Comma 5 2 4 3" xfId="218"/>
    <cellStyle name="Comma 5 2 4 3 10" xfId="10969"/>
    <cellStyle name="Comma 5 2 4 3 11" xfId="4491"/>
    <cellStyle name="Comma 5 2 4 3 2" xfId="432"/>
    <cellStyle name="Comma 5 2 4 3 2 2" xfId="529"/>
    <cellStyle name="Comma 5 2 4 3 2 2 2" xfId="2259"/>
    <cellStyle name="Comma 5 2 4 3 2 2 2 2" xfId="16148"/>
    <cellStyle name="Comma 5 2 4 3 2 2 2 3" xfId="12570"/>
    <cellStyle name="Comma 5 2 4 3 2 2 2 4" xfId="7279"/>
    <cellStyle name="Comma 5 2 4 3 2 2 3" xfId="3527"/>
    <cellStyle name="Comma 5 2 4 3 2 2 3 2" xfId="17172"/>
    <cellStyle name="Comma 5 2 4 3 2 2 3 3" xfId="13593"/>
    <cellStyle name="Comma 5 2 4 3 2 2 3 4" xfId="8336"/>
    <cellStyle name="Comma 5 2 4 3 2 2 4" xfId="6395"/>
    <cellStyle name="Comma 5 2 4 3 2 2 4 2" xfId="15479"/>
    <cellStyle name="Comma 5 2 4 3 2 2 5" xfId="9790"/>
    <cellStyle name="Comma 5 2 4 3 2 2 5 2" xfId="18617"/>
    <cellStyle name="Comma 5 2 4 3 2 2 6" xfId="11234"/>
    <cellStyle name="Comma 5 2 4 3 2 2 7" xfId="4873"/>
    <cellStyle name="Comma 5 2 4 3 2 3" xfId="887"/>
    <cellStyle name="Comma 5 2 4 3 2 3 2" xfId="2607"/>
    <cellStyle name="Comma 5 2 4 3 2 3 2 2" xfId="16791"/>
    <cellStyle name="Comma 5 2 4 3 2 3 2 3" xfId="13212"/>
    <cellStyle name="Comma 5 2 4 3 2 3 2 4" xfId="7923"/>
    <cellStyle name="Comma 5 2 4 3 2 3 3" xfId="3875"/>
    <cellStyle name="Comma 5 2 4 3 2 3 3 2" xfId="17520"/>
    <cellStyle name="Comma 5 2 4 3 2 3 3 3" xfId="13941"/>
    <cellStyle name="Comma 5 2 4 3 2 3 3 4" xfId="8684"/>
    <cellStyle name="Comma 5 2 4 3 2 3 4" xfId="6330"/>
    <cellStyle name="Comma 5 2 4 3 2 3 4 2" xfId="15414"/>
    <cellStyle name="Comma 5 2 4 3 2 3 5" xfId="10138"/>
    <cellStyle name="Comma 5 2 4 3 2 3 5 2" xfId="18965"/>
    <cellStyle name="Comma 5 2 4 3 2 3 6" xfId="11584"/>
    <cellStyle name="Comma 5 2 4 3 2 3 7" xfId="5517"/>
    <cellStyle name="Comma 5 2 4 3 2 4" xfId="1646"/>
    <cellStyle name="Comma 5 2 4 3 2 4 2" xfId="3242"/>
    <cellStyle name="Comma 5 2 4 3 2 4 2 2" xfId="18155"/>
    <cellStyle name="Comma 5 2 4 3 2 4 2 3" xfId="14576"/>
    <cellStyle name="Comma 5 2 4 3 2 4 2 4" xfId="9319"/>
    <cellStyle name="Comma 5 2 4 3 2 4 3" xfId="10773"/>
    <cellStyle name="Comma 5 2 4 3 2 4 3 2" xfId="19600"/>
    <cellStyle name="Comma 5 2 4 3 2 4 4" xfId="12219"/>
    <cellStyle name="Comma 5 2 4 3 2 4 5" xfId="7214"/>
    <cellStyle name="Comma 5 2 4 3 2 5" xfId="2199"/>
    <cellStyle name="Comma 5 2 4 3 2 5 2" xfId="17112"/>
    <cellStyle name="Comma 5 2 4 3 2 5 3" xfId="13533"/>
    <cellStyle name="Comma 5 2 4 3 2 5 4" xfId="8276"/>
    <cellStyle name="Comma 5 2 4 3 2 6" xfId="5837"/>
    <cellStyle name="Comma 5 2 4 3 2 6 2" xfId="14923"/>
    <cellStyle name="Comma 5 2 4 3 2 7" xfId="9730"/>
    <cellStyle name="Comma 5 2 4 3 2 7 2" xfId="18557"/>
    <cellStyle name="Comma 5 2 4 3 2 8" xfId="11174"/>
    <cellStyle name="Comma 5 2 4 3 2 9" xfId="4808"/>
    <cellStyle name="Comma 5 2 4 3 3" xfId="528"/>
    <cellStyle name="Comma 5 2 4 3 3 2" xfId="2258"/>
    <cellStyle name="Comma 5 2 4 3 3 2 2" xfId="16023"/>
    <cellStyle name="Comma 5 2 4 3 3 2 3" xfId="12507"/>
    <cellStyle name="Comma 5 2 4 3 3 2 4" xfId="7009"/>
    <cellStyle name="Comma 5 2 4 3 3 3" xfId="3526"/>
    <cellStyle name="Comma 5 2 4 3 3 3 2" xfId="17171"/>
    <cellStyle name="Comma 5 2 4 3 3 3 3" xfId="13592"/>
    <cellStyle name="Comma 5 2 4 3 3 3 4" xfId="8335"/>
    <cellStyle name="Comma 5 2 4 3 3 4" xfId="6125"/>
    <cellStyle name="Comma 5 2 4 3 3 4 2" xfId="15209"/>
    <cellStyle name="Comma 5 2 4 3 3 5" xfId="9789"/>
    <cellStyle name="Comma 5 2 4 3 3 5 2" xfId="18616"/>
    <cellStyle name="Comma 5 2 4 3 3 6" xfId="11233"/>
    <cellStyle name="Comma 5 2 4 3 3 7" xfId="4603"/>
    <cellStyle name="Comma 5 2 4 3 4" xfId="886"/>
    <cellStyle name="Comma 5 2 4 3 4 2" xfId="2606"/>
    <cellStyle name="Comma 5 2 4 3 4 2 2" xfId="16147"/>
    <cellStyle name="Comma 5 2 4 3 4 2 3" xfId="12569"/>
    <cellStyle name="Comma 5 2 4 3 4 2 4" xfId="7278"/>
    <cellStyle name="Comma 5 2 4 3 4 3" xfId="3874"/>
    <cellStyle name="Comma 5 2 4 3 4 3 2" xfId="17519"/>
    <cellStyle name="Comma 5 2 4 3 4 3 3" xfId="13940"/>
    <cellStyle name="Comma 5 2 4 3 4 3 4" xfId="8683"/>
    <cellStyle name="Comma 5 2 4 3 4 4" xfId="6394"/>
    <cellStyle name="Comma 5 2 4 3 4 4 2" xfId="15478"/>
    <cellStyle name="Comma 5 2 4 3 4 5" xfId="10137"/>
    <cellStyle name="Comma 5 2 4 3 4 5 2" xfId="18964"/>
    <cellStyle name="Comma 5 2 4 3 4 6" xfId="11583"/>
    <cellStyle name="Comma 5 2 4 3 4 7" xfId="4872"/>
    <cellStyle name="Comma 5 2 4 3 5" xfId="1435"/>
    <cellStyle name="Comma 5 2 4 3 5 2" xfId="3037"/>
    <cellStyle name="Comma 5 2 4 3 5 2 2" xfId="16586"/>
    <cellStyle name="Comma 5 2 4 3 5 2 3" xfId="13007"/>
    <cellStyle name="Comma 5 2 4 3 5 2 4" xfId="7718"/>
    <cellStyle name="Comma 5 2 4 3 5 3" xfId="4245"/>
    <cellStyle name="Comma 5 2 4 3 5 3 2" xfId="17950"/>
    <cellStyle name="Comma 5 2 4 3 5 3 3" xfId="14371"/>
    <cellStyle name="Comma 5 2 4 3 5 3 4" xfId="9114"/>
    <cellStyle name="Comma 5 2 4 3 5 4" xfId="6011"/>
    <cellStyle name="Comma 5 2 4 3 5 4 2" xfId="15097"/>
    <cellStyle name="Comma 5 2 4 3 5 5" xfId="10568"/>
    <cellStyle name="Comma 5 2 4 3 5 5 2" xfId="19395"/>
    <cellStyle name="Comma 5 2 4 3 5 6" xfId="12014"/>
    <cellStyle name="Comma 5 2 4 3 5 7" xfId="5312"/>
    <cellStyle name="Comma 5 2 4 3 6" xfId="1994"/>
    <cellStyle name="Comma 5 2 4 3 6 2" xfId="15940"/>
    <cellStyle name="Comma 5 2 4 3 6 3" xfId="12509"/>
    <cellStyle name="Comma 5 2 4 3 6 4" xfId="6897"/>
    <cellStyle name="Comma 5 2 4 3 7" xfId="3408"/>
    <cellStyle name="Comma 5 2 4 3 7 2" xfId="16907"/>
    <cellStyle name="Comma 5 2 4 3 7 3" xfId="13328"/>
    <cellStyle name="Comma 5 2 4 3 7 4" xfId="8071"/>
    <cellStyle name="Comma 5 2 4 3 8" xfId="5632"/>
    <cellStyle name="Comma 5 2 4 3 8 2" xfId="14718"/>
    <cellStyle name="Comma 5 2 4 3 9" xfId="9525"/>
    <cellStyle name="Comma 5 2 4 3 9 2" xfId="18352"/>
    <cellStyle name="Comma 5 2 4 4" xfId="326"/>
    <cellStyle name="Comma 5 2 4 4 2" xfId="530"/>
    <cellStyle name="Comma 5 2 4 4 2 2" xfId="2260"/>
    <cellStyle name="Comma 5 2 4 4 2 2 2" xfId="16149"/>
    <cellStyle name="Comma 5 2 4 4 2 2 3" xfId="12571"/>
    <cellStyle name="Comma 5 2 4 4 2 2 4" xfId="7280"/>
    <cellStyle name="Comma 5 2 4 4 2 3" xfId="3528"/>
    <cellStyle name="Comma 5 2 4 4 2 3 2" xfId="17173"/>
    <cellStyle name="Comma 5 2 4 4 2 3 3" xfId="13594"/>
    <cellStyle name="Comma 5 2 4 4 2 3 4" xfId="8337"/>
    <cellStyle name="Comma 5 2 4 4 2 4" xfId="6396"/>
    <cellStyle name="Comma 5 2 4 4 2 4 2" xfId="15480"/>
    <cellStyle name="Comma 5 2 4 4 2 5" xfId="9791"/>
    <cellStyle name="Comma 5 2 4 4 2 5 2" xfId="18618"/>
    <cellStyle name="Comma 5 2 4 4 2 6" xfId="11235"/>
    <cellStyle name="Comma 5 2 4 4 2 7" xfId="4874"/>
    <cellStyle name="Comma 5 2 4 4 3" xfId="888"/>
    <cellStyle name="Comma 5 2 4 4 3 2" xfId="2608"/>
    <cellStyle name="Comma 5 2 4 4 3 2 2" xfId="16686"/>
    <cellStyle name="Comma 5 2 4 4 3 2 3" xfId="13107"/>
    <cellStyle name="Comma 5 2 4 4 3 2 4" xfId="7818"/>
    <cellStyle name="Comma 5 2 4 4 3 3" xfId="3876"/>
    <cellStyle name="Comma 5 2 4 4 3 3 2" xfId="17521"/>
    <cellStyle name="Comma 5 2 4 4 3 3 3" xfId="13942"/>
    <cellStyle name="Comma 5 2 4 4 3 3 4" xfId="8685"/>
    <cellStyle name="Comma 5 2 4 4 3 4" xfId="6225"/>
    <cellStyle name="Comma 5 2 4 4 3 4 2" xfId="15309"/>
    <cellStyle name="Comma 5 2 4 4 3 5" xfId="10139"/>
    <cellStyle name="Comma 5 2 4 4 3 5 2" xfId="18966"/>
    <cellStyle name="Comma 5 2 4 4 3 6" xfId="11585"/>
    <cellStyle name="Comma 5 2 4 4 3 7" xfId="5412"/>
    <cellStyle name="Comma 5 2 4 4 4" xfId="1538"/>
    <cellStyle name="Comma 5 2 4 4 4 2" xfId="3137"/>
    <cellStyle name="Comma 5 2 4 4 4 2 2" xfId="18050"/>
    <cellStyle name="Comma 5 2 4 4 4 2 3" xfId="14471"/>
    <cellStyle name="Comma 5 2 4 4 4 2 4" xfId="9214"/>
    <cellStyle name="Comma 5 2 4 4 4 3" xfId="10668"/>
    <cellStyle name="Comma 5 2 4 4 4 3 2" xfId="19495"/>
    <cellStyle name="Comma 5 2 4 4 4 4" xfId="12114"/>
    <cellStyle name="Comma 5 2 4 4 4 5" xfId="7109"/>
    <cellStyle name="Comma 5 2 4 4 5" xfId="2094"/>
    <cellStyle name="Comma 5 2 4 4 5 2" xfId="17007"/>
    <cellStyle name="Comma 5 2 4 4 5 3" xfId="13428"/>
    <cellStyle name="Comma 5 2 4 4 5 4" xfId="8171"/>
    <cellStyle name="Comma 5 2 4 4 6" xfId="5732"/>
    <cellStyle name="Comma 5 2 4 4 6 2" xfId="14818"/>
    <cellStyle name="Comma 5 2 4 4 7" xfId="9625"/>
    <cellStyle name="Comma 5 2 4 4 7 2" xfId="18452"/>
    <cellStyle name="Comma 5 2 4 4 8" xfId="11069"/>
    <cellStyle name="Comma 5 2 4 4 9" xfId="4703"/>
    <cellStyle name="Comma 5 2 4 5" xfId="525"/>
    <cellStyle name="Comma 5 2 4 5 2" xfId="2255"/>
    <cellStyle name="Comma 5 2 4 5 2 2" xfId="15980"/>
    <cellStyle name="Comma 5 2 4 5 2 3" xfId="12347"/>
    <cellStyle name="Comma 5 2 4 5 2 4" xfId="6950"/>
    <cellStyle name="Comma 5 2 4 5 3" xfId="3523"/>
    <cellStyle name="Comma 5 2 4 5 3 2" xfId="17168"/>
    <cellStyle name="Comma 5 2 4 5 3 3" xfId="13589"/>
    <cellStyle name="Comma 5 2 4 5 3 4" xfId="8332"/>
    <cellStyle name="Comma 5 2 4 5 4" xfId="6066"/>
    <cellStyle name="Comma 5 2 4 5 4 2" xfId="15150"/>
    <cellStyle name="Comma 5 2 4 5 5" xfId="9786"/>
    <cellStyle name="Comma 5 2 4 5 5 2" xfId="18613"/>
    <cellStyle name="Comma 5 2 4 5 6" xfId="11230"/>
    <cellStyle name="Comma 5 2 4 5 7" xfId="4544"/>
    <cellStyle name="Comma 5 2 4 6" xfId="883"/>
    <cellStyle name="Comma 5 2 4 6 2" xfId="2603"/>
    <cellStyle name="Comma 5 2 4 6 2 2" xfId="16144"/>
    <cellStyle name="Comma 5 2 4 6 2 3" xfId="12566"/>
    <cellStyle name="Comma 5 2 4 6 2 4" xfId="7275"/>
    <cellStyle name="Comma 5 2 4 6 3" xfId="3871"/>
    <cellStyle name="Comma 5 2 4 6 3 2" xfId="17516"/>
    <cellStyle name="Comma 5 2 4 6 3 3" xfId="13937"/>
    <cellStyle name="Comma 5 2 4 6 3 4" xfId="8680"/>
    <cellStyle name="Comma 5 2 4 6 4" xfId="6391"/>
    <cellStyle name="Comma 5 2 4 6 4 2" xfId="15475"/>
    <cellStyle name="Comma 5 2 4 6 5" xfId="10134"/>
    <cellStyle name="Comma 5 2 4 6 5 2" xfId="18961"/>
    <cellStyle name="Comma 5 2 4 6 6" xfId="11580"/>
    <cellStyle name="Comma 5 2 4 6 7" xfId="4869"/>
    <cellStyle name="Comma 5 2 4 7" xfId="1367"/>
    <cellStyle name="Comma 5 2 4 7 2" xfId="2978"/>
    <cellStyle name="Comma 5 2 4 7 2 2" xfId="16527"/>
    <cellStyle name="Comma 5 2 4 7 2 3" xfId="12949"/>
    <cellStyle name="Comma 5 2 4 7 2 4" xfId="7659"/>
    <cellStyle name="Comma 5 2 4 7 3" xfId="4203"/>
    <cellStyle name="Comma 5 2 4 7 3 2" xfId="17891"/>
    <cellStyle name="Comma 5 2 4 7 3 3" xfId="14312"/>
    <cellStyle name="Comma 5 2 4 7 3 4" xfId="9055"/>
    <cellStyle name="Comma 5 2 4 7 4" xfId="5905"/>
    <cellStyle name="Comma 5 2 4 7 4 2" xfId="14991"/>
    <cellStyle name="Comma 5 2 4 7 5" xfId="10509"/>
    <cellStyle name="Comma 5 2 4 7 5 2" xfId="19336"/>
    <cellStyle name="Comma 5 2 4 7 6" xfId="11955"/>
    <cellStyle name="Comma 5 2 4 7 7" xfId="5253"/>
    <cellStyle name="Comma 5 2 4 8" xfId="1935"/>
    <cellStyle name="Comma 5 2 4 8 2" xfId="9466"/>
    <cellStyle name="Comma 5 2 4 8 2 2" xfId="18293"/>
    <cellStyle name="Comma 5 2 4 8 3" xfId="10910"/>
    <cellStyle name="Comma 5 2 4 8 4" xfId="6792"/>
    <cellStyle name="Comma 5 2 4 9" xfId="1859"/>
    <cellStyle name="Comma 5 2 4 9 2" xfId="16846"/>
    <cellStyle name="Comma 5 2 4 9 3" xfId="13267"/>
    <cellStyle name="Comma 5 2 4 9 4" xfId="8010"/>
    <cellStyle name="Comma 5 2 5" xfId="244"/>
    <cellStyle name="Comma 5 2 5 10" xfId="10995"/>
    <cellStyle name="Comma 5 2 5 11" xfId="4412"/>
    <cellStyle name="Comma 5 2 5 2" xfId="352"/>
    <cellStyle name="Comma 5 2 5 2 2" xfId="532"/>
    <cellStyle name="Comma 5 2 5 2 2 2" xfId="2262"/>
    <cellStyle name="Comma 5 2 5 2 2 2 2" xfId="16151"/>
    <cellStyle name="Comma 5 2 5 2 2 2 3" xfId="12573"/>
    <cellStyle name="Comma 5 2 5 2 2 2 4" xfId="7282"/>
    <cellStyle name="Comma 5 2 5 2 2 3" xfId="3530"/>
    <cellStyle name="Comma 5 2 5 2 2 3 2" xfId="17175"/>
    <cellStyle name="Comma 5 2 5 2 2 3 3" xfId="13596"/>
    <cellStyle name="Comma 5 2 5 2 2 3 4" xfId="8339"/>
    <cellStyle name="Comma 5 2 5 2 2 4" xfId="6398"/>
    <cellStyle name="Comma 5 2 5 2 2 4 2" xfId="15482"/>
    <cellStyle name="Comma 5 2 5 2 2 5" xfId="9793"/>
    <cellStyle name="Comma 5 2 5 2 2 5 2" xfId="18620"/>
    <cellStyle name="Comma 5 2 5 2 2 6" xfId="11237"/>
    <cellStyle name="Comma 5 2 5 2 2 7" xfId="4876"/>
    <cellStyle name="Comma 5 2 5 2 3" xfId="890"/>
    <cellStyle name="Comma 5 2 5 2 3 2" xfId="2610"/>
    <cellStyle name="Comma 5 2 5 2 3 2 2" xfId="16712"/>
    <cellStyle name="Comma 5 2 5 2 3 2 3" xfId="13133"/>
    <cellStyle name="Comma 5 2 5 2 3 2 4" xfId="7844"/>
    <cellStyle name="Comma 5 2 5 2 3 3" xfId="3878"/>
    <cellStyle name="Comma 5 2 5 2 3 3 2" xfId="17523"/>
    <cellStyle name="Comma 5 2 5 2 3 3 3" xfId="13944"/>
    <cellStyle name="Comma 5 2 5 2 3 3 4" xfId="8687"/>
    <cellStyle name="Comma 5 2 5 2 3 4" xfId="6251"/>
    <cellStyle name="Comma 5 2 5 2 3 4 2" xfId="15335"/>
    <cellStyle name="Comma 5 2 5 2 3 5" xfId="10141"/>
    <cellStyle name="Comma 5 2 5 2 3 5 2" xfId="18968"/>
    <cellStyle name="Comma 5 2 5 2 3 6" xfId="11587"/>
    <cellStyle name="Comma 5 2 5 2 3 7" xfId="5438"/>
    <cellStyle name="Comma 5 2 5 2 4" xfId="1565"/>
    <cellStyle name="Comma 5 2 5 2 4 2" xfId="3163"/>
    <cellStyle name="Comma 5 2 5 2 4 2 2" xfId="18076"/>
    <cellStyle name="Comma 5 2 5 2 4 2 3" xfId="14497"/>
    <cellStyle name="Comma 5 2 5 2 4 2 4" xfId="9240"/>
    <cellStyle name="Comma 5 2 5 2 4 3" xfId="10694"/>
    <cellStyle name="Comma 5 2 5 2 4 3 2" xfId="19521"/>
    <cellStyle name="Comma 5 2 5 2 4 4" xfId="12140"/>
    <cellStyle name="Comma 5 2 5 2 4 5" xfId="7135"/>
    <cellStyle name="Comma 5 2 5 2 5" xfId="2120"/>
    <cellStyle name="Comma 5 2 5 2 5 2" xfId="17033"/>
    <cellStyle name="Comma 5 2 5 2 5 3" xfId="13454"/>
    <cellStyle name="Comma 5 2 5 2 5 4" xfId="8197"/>
    <cellStyle name="Comma 5 2 5 2 6" xfId="5758"/>
    <cellStyle name="Comma 5 2 5 2 6 2" xfId="14844"/>
    <cellStyle name="Comma 5 2 5 2 7" xfId="9651"/>
    <cellStyle name="Comma 5 2 5 2 7 2" xfId="18478"/>
    <cellStyle name="Comma 5 2 5 2 8" xfId="11095"/>
    <cellStyle name="Comma 5 2 5 2 9" xfId="4729"/>
    <cellStyle name="Comma 5 2 5 3" xfId="531"/>
    <cellStyle name="Comma 5 2 5 3 2" xfId="2261"/>
    <cellStyle name="Comma 5 2 5 3 2 2" xfId="16049"/>
    <cellStyle name="Comma 5 2 5 3 2 3" xfId="10843"/>
    <cellStyle name="Comma 5 2 5 3 2 4" xfId="7035"/>
    <cellStyle name="Comma 5 2 5 3 3" xfId="3529"/>
    <cellStyle name="Comma 5 2 5 3 3 2" xfId="17174"/>
    <cellStyle name="Comma 5 2 5 3 3 3" xfId="13595"/>
    <cellStyle name="Comma 5 2 5 3 3 4" xfId="8338"/>
    <cellStyle name="Comma 5 2 5 3 4" xfId="6151"/>
    <cellStyle name="Comma 5 2 5 3 4 2" xfId="15235"/>
    <cellStyle name="Comma 5 2 5 3 5" xfId="9792"/>
    <cellStyle name="Comma 5 2 5 3 5 2" xfId="18619"/>
    <cellStyle name="Comma 5 2 5 3 6" xfId="11236"/>
    <cellStyle name="Comma 5 2 5 3 7" xfId="4629"/>
    <cellStyle name="Comma 5 2 5 4" xfId="889"/>
    <cellStyle name="Comma 5 2 5 4 2" xfId="2609"/>
    <cellStyle name="Comma 5 2 5 4 2 2" xfId="16150"/>
    <cellStyle name="Comma 5 2 5 4 2 3" xfId="12572"/>
    <cellStyle name="Comma 5 2 5 4 2 4" xfId="7281"/>
    <cellStyle name="Comma 5 2 5 4 3" xfId="3877"/>
    <cellStyle name="Comma 5 2 5 4 3 2" xfId="17522"/>
    <cellStyle name="Comma 5 2 5 4 3 3" xfId="13943"/>
    <cellStyle name="Comma 5 2 5 4 3 4" xfId="8686"/>
    <cellStyle name="Comma 5 2 5 4 4" xfId="6397"/>
    <cellStyle name="Comma 5 2 5 4 4 2" xfId="15481"/>
    <cellStyle name="Comma 5 2 5 4 5" xfId="10140"/>
    <cellStyle name="Comma 5 2 5 4 5 2" xfId="18967"/>
    <cellStyle name="Comma 5 2 5 4 6" xfId="11586"/>
    <cellStyle name="Comma 5 2 5 4 7" xfId="4875"/>
    <cellStyle name="Comma 5 2 5 5" xfId="1463"/>
    <cellStyle name="Comma 5 2 5 5 2" xfId="3063"/>
    <cellStyle name="Comma 5 2 5 5 2 2" xfId="16612"/>
    <cellStyle name="Comma 5 2 5 5 2 3" xfId="13033"/>
    <cellStyle name="Comma 5 2 5 5 2 4" xfId="7744"/>
    <cellStyle name="Comma 5 2 5 5 3" xfId="4271"/>
    <cellStyle name="Comma 5 2 5 5 3 2" xfId="17976"/>
    <cellStyle name="Comma 5 2 5 5 3 3" xfId="14397"/>
    <cellStyle name="Comma 5 2 5 5 3 4" xfId="9140"/>
    <cellStyle name="Comma 5 2 5 5 4" xfId="5932"/>
    <cellStyle name="Comma 5 2 5 5 4 2" xfId="15018"/>
    <cellStyle name="Comma 5 2 5 5 5" xfId="10594"/>
    <cellStyle name="Comma 5 2 5 5 5 2" xfId="19421"/>
    <cellStyle name="Comma 5 2 5 5 6" xfId="12040"/>
    <cellStyle name="Comma 5 2 5 5 7" xfId="5338"/>
    <cellStyle name="Comma 5 2 5 6" xfId="2020"/>
    <cellStyle name="Comma 5 2 5 6 2" xfId="15861"/>
    <cellStyle name="Comma 5 2 5 6 3" xfId="12373"/>
    <cellStyle name="Comma 5 2 5 6 4" xfId="6818"/>
    <cellStyle name="Comma 5 2 5 7" xfId="3433"/>
    <cellStyle name="Comma 5 2 5 7 2" xfId="16933"/>
    <cellStyle name="Comma 5 2 5 7 3" xfId="13354"/>
    <cellStyle name="Comma 5 2 5 7 4" xfId="8097"/>
    <cellStyle name="Comma 5 2 5 8" xfId="5658"/>
    <cellStyle name="Comma 5 2 5 8 2" xfId="14744"/>
    <cellStyle name="Comma 5 2 5 9" xfId="9551"/>
    <cellStyle name="Comma 5 2 5 9 2" xfId="18378"/>
    <cellStyle name="Comma 5 2 6" xfId="184"/>
    <cellStyle name="Comma 5 2 6 10" xfId="10938"/>
    <cellStyle name="Comma 5 2 6 11" xfId="4460"/>
    <cellStyle name="Comma 5 2 6 2" xfId="401"/>
    <cellStyle name="Comma 5 2 6 2 2" xfId="534"/>
    <cellStyle name="Comma 5 2 6 2 2 2" xfId="2264"/>
    <cellStyle name="Comma 5 2 6 2 2 2 2" xfId="16153"/>
    <cellStyle name="Comma 5 2 6 2 2 2 3" xfId="12575"/>
    <cellStyle name="Comma 5 2 6 2 2 2 4" xfId="7284"/>
    <cellStyle name="Comma 5 2 6 2 2 3" xfId="3532"/>
    <cellStyle name="Comma 5 2 6 2 2 3 2" xfId="17177"/>
    <cellStyle name="Comma 5 2 6 2 2 3 3" xfId="13598"/>
    <cellStyle name="Comma 5 2 6 2 2 3 4" xfId="8341"/>
    <cellStyle name="Comma 5 2 6 2 2 4" xfId="6400"/>
    <cellStyle name="Comma 5 2 6 2 2 4 2" xfId="15484"/>
    <cellStyle name="Comma 5 2 6 2 2 5" xfId="9795"/>
    <cellStyle name="Comma 5 2 6 2 2 5 2" xfId="18622"/>
    <cellStyle name="Comma 5 2 6 2 2 6" xfId="11239"/>
    <cellStyle name="Comma 5 2 6 2 2 7" xfId="4878"/>
    <cellStyle name="Comma 5 2 6 2 3" xfId="892"/>
    <cellStyle name="Comma 5 2 6 2 3 2" xfId="2612"/>
    <cellStyle name="Comma 5 2 6 2 3 2 2" xfId="16760"/>
    <cellStyle name="Comma 5 2 6 2 3 2 3" xfId="13181"/>
    <cellStyle name="Comma 5 2 6 2 3 2 4" xfId="7892"/>
    <cellStyle name="Comma 5 2 6 2 3 3" xfId="3880"/>
    <cellStyle name="Comma 5 2 6 2 3 3 2" xfId="17525"/>
    <cellStyle name="Comma 5 2 6 2 3 3 3" xfId="13946"/>
    <cellStyle name="Comma 5 2 6 2 3 3 4" xfId="8689"/>
    <cellStyle name="Comma 5 2 6 2 3 4" xfId="6299"/>
    <cellStyle name="Comma 5 2 6 2 3 4 2" xfId="15383"/>
    <cellStyle name="Comma 5 2 6 2 3 5" xfId="10143"/>
    <cellStyle name="Comma 5 2 6 2 3 5 2" xfId="18970"/>
    <cellStyle name="Comma 5 2 6 2 3 6" xfId="11589"/>
    <cellStyle name="Comma 5 2 6 2 3 7" xfId="5486"/>
    <cellStyle name="Comma 5 2 6 2 4" xfId="1615"/>
    <cellStyle name="Comma 5 2 6 2 4 2" xfId="3211"/>
    <cellStyle name="Comma 5 2 6 2 4 2 2" xfId="18124"/>
    <cellStyle name="Comma 5 2 6 2 4 2 3" xfId="14545"/>
    <cellStyle name="Comma 5 2 6 2 4 2 4" xfId="9288"/>
    <cellStyle name="Comma 5 2 6 2 4 3" xfId="10742"/>
    <cellStyle name="Comma 5 2 6 2 4 3 2" xfId="19569"/>
    <cellStyle name="Comma 5 2 6 2 4 4" xfId="12188"/>
    <cellStyle name="Comma 5 2 6 2 4 5" xfId="7183"/>
    <cellStyle name="Comma 5 2 6 2 5" xfId="2168"/>
    <cellStyle name="Comma 5 2 6 2 5 2" xfId="17081"/>
    <cellStyle name="Comma 5 2 6 2 5 3" xfId="13502"/>
    <cellStyle name="Comma 5 2 6 2 5 4" xfId="8245"/>
    <cellStyle name="Comma 5 2 6 2 6" xfId="5806"/>
    <cellStyle name="Comma 5 2 6 2 6 2" xfId="14892"/>
    <cellStyle name="Comma 5 2 6 2 7" xfId="9699"/>
    <cellStyle name="Comma 5 2 6 2 7 2" xfId="18526"/>
    <cellStyle name="Comma 5 2 6 2 8" xfId="11143"/>
    <cellStyle name="Comma 5 2 6 2 9" xfId="4777"/>
    <cellStyle name="Comma 5 2 6 3" xfId="533"/>
    <cellStyle name="Comma 5 2 6 3 2" xfId="2263"/>
    <cellStyle name="Comma 5 2 6 3 2 2" xfId="15992"/>
    <cellStyle name="Comma 5 2 6 3 2 3" xfId="12343"/>
    <cellStyle name="Comma 5 2 6 3 2 4" xfId="6978"/>
    <cellStyle name="Comma 5 2 6 3 3" xfId="3531"/>
    <cellStyle name="Comma 5 2 6 3 3 2" xfId="17176"/>
    <cellStyle name="Comma 5 2 6 3 3 3" xfId="13597"/>
    <cellStyle name="Comma 5 2 6 3 3 4" xfId="8340"/>
    <cellStyle name="Comma 5 2 6 3 4" xfId="6094"/>
    <cellStyle name="Comma 5 2 6 3 4 2" xfId="15178"/>
    <cellStyle name="Comma 5 2 6 3 5" xfId="9794"/>
    <cellStyle name="Comma 5 2 6 3 5 2" xfId="18621"/>
    <cellStyle name="Comma 5 2 6 3 6" xfId="11238"/>
    <cellStyle name="Comma 5 2 6 3 7" xfId="4572"/>
    <cellStyle name="Comma 5 2 6 4" xfId="891"/>
    <cellStyle name="Comma 5 2 6 4 2" xfId="2611"/>
    <cellStyle name="Comma 5 2 6 4 2 2" xfId="16152"/>
    <cellStyle name="Comma 5 2 6 4 2 3" xfId="12574"/>
    <cellStyle name="Comma 5 2 6 4 2 4" xfId="7283"/>
    <cellStyle name="Comma 5 2 6 4 3" xfId="3879"/>
    <cellStyle name="Comma 5 2 6 4 3 2" xfId="17524"/>
    <cellStyle name="Comma 5 2 6 4 3 3" xfId="13945"/>
    <cellStyle name="Comma 5 2 6 4 3 4" xfId="8688"/>
    <cellStyle name="Comma 5 2 6 4 4" xfId="6399"/>
    <cellStyle name="Comma 5 2 6 4 4 2" xfId="15483"/>
    <cellStyle name="Comma 5 2 6 4 5" xfId="10142"/>
    <cellStyle name="Comma 5 2 6 4 5 2" xfId="18969"/>
    <cellStyle name="Comma 5 2 6 4 6" xfId="11588"/>
    <cellStyle name="Comma 5 2 6 4 7" xfId="4877"/>
    <cellStyle name="Comma 5 2 6 5" xfId="1401"/>
    <cellStyle name="Comma 5 2 6 5 2" xfId="3006"/>
    <cellStyle name="Comma 5 2 6 5 2 2" xfId="16555"/>
    <cellStyle name="Comma 5 2 6 5 2 3" xfId="12976"/>
    <cellStyle name="Comma 5 2 6 5 2 4" xfId="7687"/>
    <cellStyle name="Comma 5 2 6 5 3" xfId="4214"/>
    <cellStyle name="Comma 5 2 6 5 3 2" xfId="17919"/>
    <cellStyle name="Comma 5 2 6 5 3 3" xfId="14340"/>
    <cellStyle name="Comma 5 2 6 5 3 4" xfId="9083"/>
    <cellStyle name="Comma 5 2 6 5 4" xfId="5980"/>
    <cellStyle name="Comma 5 2 6 5 4 2" xfId="15066"/>
    <cellStyle name="Comma 5 2 6 5 5" xfId="10537"/>
    <cellStyle name="Comma 5 2 6 5 5 2" xfId="19364"/>
    <cellStyle name="Comma 5 2 6 5 6" xfId="11983"/>
    <cellStyle name="Comma 5 2 6 5 7" xfId="5281"/>
    <cellStyle name="Comma 5 2 6 6" xfId="1963"/>
    <cellStyle name="Comma 5 2 6 6 2" xfId="15909"/>
    <cellStyle name="Comma 5 2 6 6 3" xfId="12289"/>
    <cellStyle name="Comma 5 2 6 6 4" xfId="6866"/>
    <cellStyle name="Comma 5 2 6 7" xfId="3377"/>
    <cellStyle name="Comma 5 2 6 7 2" xfId="16876"/>
    <cellStyle name="Comma 5 2 6 7 3" xfId="13297"/>
    <cellStyle name="Comma 5 2 6 7 4" xfId="8040"/>
    <cellStyle name="Comma 5 2 6 8" xfId="5601"/>
    <cellStyle name="Comma 5 2 6 8 2" xfId="14687"/>
    <cellStyle name="Comma 5 2 6 9" xfId="9494"/>
    <cellStyle name="Comma 5 2 6 9 2" xfId="18321"/>
    <cellStyle name="Comma 5 2 7" xfId="457"/>
    <cellStyle name="Comma 5 2 7 10" xfId="4516"/>
    <cellStyle name="Comma 5 2 7 2" xfId="535"/>
    <cellStyle name="Comma 5 2 7 2 2" xfId="2265"/>
    <cellStyle name="Comma 5 2 7 2 2 2" xfId="16108"/>
    <cellStyle name="Comma 5 2 7 2 2 3" xfId="12530"/>
    <cellStyle name="Comma 5 2 7 2 2 4" xfId="7239"/>
    <cellStyle name="Comma 5 2 7 2 3" xfId="3533"/>
    <cellStyle name="Comma 5 2 7 2 3 2" xfId="17178"/>
    <cellStyle name="Comma 5 2 7 2 3 3" xfId="13599"/>
    <cellStyle name="Comma 5 2 7 2 3 4" xfId="8342"/>
    <cellStyle name="Comma 5 2 7 2 4" xfId="6355"/>
    <cellStyle name="Comma 5 2 7 2 4 2" xfId="15439"/>
    <cellStyle name="Comma 5 2 7 2 5" xfId="9796"/>
    <cellStyle name="Comma 5 2 7 2 5 2" xfId="18623"/>
    <cellStyle name="Comma 5 2 7 2 6" xfId="11240"/>
    <cellStyle name="Comma 5 2 7 2 7" xfId="4833"/>
    <cellStyle name="Comma 5 2 7 3" xfId="893"/>
    <cellStyle name="Comma 5 2 7 3 2" xfId="2613"/>
    <cellStyle name="Comma 5 2 7 3 2 2" xfId="16154"/>
    <cellStyle name="Comma 5 2 7 3 2 3" xfId="12576"/>
    <cellStyle name="Comma 5 2 7 3 2 4" xfId="7285"/>
    <cellStyle name="Comma 5 2 7 3 3" xfId="3881"/>
    <cellStyle name="Comma 5 2 7 3 3 2" xfId="17526"/>
    <cellStyle name="Comma 5 2 7 3 3 3" xfId="13947"/>
    <cellStyle name="Comma 5 2 7 3 3 4" xfId="8690"/>
    <cellStyle name="Comma 5 2 7 3 4" xfId="6401"/>
    <cellStyle name="Comma 5 2 7 3 4 2" xfId="15485"/>
    <cellStyle name="Comma 5 2 7 3 5" xfId="10144"/>
    <cellStyle name="Comma 5 2 7 3 5 2" xfId="18971"/>
    <cellStyle name="Comma 5 2 7 3 6" xfId="11590"/>
    <cellStyle name="Comma 5 2 7 3 7" xfId="4879"/>
    <cellStyle name="Comma 5 2 7 4" xfId="1671"/>
    <cellStyle name="Comma 5 2 7 4 2" xfId="3267"/>
    <cellStyle name="Comma 5 2 7 4 2 2" xfId="16816"/>
    <cellStyle name="Comma 5 2 7 4 2 3" xfId="13237"/>
    <cellStyle name="Comma 5 2 7 4 2 4" xfId="7948"/>
    <cellStyle name="Comma 5 2 7 4 3" xfId="4330"/>
    <cellStyle name="Comma 5 2 7 4 3 2" xfId="18180"/>
    <cellStyle name="Comma 5 2 7 4 3 3" xfId="14601"/>
    <cellStyle name="Comma 5 2 7 4 3 4" xfId="9344"/>
    <cellStyle name="Comma 5 2 7 4 4" xfId="6036"/>
    <cellStyle name="Comma 5 2 7 4 4 2" xfId="15122"/>
    <cellStyle name="Comma 5 2 7 4 5" xfId="10798"/>
    <cellStyle name="Comma 5 2 7 4 5 2" xfId="19625"/>
    <cellStyle name="Comma 5 2 7 4 6" xfId="12244"/>
    <cellStyle name="Comma 5 2 7 4 7" xfId="5542"/>
    <cellStyle name="Comma 5 2 7 5" xfId="2224"/>
    <cellStyle name="Comma 5 2 7 5 2" xfId="15965"/>
    <cellStyle name="Comma 5 2 7 5 3" xfId="12409"/>
    <cellStyle name="Comma 5 2 7 5 4" xfId="6922"/>
    <cellStyle name="Comma 5 2 7 6" xfId="3492"/>
    <cellStyle name="Comma 5 2 7 6 2" xfId="17137"/>
    <cellStyle name="Comma 5 2 7 6 3" xfId="13558"/>
    <cellStyle name="Comma 5 2 7 6 4" xfId="8301"/>
    <cellStyle name="Comma 5 2 7 7" xfId="5862"/>
    <cellStyle name="Comma 5 2 7 7 2" xfId="14948"/>
    <cellStyle name="Comma 5 2 7 8" xfId="9755"/>
    <cellStyle name="Comma 5 2 7 8 2" xfId="18582"/>
    <cellStyle name="Comma 5 2 7 9" xfId="11199"/>
    <cellStyle name="Comma 5 2 8" xfId="295"/>
    <cellStyle name="Comma 5 2 8 2" xfId="536"/>
    <cellStyle name="Comma 5 2 8 2 2" xfId="2266"/>
    <cellStyle name="Comma 5 2 8 2 2 2" xfId="16155"/>
    <cellStyle name="Comma 5 2 8 2 2 3" xfId="12577"/>
    <cellStyle name="Comma 5 2 8 2 2 4" xfId="7286"/>
    <cellStyle name="Comma 5 2 8 2 3" xfId="3534"/>
    <cellStyle name="Comma 5 2 8 2 3 2" xfId="17179"/>
    <cellStyle name="Comma 5 2 8 2 3 3" xfId="13600"/>
    <cellStyle name="Comma 5 2 8 2 3 4" xfId="8343"/>
    <cellStyle name="Comma 5 2 8 2 4" xfId="6402"/>
    <cellStyle name="Comma 5 2 8 2 4 2" xfId="15486"/>
    <cellStyle name="Comma 5 2 8 2 5" xfId="9797"/>
    <cellStyle name="Comma 5 2 8 2 5 2" xfId="18624"/>
    <cellStyle name="Comma 5 2 8 2 6" xfId="11241"/>
    <cellStyle name="Comma 5 2 8 2 7" xfId="4880"/>
    <cellStyle name="Comma 5 2 8 3" xfId="894"/>
    <cellStyle name="Comma 5 2 8 3 2" xfId="2614"/>
    <cellStyle name="Comma 5 2 8 3 2 2" xfId="16655"/>
    <cellStyle name="Comma 5 2 8 3 2 3" xfId="13076"/>
    <cellStyle name="Comma 5 2 8 3 2 4" xfId="7787"/>
    <cellStyle name="Comma 5 2 8 3 3" xfId="3882"/>
    <cellStyle name="Comma 5 2 8 3 3 2" xfId="17527"/>
    <cellStyle name="Comma 5 2 8 3 3 3" xfId="13948"/>
    <cellStyle name="Comma 5 2 8 3 3 4" xfId="8691"/>
    <cellStyle name="Comma 5 2 8 3 4" xfId="6194"/>
    <cellStyle name="Comma 5 2 8 3 4 2" xfId="15278"/>
    <cellStyle name="Comma 5 2 8 3 5" xfId="10145"/>
    <cellStyle name="Comma 5 2 8 3 5 2" xfId="18972"/>
    <cellStyle name="Comma 5 2 8 3 6" xfId="11591"/>
    <cellStyle name="Comma 5 2 8 3 7" xfId="5381"/>
    <cellStyle name="Comma 5 2 8 4" xfId="1507"/>
    <cellStyle name="Comma 5 2 8 4 2" xfId="3106"/>
    <cellStyle name="Comma 5 2 8 4 2 2" xfId="18019"/>
    <cellStyle name="Comma 5 2 8 4 2 3" xfId="14440"/>
    <cellStyle name="Comma 5 2 8 4 2 4" xfId="9183"/>
    <cellStyle name="Comma 5 2 8 4 3" xfId="10637"/>
    <cellStyle name="Comma 5 2 8 4 3 2" xfId="19464"/>
    <cellStyle name="Comma 5 2 8 4 4" xfId="12083"/>
    <cellStyle name="Comma 5 2 8 4 5" xfId="7078"/>
    <cellStyle name="Comma 5 2 8 5" xfId="2063"/>
    <cellStyle name="Comma 5 2 8 5 2" xfId="16976"/>
    <cellStyle name="Comma 5 2 8 5 3" xfId="13397"/>
    <cellStyle name="Comma 5 2 8 5 4" xfId="8140"/>
    <cellStyle name="Comma 5 2 8 6" xfId="5701"/>
    <cellStyle name="Comma 5 2 8 6 2" xfId="14787"/>
    <cellStyle name="Comma 5 2 8 7" xfId="9594"/>
    <cellStyle name="Comma 5 2 8 7 2" xfId="18421"/>
    <cellStyle name="Comma 5 2 8 8" xfId="11038"/>
    <cellStyle name="Comma 5 2 8 9" xfId="4672"/>
    <cellStyle name="Comma 5 2 9" xfId="478"/>
    <cellStyle name="Comma 5 2 9 2" xfId="537"/>
    <cellStyle name="Comma 5 2 9 2 2" xfId="2267"/>
    <cellStyle name="Comma 5 2 9 2 2 2" xfId="16156"/>
    <cellStyle name="Comma 5 2 9 2 2 3" xfId="12578"/>
    <cellStyle name="Comma 5 2 9 2 2 4" xfId="7287"/>
    <cellStyle name="Comma 5 2 9 2 3" xfId="3535"/>
    <cellStyle name="Comma 5 2 9 2 3 2" xfId="17180"/>
    <cellStyle name="Comma 5 2 9 2 3 3" xfId="13601"/>
    <cellStyle name="Comma 5 2 9 2 3 4" xfId="8344"/>
    <cellStyle name="Comma 5 2 9 2 4" xfId="6403"/>
    <cellStyle name="Comma 5 2 9 2 4 2" xfId="15487"/>
    <cellStyle name="Comma 5 2 9 2 5" xfId="9798"/>
    <cellStyle name="Comma 5 2 9 2 5 2" xfId="18625"/>
    <cellStyle name="Comma 5 2 9 2 6" xfId="11242"/>
    <cellStyle name="Comma 5 2 9 2 7" xfId="4881"/>
    <cellStyle name="Comma 5 2 9 3" xfId="895"/>
    <cellStyle name="Comma 5 2 9 3 2" xfId="2615"/>
    <cellStyle name="Comma 5 2 9 3 2 2" xfId="16516"/>
    <cellStyle name="Comma 5 2 9 3 2 3" xfId="12938"/>
    <cellStyle name="Comma 5 2 9 3 2 4" xfId="7648"/>
    <cellStyle name="Comma 5 2 9 3 3" xfId="3883"/>
    <cellStyle name="Comma 5 2 9 3 3 2" xfId="17528"/>
    <cellStyle name="Comma 5 2 9 3 3 3" xfId="13949"/>
    <cellStyle name="Comma 5 2 9 3 3 4" xfId="8692"/>
    <cellStyle name="Comma 5 2 9 3 4" xfId="6734"/>
    <cellStyle name="Comma 5 2 9 3 4 2" xfId="15817"/>
    <cellStyle name="Comma 5 2 9 3 5" xfId="10146"/>
    <cellStyle name="Comma 5 2 9 3 5 2" xfId="18973"/>
    <cellStyle name="Comma 5 2 9 3 6" xfId="11592"/>
    <cellStyle name="Comma 5 2 9 3 7" xfId="5242"/>
    <cellStyle name="Comma 5 2 9 4" xfId="1354"/>
    <cellStyle name="Comma 5 2 9 4 2" xfId="2967"/>
    <cellStyle name="Comma 5 2 9 4 2 2" xfId="17880"/>
    <cellStyle name="Comma 5 2 9 4 2 3" xfId="14301"/>
    <cellStyle name="Comma 5 2 9 4 2 4" xfId="9044"/>
    <cellStyle name="Comma 5 2 9 4 3" xfId="10498"/>
    <cellStyle name="Comma 5 2 9 4 3 2" xfId="19325"/>
    <cellStyle name="Comma 5 2 9 4 4" xfId="11944"/>
    <cellStyle name="Comma 5 2 9 4 5" xfId="6939"/>
    <cellStyle name="Comma 5 2 9 5" xfId="1924"/>
    <cellStyle name="Comma 5 2 9 5 2" xfId="16835"/>
    <cellStyle name="Comma 5 2 9 5 3" xfId="13256"/>
    <cellStyle name="Comma 5 2 9 5 4" xfId="7999"/>
    <cellStyle name="Comma 5 2 9 6" xfId="6055"/>
    <cellStyle name="Comma 5 2 9 6 2" xfId="15139"/>
    <cellStyle name="Comma 5 2 9 7" xfId="9455"/>
    <cellStyle name="Comma 5 2 9 7 2" xfId="18282"/>
    <cellStyle name="Comma 5 2 9 8" xfId="10899"/>
    <cellStyle name="Comma 5 2 9 9" xfId="4533"/>
    <cellStyle name="Comma 5 3" xfId="18"/>
    <cellStyle name="Comma 5 3 10" xfId="1903"/>
    <cellStyle name="Comma 5 3 10 2" xfId="9434"/>
    <cellStyle name="Comma 5 3 10 2 2" xfId="18261"/>
    <cellStyle name="Comma 5 3 10 3" xfId="10878"/>
    <cellStyle name="Comma 5 3 10 4" xfId="7978"/>
    <cellStyle name="Comma 5 3 11" xfId="1873"/>
    <cellStyle name="Comma 5 3 11 2" xfId="14672"/>
    <cellStyle name="Comma 5 3 11 3" xfId="5586"/>
    <cellStyle name="Comma 5 3 12" xfId="9404"/>
    <cellStyle name="Comma 5 3 12 2" xfId="18231"/>
    <cellStyle name="Comma 5 3 13" xfId="10848"/>
    <cellStyle name="Comma 5 3 14" xfId="4367"/>
    <cellStyle name="Comma 5 3 2" xfId="229"/>
    <cellStyle name="Comma 5 3 2 10" xfId="9536"/>
    <cellStyle name="Comma 5 3 2 10 2" xfId="18363"/>
    <cellStyle name="Comma 5 3 2 11" xfId="10980"/>
    <cellStyle name="Comma 5 3 2 12" xfId="4397"/>
    <cellStyle name="Comma 5 3 2 2" xfId="442"/>
    <cellStyle name="Comma 5 3 2 2 10" xfId="4501"/>
    <cellStyle name="Comma 5 3 2 2 2" xfId="540"/>
    <cellStyle name="Comma 5 3 2 2 2 2" xfId="2270"/>
    <cellStyle name="Comma 5 3 2 2 2 2 2" xfId="16097"/>
    <cellStyle name="Comma 5 3 2 2 2 2 3" xfId="12519"/>
    <cellStyle name="Comma 5 3 2 2 2 2 4" xfId="7224"/>
    <cellStyle name="Comma 5 3 2 2 2 3" xfId="3538"/>
    <cellStyle name="Comma 5 3 2 2 2 3 2" xfId="17183"/>
    <cellStyle name="Comma 5 3 2 2 2 3 3" xfId="13604"/>
    <cellStyle name="Comma 5 3 2 2 2 3 4" xfId="8347"/>
    <cellStyle name="Comma 5 3 2 2 2 4" xfId="6340"/>
    <cellStyle name="Comma 5 3 2 2 2 4 2" xfId="15424"/>
    <cellStyle name="Comma 5 3 2 2 2 5" xfId="9801"/>
    <cellStyle name="Comma 5 3 2 2 2 5 2" xfId="18628"/>
    <cellStyle name="Comma 5 3 2 2 2 6" xfId="11245"/>
    <cellStyle name="Comma 5 3 2 2 2 7" xfId="4818"/>
    <cellStyle name="Comma 5 3 2 2 3" xfId="898"/>
    <cellStyle name="Comma 5 3 2 2 3 2" xfId="2618"/>
    <cellStyle name="Comma 5 3 2 2 3 2 2" xfId="16159"/>
    <cellStyle name="Comma 5 3 2 2 3 2 3" xfId="12581"/>
    <cellStyle name="Comma 5 3 2 2 3 2 4" xfId="7290"/>
    <cellStyle name="Comma 5 3 2 2 3 3" xfId="3886"/>
    <cellStyle name="Comma 5 3 2 2 3 3 2" xfId="17531"/>
    <cellStyle name="Comma 5 3 2 2 3 3 3" xfId="13952"/>
    <cellStyle name="Comma 5 3 2 2 3 3 4" xfId="8695"/>
    <cellStyle name="Comma 5 3 2 2 3 4" xfId="6406"/>
    <cellStyle name="Comma 5 3 2 2 3 4 2" xfId="15490"/>
    <cellStyle name="Comma 5 3 2 2 3 5" xfId="10149"/>
    <cellStyle name="Comma 5 3 2 2 3 5 2" xfId="18976"/>
    <cellStyle name="Comma 5 3 2 2 3 6" xfId="11595"/>
    <cellStyle name="Comma 5 3 2 2 3 7" xfId="4884"/>
    <cellStyle name="Comma 5 3 2 2 4" xfId="1656"/>
    <cellStyle name="Comma 5 3 2 2 4 2" xfId="3252"/>
    <cellStyle name="Comma 5 3 2 2 4 2 2" xfId="16801"/>
    <cellStyle name="Comma 5 3 2 2 4 2 3" xfId="13222"/>
    <cellStyle name="Comma 5 3 2 2 4 2 4" xfId="7933"/>
    <cellStyle name="Comma 5 3 2 2 4 3" xfId="4319"/>
    <cellStyle name="Comma 5 3 2 2 4 3 2" xfId="18165"/>
    <cellStyle name="Comma 5 3 2 2 4 3 3" xfId="14586"/>
    <cellStyle name="Comma 5 3 2 2 4 3 4" xfId="9329"/>
    <cellStyle name="Comma 5 3 2 2 4 4" xfId="6021"/>
    <cellStyle name="Comma 5 3 2 2 4 4 2" xfId="15107"/>
    <cellStyle name="Comma 5 3 2 2 4 5" xfId="10783"/>
    <cellStyle name="Comma 5 3 2 2 4 5 2" xfId="19610"/>
    <cellStyle name="Comma 5 3 2 2 4 6" xfId="12229"/>
    <cellStyle name="Comma 5 3 2 2 4 7" xfId="5527"/>
    <cellStyle name="Comma 5 3 2 2 5" xfId="2209"/>
    <cellStyle name="Comma 5 3 2 2 5 2" xfId="15950"/>
    <cellStyle name="Comma 5 3 2 2 5 3" xfId="12353"/>
    <cellStyle name="Comma 5 3 2 2 5 4" xfId="6907"/>
    <cellStyle name="Comma 5 3 2 2 6" xfId="3481"/>
    <cellStyle name="Comma 5 3 2 2 6 2" xfId="17122"/>
    <cellStyle name="Comma 5 3 2 2 6 3" xfId="13543"/>
    <cellStyle name="Comma 5 3 2 2 6 4" xfId="8286"/>
    <cellStyle name="Comma 5 3 2 2 7" xfId="5847"/>
    <cellStyle name="Comma 5 3 2 2 7 2" xfId="14933"/>
    <cellStyle name="Comma 5 3 2 2 8" xfId="9740"/>
    <cellStyle name="Comma 5 3 2 2 8 2" xfId="18567"/>
    <cellStyle name="Comma 5 3 2 2 9" xfId="11184"/>
    <cellStyle name="Comma 5 3 2 3" xfId="337"/>
    <cellStyle name="Comma 5 3 2 3 2" xfId="541"/>
    <cellStyle name="Comma 5 3 2 3 2 2" xfId="2271"/>
    <cellStyle name="Comma 5 3 2 3 2 2 2" xfId="16160"/>
    <cellStyle name="Comma 5 3 2 3 2 2 3" xfId="12582"/>
    <cellStyle name="Comma 5 3 2 3 2 2 4" xfId="7291"/>
    <cellStyle name="Comma 5 3 2 3 2 3" xfId="3539"/>
    <cellStyle name="Comma 5 3 2 3 2 3 2" xfId="17184"/>
    <cellStyle name="Comma 5 3 2 3 2 3 3" xfId="13605"/>
    <cellStyle name="Comma 5 3 2 3 2 3 4" xfId="8348"/>
    <cellStyle name="Comma 5 3 2 3 2 4" xfId="6407"/>
    <cellStyle name="Comma 5 3 2 3 2 4 2" xfId="15491"/>
    <cellStyle name="Comma 5 3 2 3 2 5" xfId="9802"/>
    <cellStyle name="Comma 5 3 2 3 2 5 2" xfId="18629"/>
    <cellStyle name="Comma 5 3 2 3 2 6" xfId="11246"/>
    <cellStyle name="Comma 5 3 2 3 2 7" xfId="4885"/>
    <cellStyle name="Comma 5 3 2 3 3" xfId="899"/>
    <cellStyle name="Comma 5 3 2 3 3 2" xfId="2619"/>
    <cellStyle name="Comma 5 3 2 3 3 2 2" xfId="16697"/>
    <cellStyle name="Comma 5 3 2 3 3 2 3" xfId="13118"/>
    <cellStyle name="Comma 5 3 2 3 3 2 4" xfId="7829"/>
    <cellStyle name="Comma 5 3 2 3 3 3" xfId="3887"/>
    <cellStyle name="Comma 5 3 2 3 3 3 2" xfId="17532"/>
    <cellStyle name="Comma 5 3 2 3 3 3 3" xfId="13953"/>
    <cellStyle name="Comma 5 3 2 3 3 3 4" xfId="8696"/>
    <cellStyle name="Comma 5 3 2 3 3 4" xfId="6236"/>
    <cellStyle name="Comma 5 3 2 3 3 4 2" xfId="15320"/>
    <cellStyle name="Comma 5 3 2 3 3 5" xfId="10150"/>
    <cellStyle name="Comma 5 3 2 3 3 5 2" xfId="18977"/>
    <cellStyle name="Comma 5 3 2 3 3 6" xfId="11596"/>
    <cellStyle name="Comma 5 3 2 3 3 7" xfId="5423"/>
    <cellStyle name="Comma 5 3 2 3 4" xfId="1549"/>
    <cellStyle name="Comma 5 3 2 3 4 2" xfId="3148"/>
    <cellStyle name="Comma 5 3 2 3 4 2 2" xfId="18061"/>
    <cellStyle name="Comma 5 3 2 3 4 2 3" xfId="14482"/>
    <cellStyle name="Comma 5 3 2 3 4 2 4" xfId="9225"/>
    <cellStyle name="Comma 5 3 2 3 4 3" xfId="10679"/>
    <cellStyle name="Comma 5 3 2 3 4 3 2" xfId="19506"/>
    <cellStyle name="Comma 5 3 2 3 4 4" xfId="12125"/>
    <cellStyle name="Comma 5 3 2 3 4 5" xfId="7120"/>
    <cellStyle name="Comma 5 3 2 3 5" xfId="2105"/>
    <cellStyle name="Comma 5 3 2 3 5 2" xfId="17018"/>
    <cellStyle name="Comma 5 3 2 3 5 3" xfId="13439"/>
    <cellStyle name="Comma 5 3 2 3 5 4" xfId="8182"/>
    <cellStyle name="Comma 5 3 2 3 6" xfId="5743"/>
    <cellStyle name="Comma 5 3 2 3 6 2" xfId="14829"/>
    <cellStyle name="Comma 5 3 2 3 7" xfId="9636"/>
    <cellStyle name="Comma 5 3 2 3 7 2" xfId="18463"/>
    <cellStyle name="Comma 5 3 2 3 8" xfId="11080"/>
    <cellStyle name="Comma 5 3 2 3 9" xfId="4714"/>
    <cellStyle name="Comma 5 3 2 4" xfId="539"/>
    <cellStyle name="Comma 5 3 2 4 2" xfId="2269"/>
    <cellStyle name="Comma 5 3 2 4 2 2" xfId="16034"/>
    <cellStyle name="Comma 5 3 2 4 2 3" xfId="12300"/>
    <cellStyle name="Comma 5 3 2 4 2 4" xfId="7020"/>
    <cellStyle name="Comma 5 3 2 4 3" xfId="3537"/>
    <cellStyle name="Comma 5 3 2 4 3 2" xfId="17182"/>
    <cellStyle name="Comma 5 3 2 4 3 3" xfId="13603"/>
    <cellStyle name="Comma 5 3 2 4 3 4" xfId="8346"/>
    <cellStyle name="Comma 5 3 2 4 4" xfId="6136"/>
    <cellStyle name="Comma 5 3 2 4 4 2" xfId="15220"/>
    <cellStyle name="Comma 5 3 2 4 5" xfId="9800"/>
    <cellStyle name="Comma 5 3 2 4 5 2" xfId="18627"/>
    <cellStyle name="Comma 5 3 2 4 6" xfId="11244"/>
    <cellStyle name="Comma 5 3 2 4 7" xfId="4614"/>
    <cellStyle name="Comma 5 3 2 5" xfId="897"/>
    <cellStyle name="Comma 5 3 2 5 2" xfId="2617"/>
    <cellStyle name="Comma 5 3 2 5 2 2" xfId="16158"/>
    <cellStyle name="Comma 5 3 2 5 2 3" xfId="12580"/>
    <cellStyle name="Comma 5 3 2 5 2 4" xfId="7289"/>
    <cellStyle name="Comma 5 3 2 5 3" xfId="3885"/>
    <cellStyle name="Comma 5 3 2 5 3 2" xfId="17530"/>
    <cellStyle name="Comma 5 3 2 5 3 3" xfId="13951"/>
    <cellStyle name="Comma 5 3 2 5 3 4" xfId="8694"/>
    <cellStyle name="Comma 5 3 2 5 4" xfId="6405"/>
    <cellStyle name="Comma 5 3 2 5 4 2" xfId="15489"/>
    <cellStyle name="Comma 5 3 2 5 5" xfId="10148"/>
    <cellStyle name="Comma 5 3 2 5 5 2" xfId="18975"/>
    <cellStyle name="Comma 5 3 2 5 6" xfId="11594"/>
    <cellStyle name="Comma 5 3 2 5 7" xfId="4883"/>
    <cellStyle name="Comma 5 3 2 6" xfId="1447"/>
    <cellStyle name="Comma 5 3 2 6 2" xfId="3048"/>
    <cellStyle name="Comma 5 3 2 6 2 2" xfId="16597"/>
    <cellStyle name="Comma 5 3 2 6 2 3" xfId="13018"/>
    <cellStyle name="Comma 5 3 2 6 2 4" xfId="7729"/>
    <cellStyle name="Comma 5 3 2 6 3" xfId="4256"/>
    <cellStyle name="Comma 5 3 2 6 3 2" xfId="17961"/>
    <cellStyle name="Comma 5 3 2 6 3 3" xfId="14382"/>
    <cellStyle name="Comma 5 3 2 6 3 4" xfId="9125"/>
    <cellStyle name="Comma 5 3 2 6 4" xfId="5917"/>
    <cellStyle name="Comma 5 3 2 6 4 2" xfId="15003"/>
    <cellStyle name="Comma 5 3 2 6 5" xfId="10579"/>
    <cellStyle name="Comma 5 3 2 6 5 2" xfId="19406"/>
    <cellStyle name="Comma 5 3 2 6 6" xfId="12025"/>
    <cellStyle name="Comma 5 3 2 6 7" xfId="5323"/>
    <cellStyle name="Comma 5 3 2 7" xfId="2005"/>
    <cellStyle name="Comma 5 3 2 7 2" xfId="15849"/>
    <cellStyle name="Comma 5 3 2 7 3" xfId="12435"/>
    <cellStyle name="Comma 5 3 2 7 4" xfId="6803"/>
    <cellStyle name="Comma 5 3 2 8" xfId="3418"/>
    <cellStyle name="Comma 5 3 2 8 2" xfId="16918"/>
    <cellStyle name="Comma 5 3 2 8 3" xfId="13339"/>
    <cellStyle name="Comma 5 3 2 8 4" xfId="8082"/>
    <cellStyle name="Comma 5 3 2 9" xfId="5643"/>
    <cellStyle name="Comma 5 3 2 9 2" xfId="14729"/>
    <cellStyle name="Comma 5 3 3" xfId="272"/>
    <cellStyle name="Comma 5 3 3 10" xfId="11023"/>
    <cellStyle name="Comma 5 3 3 11" xfId="4440"/>
    <cellStyle name="Comma 5 3 3 2" xfId="380"/>
    <cellStyle name="Comma 5 3 3 2 2" xfId="543"/>
    <cellStyle name="Comma 5 3 3 2 2 2" xfId="2273"/>
    <cellStyle name="Comma 5 3 3 2 2 2 2" xfId="16162"/>
    <cellStyle name="Comma 5 3 3 2 2 2 3" xfId="12584"/>
    <cellStyle name="Comma 5 3 3 2 2 2 4" xfId="7293"/>
    <cellStyle name="Comma 5 3 3 2 2 3" xfId="3541"/>
    <cellStyle name="Comma 5 3 3 2 2 3 2" xfId="17186"/>
    <cellStyle name="Comma 5 3 3 2 2 3 3" xfId="13607"/>
    <cellStyle name="Comma 5 3 3 2 2 3 4" xfId="8350"/>
    <cellStyle name="Comma 5 3 3 2 2 4" xfId="6409"/>
    <cellStyle name="Comma 5 3 3 2 2 4 2" xfId="15493"/>
    <cellStyle name="Comma 5 3 3 2 2 5" xfId="9804"/>
    <cellStyle name="Comma 5 3 3 2 2 5 2" xfId="18631"/>
    <cellStyle name="Comma 5 3 3 2 2 6" xfId="11248"/>
    <cellStyle name="Comma 5 3 3 2 2 7" xfId="4887"/>
    <cellStyle name="Comma 5 3 3 2 3" xfId="901"/>
    <cellStyle name="Comma 5 3 3 2 3 2" xfId="2621"/>
    <cellStyle name="Comma 5 3 3 2 3 2 2" xfId="16740"/>
    <cellStyle name="Comma 5 3 3 2 3 2 3" xfId="13161"/>
    <cellStyle name="Comma 5 3 3 2 3 2 4" xfId="7872"/>
    <cellStyle name="Comma 5 3 3 2 3 3" xfId="3889"/>
    <cellStyle name="Comma 5 3 3 2 3 3 2" xfId="17534"/>
    <cellStyle name="Comma 5 3 3 2 3 3 3" xfId="13955"/>
    <cellStyle name="Comma 5 3 3 2 3 3 4" xfId="8698"/>
    <cellStyle name="Comma 5 3 3 2 3 4" xfId="6279"/>
    <cellStyle name="Comma 5 3 3 2 3 4 2" xfId="15363"/>
    <cellStyle name="Comma 5 3 3 2 3 5" xfId="10152"/>
    <cellStyle name="Comma 5 3 3 2 3 5 2" xfId="18979"/>
    <cellStyle name="Comma 5 3 3 2 3 6" xfId="11598"/>
    <cellStyle name="Comma 5 3 3 2 3 7" xfId="5466"/>
    <cellStyle name="Comma 5 3 3 2 4" xfId="1594"/>
    <cellStyle name="Comma 5 3 3 2 4 2" xfId="3191"/>
    <cellStyle name="Comma 5 3 3 2 4 2 2" xfId="18104"/>
    <cellStyle name="Comma 5 3 3 2 4 2 3" xfId="14525"/>
    <cellStyle name="Comma 5 3 3 2 4 2 4" xfId="9268"/>
    <cellStyle name="Comma 5 3 3 2 4 3" xfId="10722"/>
    <cellStyle name="Comma 5 3 3 2 4 3 2" xfId="19549"/>
    <cellStyle name="Comma 5 3 3 2 4 4" xfId="12168"/>
    <cellStyle name="Comma 5 3 3 2 4 5" xfId="7163"/>
    <cellStyle name="Comma 5 3 3 2 5" xfId="2148"/>
    <cellStyle name="Comma 5 3 3 2 5 2" xfId="17061"/>
    <cellStyle name="Comma 5 3 3 2 5 3" xfId="13482"/>
    <cellStyle name="Comma 5 3 3 2 5 4" xfId="8225"/>
    <cellStyle name="Comma 5 3 3 2 6" xfId="5786"/>
    <cellStyle name="Comma 5 3 3 2 6 2" xfId="14872"/>
    <cellStyle name="Comma 5 3 3 2 7" xfId="9679"/>
    <cellStyle name="Comma 5 3 3 2 7 2" xfId="18506"/>
    <cellStyle name="Comma 5 3 3 2 8" xfId="11123"/>
    <cellStyle name="Comma 5 3 3 2 9" xfId="4757"/>
    <cellStyle name="Comma 5 3 3 3" xfId="542"/>
    <cellStyle name="Comma 5 3 3 3 2" xfId="2272"/>
    <cellStyle name="Comma 5 3 3 3 2 2" xfId="16077"/>
    <cellStyle name="Comma 5 3 3 3 2 3" xfId="12278"/>
    <cellStyle name="Comma 5 3 3 3 2 4" xfId="7063"/>
    <cellStyle name="Comma 5 3 3 3 3" xfId="3540"/>
    <cellStyle name="Comma 5 3 3 3 3 2" xfId="17185"/>
    <cellStyle name="Comma 5 3 3 3 3 3" xfId="13606"/>
    <cellStyle name="Comma 5 3 3 3 3 4" xfId="8349"/>
    <cellStyle name="Comma 5 3 3 3 4" xfId="6179"/>
    <cellStyle name="Comma 5 3 3 3 4 2" xfId="15263"/>
    <cellStyle name="Comma 5 3 3 3 5" xfId="9803"/>
    <cellStyle name="Comma 5 3 3 3 5 2" xfId="18630"/>
    <cellStyle name="Comma 5 3 3 3 6" xfId="11247"/>
    <cellStyle name="Comma 5 3 3 3 7" xfId="4657"/>
    <cellStyle name="Comma 5 3 3 4" xfId="900"/>
    <cellStyle name="Comma 5 3 3 4 2" xfId="2620"/>
    <cellStyle name="Comma 5 3 3 4 2 2" xfId="16161"/>
    <cellStyle name="Comma 5 3 3 4 2 3" xfId="12583"/>
    <cellStyle name="Comma 5 3 3 4 2 4" xfId="7292"/>
    <cellStyle name="Comma 5 3 3 4 3" xfId="3888"/>
    <cellStyle name="Comma 5 3 3 4 3 2" xfId="17533"/>
    <cellStyle name="Comma 5 3 3 4 3 3" xfId="13954"/>
    <cellStyle name="Comma 5 3 3 4 3 4" xfId="8697"/>
    <cellStyle name="Comma 5 3 3 4 4" xfId="6408"/>
    <cellStyle name="Comma 5 3 3 4 4 2" xfId="15492"/>
    <cellStyle name="Comma 5 3 3 4 5" xfId="10151"/>
    <cellStyle name="Comma 5 3 3 4 5 2" xfId="18978"/>
    <cellStyle name="Comma 5 3 3 4 6" xfId="11597"/>
    <cellStyle name="Comma 5 3 3 4 7" xfId="4886"/>
    <cellStyle name="Comma 5 3 3 5" xfId="1492"/>
    <cellStyle name="Comma 5 3 3 5 2" xfId="3091"/>
    <cellStyle name="Comma 5 3 3 5 2 2" xfId="16640"/>
    <cellStyle name="Comma 5 3 3 5 2 3" xfId="13061"/>
    <cellStyle name="Comma 5 3 3 5 2 4" xfId="7772"/>
    <cellStyle name="Comma 5 3 3 5 3" xfId="4299"/>
    <cellStyle name="Comma 5 3 3 5 3 2" xfId="18004"/>
    <cellStyle name="Comma 5 3 3 5 3 3" xfId="14425"/>
    <cellStyle name="Comma 5 3 3 5 3 4" xfId="9168"/>
    <cellStyle name="Comma 5 3 3 5 4" xfId="5960"/>
    <cellStyle name="Comma 5 3 3 5 4 2" xfId="15046"/>
    <cellStyle name="Comma 5 3 3 5 5" xfId="10622"/>
    <cellStyle name="Comma 5 3 3 5 5 2" xfId="19449"/>
    <cellStyle name="Comma 5 3 3 5 6" xfId="12068"/>
    <cellStyle name="Comma 5 3 3 5 7" xfId="5366"/>
    <cellStyle name="Comma 5 3 3 6" xfId="2048"/>
    <cellStyle name="Comma 5 3 3 6 2" xfId="15889"/>
    <cellStyle name="Comma 5 3 3 6 3" xfId="12501"/>
    <cellStyle name="Comma 5 3 3 6 4" xfId="6846"/>
    <cellStyle name="Comma 5 3 3 7" xfId="3461"/>
    <cellStyle name="Comma 5 3 3 7 2" xfId="16961"/>
    <cellStyle name="Comma 5 3 3 7 3" xfId="13382"/>
    <cellStyle name="Comma 5 3 3 7 4" xfId="8125"/>
    <cellStyle name="Comma 5 3 3 8" xfId="5686"/>
    <cellStyle name="Comma 5 3 3 8 2" xfId="14772"/>
    <cellStyle name="Comma 5 3 3 9" xfId="9579"/>
    <cellStyle name="Comma 5 3 3 9 2" xfId="18406"/>
    <cellStyle name="Comma 5 3 4" xfId="196"/>
    <cellStyle name="Comma 5 3 4 10" xfId="10950"/>
    <cellStyle name="Comma 5 3 4 11" xfId="4472"/>
    <cellStyle name="Comma 5 3 4 2" xfId="413"/>
    <cellStyle name="Comma 5 3 4 2 2" xfId="545"/>
    <cellStyle name="Comma 5 3 4 2 2 2" xfId="2275"/>
    <cellStyle name="Comma 5 3 4 2 2 2 2" xfId="16164"/>
    <cellStyle name="Comma 5 3 4 2 2 2 3" xfId="12586"/>
    <cellStyle name="Comma 5 3 4 2 2 2 4" xfId="7295"/>
    <cellStyle name="Comma 5 3 4 2 2 3" xfId="3543"/>
    <cellStyle name="Comma 5 3 4 2 2 3 2" xfId="17188"/>
    <cellStyle name="Comma 5 3 4 2 2 3 3" xfId="13609"/>
    <cellStyle name="Comma 5 3 4 2 2 3 4" xfId="8352"/>
    <cellStyle name="Comma 5 3 4 2 2 4" xfId="6411"/>
    <cellStyle name="Comma 5 3 4 2 2 4 2" xfId="15495"/>
    <cellStyle name="Comma 5 3 4 2 2 5" xfId="9806"/>
    <cellStyle name="Comma 5 3 4 2 2 5 2" xfId="18633"/>
    <cellStyle name="Comma 5 3 4 2 2 6" xfId="11250"/>
    <cellStyle name="Comma 5 3 4 2 2 7" xfId="4889"/>
    <cellStyle name="Comma 5 3 4 2 3" xfId="903"/>
    <cellStyle name="Comma 5 3 4 2 3 2" xfId="2623"/>
    <cellStyle name="Comma 5 3 4 2 3 2 2" xfId="16772"/>
    <cellStyle name="Comma 5 3 4 2 3 2 3" xfId="13193"/>
    <cellStyle name="Comma 5 3 4 2 3 2 4" xfId="7904"/>
    <cellStyle name="Comma 5 3 4 2 3 3" xfId="3891"/>
    <cellStyle name="Comma 5 3 4 2 3 3 2" xfId="17536"/>
    <cellStyle name="Comma 5 3 4 2 3 3 3" xfId="13957"/>
    <cellStyle name="Comma 5 3 4 2 3 3 4" xfId="8700"/>
    <cellStyle name="Comma 5 3 4 2 3 4" xfId="6311"/>
    <cellStyle name="Comma 5 3 4 2 3 4 2" xfId="15395"/>
    <cellStyle name="Comma 5 3 4 2 3 5" xfId="10154"/>
    <cellStyle name="Comma 5 3 4 2 3 5 2" xfId="18981"/>
    <cellStyle name="Comma 5 3 4 2 3 6" xfId="11600"/>
    <cellStyle name="Comma 5 3 4 2 3 7" xfId="5498"/>
    <cellStyle name="Comma 5 3 4 2 4" xfId="1627"/>
    <cellStyle name="Comma 5 3 4 2 4 2" xfId="3223"/>
    <cellStyle name="Comma 5 3 4 2 4 2 2" xfId="18136"/>
    <cellStyle name="Comma 5 3 4 2 4 2 3" xfId="14557"/>
    <cellStyle name="Comma 5 3 4 2 4 2 4" xfId="9300"/>
    <cellStyle name="Comma 5 3 4 2 4 3" xfId="10754"/>
    <cellStyle name="Comma 5 3 4 2 4 3 2" xfId="19581"/>
    <cellStyle name="Comma 5 3 4 2 4 4" xfId="12200"/>
    <cellStyle name="Comma 5 3 4 2 4 5" xfId="7195"/>
    <cellStyle name="Comma 5 3 4 2 5" xfId="2180"/>
    <cellStyle name="Comma 5 3 4 2 5 2" xfId="17093"/>
    <cellStyle name="Comma 5 3 4 2 5 3" xfId="13514"/>
    <cellStyle name="Comma 5 3 4 2 5 4" xfId="8257"/>
    <cellStyle name="Comma 5 3 4 2 6" xfId="5818"/>
    <cellStyle name="Comma 5 3 4 2 6 2" xfId="14904"/>
    <cellStyle name="Comma 5 3 4 2 7" xfId="9711"/>
    <cellStyle name="Comma 5 3 4 2 7 2" xfId="18538"/>
    <cellStyle name="Comma 5 3 4 2 8" xfId="11155"/>
    <cellStyle name="Comma 5 3 4 2 9" xfId="4789"/>
    <cellStyle name="Comma 5 3 4 3" xfId="544"/>
    <cellStyle name="Comma 5 3 4 3 2" xfId="2274"/>
    <cellStyle name="Comma 5 3 4 3 2 2" xfId="16004"/>
    <cellStyle name="Comma 5 3 4 3 2 3" xfId="12340"/>
    <cellStyle name="Comma 5 3 4 3 2 4" xfId="6990"/>
    <cellStyle name="Comma 5 3 4 3 3" xfId="3542"/>
    <cellStyle name="Comma 5 3 4 3 3 2" xfId="17187"/>
    <cellStyle name="Comma 5 3 4 3 3 3" xfId="13608"/>
    <cellStyle name="Comma 5 3 4 3 3 4" xfId="8351"/>
    <cellStyle name="Comma 5 3 4 3 4" xfId="6106"/>
    <cellStyle name="Comma 5 3 4 3 4 2" xfId="15190"/>
    <cellStyle name="Comma 5 3 4 3 5" xfId="9805"/>
    <cellStyle name="Comma 5 3 4 3 5 2" xfId="18632"/>
    <cellStyle name="Comma 5 3 4 3 6" xfId="11249"/>
    <cellStyle name="Comma 5 3 4 3 7" xfId="4584"/>
    <cellStyle name="Comma 5 3 4 4" xfId="902"/>
    <cellStyle name="Comma 5 3 4 4 2" xfId="2622"/>
    <cellStyle name="Comma 5 3 4 4 2 2" xfId="16163"/>
    <cellStyle name="Comma 5 3 4 4 2 3" xfId="12585"/>
    <cellStyle name="Comma 5 3 4 4 2 4" xfId="7294"/>
    <cellStyle name="Comma 5 3 4 4 3" xfId="3890"/>
    <cellStyle name="Comma 5 3 4 4 3 2" xfId="17535"/>
    <cellStyle name="Comma 5 3 4 4 3 3" xfId="13956"/>
    <cellStyle name="Comma 5 3 4 4 3 4" xfId="8699"/>
    <cellStyle name="Comma 5 3 4 4 4" xfId="6410"/>
    <cellStyle name="Comma 5 3 4 4 4 2" xfId="15494"/>
    <cellStyle name="Comma 5 3 4 4 5" xfId="10153"/>
    <cellStyle name="Comma 5 3 4 4 5 2" xfId="18980"/>
    <cellStyle name="Comma 5 3 4 4 6" xfId="11599"/>
    <cellStyle name="Comma 5 3 4 4 7" xfId="4888"/>
    <cellStyle name="Comma 5 3 4 5" xfId="1413"/>
    <cellStyle name="Comma 5 3 4 5 2" xfId="3018"/>
    <cellStyle name="Comma 5 3 4 5 2 2" xfId="16567"/>
    <cellStyle name="Comma 5 3 4 5 2 3" xfId="12988"/>
    <cellStyle name="Comma 5 3 4 5 2 4" xfId="7699"/>
    <cellStyle name="Comma 5 3 4 5 3" xfId="4226"/>
    <cellStyle name="Comma 5 3 4 5 3 2" xfId="17931"/>
    <cellStyle name="Comma 5 3 4 5 3 3" xfId="14352"/>
    <cellStyle name="Comma 5 3 4 5 3 4" xfId="9095"/>
    <cellStyle name="Comma 5 3 4 5 4" xfId="5992"/>
    <cellStyle name="Comma 5 3 4 5 4 2" xfId="15078"/>
    <cellStyle name="Comma 5 3 4 5 5" xfId="10549"/>
    <cellStyle name="Comma 5 3 4 5 5 2" xfId="19376"/>
    <cellStyle name="Comma 5 3 4 5 6" xfId="11995"/>
    <cellStyle name="Comma 5 3 4 5 7" xfId="5293"/>
    <cellStyle name="Comma 5 3 4 6" xfId="1975"/>
    <cellStyle name="Comma 5 3 4 6 2" xfId="15921"/>
    <cellStyle name="Comma 5 3 4 6 3" xfId="12498"/>
    <cellStyle name="Comma 5 3 4 6 4" xfId="6878"/>
    <cellStyle name="Comma 5 3 4 7" xfId="3389"/>
    <cellStyle name="Comma 5 3 4 7 2" xfId="16888"/>
    <cellStyle name="Comma 5 3 4 7 3" xfId="13309"/>
    <cellStyle name="Comma 5 3 4 7 4" xfId="8052"/>
    <cellStyle name="Comma 5 3 4 8" xfId="5613"/>
    <cellStyle name="Comma 5 3 4 8 2" xfId="14699"/>
    <cellStyle name="Comma 5 3 4 9" xfId="9506"/>
    <cellStyle name="Comma 5 3 4 9 2" xfId="18333"/>
    <cellStyle name="Comma 5 3 5" xfId="307"/>
    <cellStyle name="Comma 5 3 5 2" xfId="546"/>
    <cellStyle name="Comma 5 3 5 2 2" xfId="2276"/>
    <cellStyle name="Comma 5 3 5 2 2 2" xfId="16165"/>
    <cellStyle name="Comma 5 3 5 2 2 3" xfId="12587"/>
    <cellStyle name="Comma 5 3 5 2 2 4" xfId="7296"/>
    <cellStyle name="Comma 5 3 5 2 3" xfId="3544"/>
    <cellStyle name="Comma 5 3 5 2 3 2" xfId="17189"/>
    <cellStyle name="Comma 5 3 5 2 3 3" xfId="13610"/>
    <cellStyle name="Comma 5 3 5 2 3 4" xfId="8353"/>
    <cellStyle name="Comma 5 3 5 2 4" xfId="6412"/>
    <cellStyle name="Comma 5 3 5 2 4 2" xfId="15496"/>
    <cellStyle name="Comma 5 3 5 2 5" xfId="9807"/>
    <cellStyle name="Comma 5 3 5 2 5 2" xfId="18634"/>
    <cellStyle name="Comma 5 3 5 2 6" xfId="11251"/>
    <cellStyle name="Comma 5 3 5 2 7" xfId="4890"/>
    <cellStyle name="Comma 5 3 5 3" xfId="904"/>
    <cellStyle name="Comma 5 3 5 3 2" xfId="2624"/>
    <cellStyle name="Comma 5 3 5 3 2 2" xfId="16667"/>
    <cellStyle name="Comma 5 3 5 3 2 3" xfId="13088"/>
    <cellStyle name="Comma 5 3 5 3 2 4" xfId="7799"/>
    <cellStyle name="Comma 5 3 5 3 3" xfId="3892"/>
    <cellStyle name="Comma 5 3 5 3 3 2" xfId="17537"/>
    <cellStyle name="Comma 5 3 5 3 3 3" xfId="13958"/>
    <cellStyle name="Comma 5 3 5 3 3 4" xfId="8701"/>
    <cellStyle name="Comma 5 3 5 3 4" xfId="6206"/>
    <cellStyle name="Comma 5 3 5 3 4 2" xfId="15290"/>
    <cellStyle name="Comma 5 3 5 3 5" xfId="10155"/>
    <cellStyle name="Comma 5 3 5 3 5 2" xfId="18982"/>
    <cellStyle name="Comma 5 3 5 3 6" xfId="11601"/>
    <cellStyle name="Comma 5 3 5 3 7" xfId="5393"/>
    <cellStyle name="Comma 5 3 5 4" xfId="1519"/>
    <cellStyle name="Comma 5 3 5 4 2" xfId="3118"/>
    <cellStyle name="Comma 5 3 5 4 2 2" xfId="18031"/>
    <cellStyle name="Comma 5 3 5 4 2 3" xfId="14452"/>
    <cellStyle name="Comma 5 3 5 4 2 4" xfId="9195"/>
    <cellStyle name="Comma 5 3 5 4 3" xfId="10649"/>
    <cellStyle name="Comma 5 3 5 4 3 2" xfId="19476"/>
    <cellStyle name="Comma 5 3 5 4 4" xfId="12095"/>
    <cellStyle name="Comma 5 3 5 4 5" xfId="7090"/>
    <cellStyle name="Comma 5 3 5 5" xfId="2075"/>
    <cellStyle name="Comma 5 3 5 5 2" xfId="16988"/>
    <cellStyle name="Comma 5 3 5 5 3" xfId="13409"/>
    <cellStyle name="Comma 5 3 5 5 4" xfId="8152"/>
    <cellStyle name="Comma 5 3 5 6" xfId="5713"/>
    <cellStyle name="Comma 5 3 5 6 2" xfId="14799"/>
    <cellStyle name="Comma 5 3 5 7" xfId="9606"/>
    <cellStyle name="Comma 5 3 5 7 2" xfId="18433"/>
    <cellStyle name="Comma 5 3 5 8" xfId="11050"/>
    <cellStyle name="Comma 5 3 5 9" xfId="4684"/>
    <cellStyle name="Comma 5 3 6" xfId="487"/>
    <cellStyle name="Comma 5 3 6 2" xfId="547"/>
    <cellStyle name="Comma 5 3 6 2 2" xfId="2277"/>
    <cellStyle name="Comma 5 3 6 2 2 2" xfId="16166"/>
    <cellStyle name="Comma 5 3 6 2 2 3" xfId="12588"/>
    <cellStyle name="Comma 5 3 6 2 2 4" xfId="7297"/>
    <cellStyle name="Comma 5 3 6 2 3" xfId="3545"/>
    <cellStyle name="Comma 5 3 6 2 3 2" xfId="17190"/>
    <cellStyle name="Comma 5 3 6 2 3 3" xfId="13611"/>
    <cellStyle name="Comma 5 3 6 2 3 4" xfId="8354"/>
    <cellStyle name="Comma 5 3 6 2 4" xfId="6413"/>
    <cellStyle name="Comma 5 3 6 2 4 2" xfId="15497"/>
    <cellStyle name="Comma 5 3 6 2 5" xfId="9808"/>
    <cellStyle name="Comma 5 3 6 2 5 2" xfId="18635"/>
    <cellStyle name="Comma 5 3 6 2 6" xfId="11252"/>
    <cellStyle name="Comma 5 3 6 2 7" xfId="4891"/>
    <cellStyle name="Comma 5 3 6 3" xfId="905"/>
    <cellStyle name="Comma 5 3 6 3 2" xfId="2625"/>
    <cellStyle name="Comma 5 3 6 3 2 2" xfId="16540"/>
    <cellStyle name="Comma 5 3 6 3 2 3" xfId="12961"/>
    <cellStyle name="Comma 5 3 6 3 2 4" xfId="7672"/>
    <cellStyle name="Comma 5 3 6 3 3" xfId="3893"/>
    <cellStyle name="Comma 5 3 6 3 3 2" xfId="17538"/>
    <cellStyle name="Comma 5 3 6 3 3 3" xfId="13959"/>
    <cellStyle name="Comma 5 3 6 3 3 4" xfId="8702"/>
    <cellStyle name="Comma 5 3 6 3 4" xfId="6743"/>
    <cellStyle name="Comma 5 3 6 3 4 2" xfId="15826"/>
    <cellStyle name="Comma 5 3 6 3 5" xfId="10156"/>
    <cellStyle name="Comma 5 3 6 3 5 2" xfId="18983"/>
    <cellStyle name="Comma 5 3 6 3 6" xfId="11602"/>
    <cellStyle name="Comma 5 3 6 3 7" xfId="5266"/>
    <cellStyle name="Comma 5 3 6 4" xfId="1382"/>
    <cellStyle name="Comma 5 3 6 4 2" xfId="2991"/>
    <cellStyle name="Comma 5 3 6 4 2 2" xfId="17904"/>
    <cellStyle name="Comma 5 3 6 4 2 3" xfId="14325"/>
    <cellStyle name="Comma 5 3 6 4 2 4" xfId="9068"/>
    <cellStyle name="Comma 5 3 6 4 3" xfId="10522"/>
    <cellStyle name="Comma 5 3 6 4 3 2" xfId="19349"/>
    <cellStyle name="Comma 5 3 6 4 4" xfId="11968"/>
    <cellStyle name="Comma 5 3 6 4 5" xfId="6963"/>
    <cellStyle name="Comma 5 3 6 5" xfId="1948"/>
    <cellStyle name="Comma 5 3 6 5 2" xfId="16859"/>
    <cellStyle name="Comma 5 3 6 5 3" xfId="13280"/>
    <cellStyle name="Comma 5 3 6 5 4" xfId="8023"/>
    <cellStyle name="Comma 5 3 6 6" xfId="6079"/>
    <cellStyle name="Comma 5 3 6 6 2" xfId="15163"/>
    <cellStyle name="Comma 5 3 6 7" xfId="9479"/>
    <cellStyle name="Comma 5 3 6 7 2" xfId="18306"/>
    <cellStyle name="Comma 5 3 6 8" xfId="10923"/>
    <cellStyle name="Comma 5 3 6 9" xfId="4557"/>
    <cellStyle name="Comma 5 3 7" xfId="538"/>
    <cellStyle name="Comma 5 3 7 2" xfId="2268"/>
    <cellStyle name="Comma 5 3 7 2 2" xfId="16157"/>
    <cellStyle name="Comma 5 3 7 2 3" xfId="12579"/>
    <cellStyle name="Comma 5 3 7 2 4" xfId="7288"/>
    <cellStyle name="Comma 5 3 7 3" xfId="3536"/>
    <cellStyle name="Comma 5 3 7 3 2" xfId="17181"/>
    <cellStyle name="Comma 5 3 7 3 3" xfId="13602"/>
    <cellStyle name="Comma 5 3 7 3 4" xfId="8345"/>
    <cellStyle name="Comma 5 3 7 4" xfId="6404"/>
    <cellStyle name="Comma 5 3 7 4 2" xfId="15488"/>
    <cellStyle name="Comma 5 3 7 5" xfId="9799"/>
    <cellStyle name="Comma 5 3 7 5 2" xfId="18626"/>
    <cellStyle name="Comma 5 3 7 6" xfId="11243"/>
    <cellStyle name="Comma 5 3 7 7" xfId="4882"/>
    <cellStyle name="Comma 5 3 8" xfId="896"/>
    <cellStyle name="Comma 5 3 8 2" xfId="2616"/>
    <cellStyle name="Comma 5 3 8 2 2" xfId="16495"/>
    <cellStyle name="Comma 5 3 8 2 3" xfId="12917"/>
    <cellStyle name="Comma 5 3 8 2 4" xfId="7627"/>
    <cellStyle name="Comma 5 3 8 3" xfId="3884"/>
    <cellStyle name="Comma 5 3 8 3 2" xfId="17529"/>
    <cellStyle name="Comma 5 3 8 3 3" xfId="13950"/>
    <cellStyle name="Comma 5 3 8 3 4" xfId="8693"/>
    <cellStyle name="Comma 5 3 8 4" xfId="5886"/>
    <cellStyle name="Comma 5 3 8 4 2" xfId="14972"/>
    <cellStyle name="Comma 5 3 8 5" xfId="10147"/>
    <cellStyle name="Comma 5 3 8 5 2" xfId="18974"/>
    <cellStyle name="Comma 5 3 8 6" xfId="11593"/>
    <cellStyle name="Comma 5 3 8 7" xfId="5221"/>
    <cellStyle name="Comma 5 3 9" xfId="1331"/>
    <cellStyle name="Comma 5 3 9 2" xfId="2946"/>
    <cellStyle name="Comma 5 3 9 2 2" xfId="17859"/>
    <cellStyle name="Comma 5 3 9 2 3" xfId="14280"/>
    <cellStyle name="Comma 5 3 9 2 4" xfId="9023"/>
    <cellStyle name="Comma 5 3 9 3" xfId="10477"/>
    <cellStyle name="Comma 5 3 9 3 2" xfId="19304"/>
    <cellStyle name="Comma 5 3 9 4" xfId="11923"/>
    <cellStyle name="Comma 5 3 9 5" xfId="6772"/>
    <cellStyle name="Comma 5 4" xfId="162"/>
    <cellStyle name="Comma 5 4 10" xfId="1911"/>
    <cellStyle name="Comma 5 4 10 2" xfId="9442"/>
    <cellStyle name="Comma 5 4 10 2 2" xfId="18269"/>
    <cellStyle name="Comma 5 4 10 3" xfId="10886"/>
    <cellStyle name="Comma 5 4 10 4" xfId="7986"/>
    <cellStyle name="Comma 5 4 11" xfId="1881"/>
    <cellStyle name="Comma 5 4 11 2" xfId="14680"/>
    <cellStyle name="Comma 5 4 11 3" xfId="5594"/>
    <cellStyle name="Comma 5 4 12" xfId="9412"/>
    <cellStyle name="Comma 5 4 12 2" xfId="18239"/>
    <cellStyle name="Comma 5 4 13" xfId="10856"/>
    <cellStyle name="Comma 5 4 14" xfId="4373"/>
    <cellStyle name="Comma 5 4 2" xfId="237"/>
    <cellStyle name="Comma 5 4 2 10" xfId="9544"/>
    <cellStyle name="Comma 5 4 2 10 2" xfId="18371"/>
    <cellStyle name="Comma 5 4 2 11" xfId="10988"/>
    <cellStyle name="Comma 5 4 2 12" xfId="4405"/>
    <cellStyle name="Comma 5 4 2 2" xfId="450"/>
    <cellStyle name="Comma 5 4 2 2 10" xfId="4509"/>
    <cellStyle name="Comma 5 4 2 2 2" xfId="550"/>
    <cellStyle name="Comma 5 4 2 2 2 2" xfId="2280"/>
    <cellStyle name="Comma 5 4 2 2 2 2 2" xfId="16101"/>
    <cellStyle name="Comma 5 4 2 2 2 2 3" xfId="12523"/>
    <cellStyle name="Comma 5 4 2 2 2 2 4" xfId="7232"/>
    <cellStyle name="Comma 5 4 2 2 2 3" xfId="3548"/>
    <cellStyle name="Comma 5 4 2 2 2 3 2" xfId="17193"/>
    <cellStyle name="Comma 5 4 2 2 2 3 3" xfId="13614"/>
    <cellStyle name="Comma 5 4 2 2 2 3 4" xfId="8357"/>
    <cellStyle name="Comma 5 4 2 2 2 4" xfId="6348"/>
    <cellStyle name="Comma 5 4 2 2 2 4 2" xfId="15432"/>
    <cellStyle name="Comma 5 4 2 2 2 5" xfId="9811"/>
    <cellStyle name="Comma 5 4 2 2 2 5 2" xfId="18638"/>
    <cellStyle name="Comma 5 4 2 2 2 6" xfId="11255"/>
    <cellStyle name="Comma 5 4 2 2 2 7" xfId="4826"/>
    <cellStyle name="Comma 5 4 2 2 3" xfId="908"/>
    <cellStyle name="Comma 5 4 2 2 3 2" xfId="2628"/>
    <cellStyle name="Comma 5 4 2 2 3 2 2" xfId="16169"/>
    <cellStyle name="Comma 5 4 2 2 3 2 3" xfId="12591"/>
    <cellStyle name="Comma 5 4 2 2 3 2 4" xfId="7300"/>
    <cellStyle name="Comma 5 4 2 2 3 3" xfId="3896"/>
    <cellStyle name="Comma 5 4 2 2 3 3 2" xfId="17541"/>
    <cellStyle name="Comma 5 4 2 2 3 3 3" xfId="13962"/>
    <cellStyle name="Comma 5 4 2 2 3 3 4" xfId="8705"/>
    <cellStyle name="Comma 5 4 2 2 3 4" xfId="6416"/>
    <cellStyle name="Comma 5 4 2 2 3 4 2" xfId="15500"/>
    <cellStyle name="Comma 5 4 2 2 3 5" xfId="10159"/>
    <cellStyle name="Comma 5 4 2 2 3 5 2" xfId="18986"/>
    <cellStyle name="Comma 5 4 2 2 3 6" xfId="11605"/>
    <cellStyle name="Comma 5 4 2 2 3 7" xfId="4894"/>
    <cellStyle name="Comma 5 4 2 2 4" xfId="1664"/>
    <cellStyle name="Comma 5 4 2 2 4 2" xfId="3260"/>
    <cellStyle name="Comma 5 4 2 2 4 2 2" xfId="16809"/>
    <cellStyle name="Comma 5 4 2 2 4 2 3" xfId="13230"/>
    <cellStyle name="Comma 5 4 2 2 4 2 4" xfId="7941"/>
    <cellStyle name="Comma 5 4 2 2 4 3" xfId="4323"/>
    <cellStyle name="Comma 5 4 2 2 4 3 2" xfId="18173"/>
    <cellStyle name="Comma 5 4 2 2 4 3 3" xfId="14594"/>
    <cellStyle name="Comma 5 4 2 2 4 3 4" xfId="9337"/>
    <cellStyle name="Comma 5 4 2 2 4 4" xfId="6029"/>
    <cellStyle name="Comma 5 4 2 2 4 4 2" xfId="15115"/>
    <cellStyle name="Comma 5 4 2 2 4 5" xfId="10791"/>
    <cellStyle name="Comma 5 4 2 2 4 5 2" xfId="19618"/>
    <cellStyle name="Comma 5 4 2 2 4 6" xfId="12237"/>
    <cellStyle name="Comma 5 4 2 2 4 7" xfId="5535"/>
    <cellStyle name="Comma 5 4 2 2 5" xfId="2217"/>
    <cellStyle name="Comma 5 4 2 2 5 2" xfId="15958"/>
    <cellStyle name="Comma 5 4 2 2 5 3" xfId="12350"/>
    <cellStyle name="Comma 5 4 2 2 5 4" xfId="6915"/>
    <cellStyle name="Comma 5 4 2 2 6" xfId="3485"/>
    <cellStyle name="Comma 5 4 2 2 6 2" xfId="17130"/>
    <cellStyle name="Comma 5 4 2 2 6 3" xfId="13551"/>
    <cellStyle name="Comma 5 4 2 2 6 4" xfId="8294"/>
    <cellStyle name="Comma 5 4 2 2 7" xfId="5855"/>
    <cellStyle name="Comma 5 4 2 2 7 2" xfId="14941"/>
    <cellStyle name="Comma 5 4 2 2 8" xfId="9748"/>
    <cellStyle name="Comma 5 4 2 2 8 2" xfId="18575"/>
    <cellStyle name="Comma 5 4 2 2 9" xfId="11192"/>
    <cellStyle name="Comma 5 4 2 3" xfId="345"/>
    <cellStyle name="Comma 5 4 2 3 2" xfId="551"/>
    <cellStyle name="Comma 5 4 2 3 2 2" xfId="2281"/>
    <cellStyle name="Comma 5 4 2 3 2 2 2" xfId="16170"/>
    <cellStyle name="Comma 5 4 2 3 2 2 3" xfId="12592"/>
    <cellStyle name="Comma 5 4 2 3 2 2 4" xfId="7301"/>
    <cellStyle name="Comma 5 4 2 3 2 3" xfId="3549"/>
    <cellStyle name="Comma 5 4 2 3 2 3 2" xfId="17194"/>
    <cellStyle name="Comma 5 4 2 3 2 3 3" xfId="13615"/>
    <cellStyle name="Comma 5 4 2 3 2 3 4" xfId="8358"/>
    <cellStyle name="Comma 5 4 2 3 2 4" xfId="6417"/>
    <cellStyle name="Comma 5 4 2 3 2 4 2" xfId="15501"/>
    <cellStyle name="Comma 5 4 2 3 2 5" xfId="9812"/>
    <cellStyle name="Comma 5 4 2 3 2 5 2" xfId="18639"/>
    <cellStyle name="Comma 5 4 2 3 2 6" xfId="11256"/>
    <cellStyle name="Comma 5 4 2 3 2 7" xfId="4895"/>
    <cellStyle name="Comma 5 4 2 3 3" xfId="909"/>
    <cellStyle name="Comma 5 4 2 3 3 2" xfId="2629"/>
    <cellStyle name="Comma 5 4 2 3 3 2 2" xfId="16705"/>
    <cellStyle name="Comma 5 4 2 3 3 2 3" xfId="13126"/>
    <cellStyle name="Comma 5 4 2 3 3 2 4" xfId="7837"/>
    <cellStyle name="Comma 5 4 2 3 3 3" xfId="3897"/>
    <cellStyle name="Comma 5 4 2 3 3 3 2" xfId="17542"/>
    <cellStyle name="Comma 5 4 2 3 3 3 3" xfId="13963"/>
    <cellStyle name="Comma 5 4 2 3 3 3 4" xfId="8706"/>
    <cellStyle name="Comma 5 4 2 3 3 4" xfId="6244"/>
    <cellStyle name="Comma 5 4 2 3 3 4 2" xfId="15328"/>
    <cellStyle name="Comma 5 4 2 3 3 5" xfId="10160"/>
    <cellStyle name="Comma 5 4 2 3 3 5 2" xfId="18987"/>
    <cellStyle name="Comma 5 4 2 3 3 6" xfId="11606"/>
    <cellStyle name="Comma 5 4 2 3 3 7" xfId="5431"/>
    <cellStyle name="Comma 5 4 2 3 4" xfId="1557"/>
    <cellStyle name="Comma 5 4 2 3 4 2" xfId="3156"/>
    <cellStyle name="Comma 5 4 2 3 4 2 2" xfId="18069"/>
    <cellStyle name="Comma 5 4 2 3 4 2 3" xfId="14490"/>
    <cellStyle name="Comma 5 4 2 3 4 2 4" xfId="9233"/>
    <cellStyle name="Comma 5 4 2 3 4 3" xfId="10687"/>
    <cellStyle name="Comma 5 4 2 3 4 3 2" xfId="19514"/>
    <cellStyle name="Comma 5 4 2 3 4 4" xfId="12133"/>
    <cellStyle name="Comma 5 4 2 3 4 5" xfId="7128"/>
    <cellStyle name="Comma 5 4 2 3 5" xfId="2113"/>
    <cellStyle name="Comma 5 4 2 3 5 2" xfId="17026"/>
    <cellStyle name="Comma 5 4 2 3 5 3" xfId="13447"/>
    <cellStyle name="Comma 5 4 2 3 5 4" xfId="8190"/>
    <cellStyle name="Comma 5 4 2 3 6" xfId="5751"/>
    <cellStyle name="Comma 5 4 2 3 6 2" xfId="14837"/>
    <cellStyle name="Comma 5 4 2 3 7" xfId="9644"/>
    <cellStyle name="Comma 5 4 2 3 7 2" xfId="18471"/>
    <cellStyle name="Comma 5 4 2 3 8" xfId="11088"/>
    <cellStyle name="Comma 5 4 2 3 9" xfId="4722"/>
    <cellStyle name="Comma 5 4 2 4" xfId="549"/>
    <cellStyle name="Comma 5 4 2 4 2" xfId="2279"/>
    <cellStyle name="Comma 5 4 2 4 2 2" xfId="16042"/>
    <cellStyle name="Comma 5 4 2 4 2 3" xfId="12292"/>
    <cellStyle name="Comma 5 4 2 4 2 4" xfId="7028"/>
    <cellStyle name="Comma 5 4 2 4 3" xfId="3547"/>
    <cellStyle name="Comma 5 4 2 4 3 2" xfId="17192"/>
    <cellStyle name="Comma 5 4 2 4 3 3" xfId="13613"/>
    <cellStyle name="Comma 5 4 2 4 3 4" xfId="8356"/>
    <cellStyle name="Comma 5 4 2 4 4" xfId="6144"/>
    <cellStyle name="Comma 5 4 2 4 4 2" xfId="15228"/>
    <cellStyle name="Comma 5 4 2 4 5" xfId="9810"/>
    <cellStyle name="Comma 5 4 2 4 5 2" xfId="18637"/>
    <cellStyle name="Comma 5 4 2 4 6" xfId="11254"/>
    <cellStyle name="Comma 5 4 2 4 7" xfId="4622"/>
    <cellStyle name="Comma 5 4 2 5" xfId="907"/>
    <cellStyle name="Comma 5 4 2 5 2" xfId="2627"/>
    <cellStyle name="Comma 5 4 2 5 2 2" xfId="16168"/>
    <cellStyle name="Comma 5 4 2 5 2 3" xfId="12590"/>
    <cellStyle name="Comma 5 4 2 5 2 4" xfId="7299"/>
    <cellStyle name="Comma 5 4 2 5 3" xfId="3895"/>
    <cellStyle name="Comma 5 4 2 5 3 2" xfId="17540"/>
    <cellStyle name="Comma 5 4 2 5 3 3" xfId="13961"/>
    <cellStyle name="Comma 5 4 2 5 3 4" xfId="8704"/>
    <cellStyle name="Comma 5 4 2 5 4" xfId="6415"/>
    <cellStyle name="Comma 5 4 2 5 4 2" xfId="15499"/>
    <cellStyle name="Comma 5 4 2 5 5" xfId="10158"/>
    <cellStyle name="Comma 5 4 2 5 5 2" xfId="18985"/>
    <cellStyle name="Comma 5 4 2 5 6" xfId="11604"/>
    <cellStyle name="Comma 5 4 2 5 7" xfId="4893"/>
    <cellStyle name="Comma 5 4 2 6" xfId="1455"/>
    <cellStyle name="Comma 5 4 2 6 2" xfId="3056"/>
    <cellStyle name="Comma 5 4 2 6 2 2" xfId="16605"/>
    <cellStyle name="Comma 5 4 2 6 2 3" xfId="13026"/>
    <cellStyle name="Comma 5 4 2 6 2 4" xfId="7737"/>
    <cellStyle name="Comma 5 4 2 6 3" xfId="4264"/>
    <cellStyle name="Comma 5 4 2 6 3 2" xfId="17969"/>
    <cellStyle name="Comma 5 4 2 6 3 3" xfId="14390"/>
    <cellStyle name="Comma 5 4 2 6 3 4" xfId="9133"/>
    <cellStyle name="Comma 5 4 2 6 4" xfId="5925"/>
    <cellStyle name="Comma 5 4 2 6 4 2" xfId="15011"/>
    <cellStyle name="Comma 5 4 2 6 5" xfId="10587"/>
    <cellStyle name="Comma 5 4 2 6 5 2" xfId="19414"/>
    <cellStyle name="Comma 5 4 2 6 6" xfId="12033"/>
    <cellStyle name="Comma 5 4 2 6 7" xfId="5331"/>
    <cellStyle name="Comma 5 4 2 7" xfId="2013"/>
    <cellStyle name="Comma 5 4 2 7 2" xfId="15854"/>
    <cellStyle name="Comma 5 4 2 7 3" xfId="12451"/>
    <cellStyle name="Comma 5 4 2 7 4" xfId="6811"/>
    <cellStyle name="Comma 5 4 2 8" xfId="3426"/>
    <cellStyle name="Comma 5 4 2 8 2" xfId="16926"/>
    <cellStyle name="Comma 5 4 2 8 3" xfId="13347"/>
    <cellStyle name="Comma 5 4 2 8 4" xfId="8090"/>
    <cellStyle name="Comma 5 4 2 9" xfId="5651"/>
    <cellStyle name="Comma 5 4 2 9 2" xfId="14737"/>
    <cellStyle name="Comma 5 4 3" xfId="280"/>
    <cellStyle name="Comma 5 4 3 10" xfId="11031"/>
    <cellStyle name="Comma 5 4 3 11" xfId="4448"/>
    <cellStyle name="Comma 5 4 3 2" xfId="388"/>
    <cellStyle name="Comma 5 4 3 2 2" xfId="553"/>
    <cellStyle name="Comma 5 4 3 2 2 2" xfId="2283"/>
    <cellStyle name="Comma 5 4 3 2 2 2 2" xfId="16172"/>
    <cellStyle name="Comma 5 4 3 2 2 2 3" xfId="12594"/>
    <cellStyle name="Comma 5 4 3 2 2 2 4" xfId="7303"/>
    <cellStyle name="Comma 5 4 3 2 2 3" xfId="3551"/>
    <cellStyle name="Comma 5 4 3 2 2 3 2" xfId="17196"/>
    <cellStyle name="Comma 5 4 3 2 2 3 3" xfId="13617"/>
    <cellStyle name="Comma 5 4 3 2 2 3 4" xfId="8360"/>
    <cellStyle name="Comma 5 4 3 2 2 4" xfId="6419"/>
    <cellStyle name="Comma 5 4 3 2 2 4 2" xfId="15503"/>
    <cellStyle name="Comma 5 4 3 2 2 5" xfId="9814"/>
    <cellStyle name="Comma 5 4 3 2 2 5 2" xfId="18641"/>
    <cellStyle name="Comma 5 4 3 2 2 6" xfId="11258"/>
    <cellStyle name="Comma 5 4 3 2 2 7" xfId="4897"/>
    <cellStyle name="Comma 5 4 3 2 3" xfId="911"/>
    <cellStyle name="Comma 5 4 3 2 3 2" xfId="2631"/>
    <cellStyle name="Comma 5 4 3 2 3 2 2" xfId="16748"/>
    <cellStyle name="Comma 5 4 3 2 3 2 3" xfId="13169"/>
    <cellStyle name="Comma 5 4 3 2 3 2 4" xfId="7880"/>
    <cellStyle name="Comma 5 4 3 2 3 3" xfId="3899"/>
    <cellStyle name="Comma 5 4 3 2 3 3 2" xfId="17544"/>
    <cellStyle name="Comma 5 4 3 2 3 3 3" xfId="13965"/>
    <cellStyle name="Comma 5 4 3 2 3 3 4" xfId="8708"/>
    <cellStyle name="Comma 5 4 3 2 3 4" xfId="6287"/>
    <cellStyle name="Comma 5 4 3 2 3 4 2" xfId="15371"/>
    <cellStyle name="Comma 5 4 3 2 3 5" xfId="10162"/>
    <cellStyle name="Comma 5 4 3 2 3 5 2" xfId="18989"/>
    <cellStyle name="Comma 5 4 3 2 3 6" xfId="11608"/>
    <cellStyle name="Comma 5 4 3 2 3 7" xfId="5474"/>
    <cellStyle name="Comma 5 4 3 2 4" xfId="1602"/>
    <cellStyle name="Comma 5 4 3 2 4 2" xfId="3199"/>
    <cellStyle name="Comma 5 4 3 2 4 2 2" xfId="18112"/>
    <cellStyle name="Comma 5 4 3 2 4 2 3" xfId="14533"/>
    <cellStyle name="Comma 5 4 3 2 4 2 4" xfId="9276"/>
    <cellStyle name="Comma 5 4 3 2 4 3" xfId="10730"/>
    <cellStyle name="Comma 5 4 3 2 4 3 2" xfId="19557"/>
    <cellStyle name="Comma 5 4 3 2 4 4" xfId="12176"/>
    <cellStyle name="Comma 5 4 3 2 4 5" xfId="7171"/>
    <cellStyle name="Comma 5 4 3 2 5" xfId="2156"/>
    <cellStyle name="Comma 5 4 3 2 5 2" xfId="17069"/>
    <cellStyle name="Comma 5 4 3 2 5 3" xfId="13490"/>
    <cellStyle name="Comma 5 4 3 2 5 4" xfId="8233"/>
    <cellStyle name="Comma 5 4 3 2 6" xfId="5794"/>
    <cellStyle name="Comma 5 4 3 2 6 2" xfId="14880"/>
    <cellStyle name="Comma 5 4 3 2 7" xfId="9687"/>
    <cellStyle name="Comma 5 4 3 2 7 2" xfId="18514"/>
    <cellStyle name="Comma 5 4 3 2 8" xfId="11131"/>
    <cellStyle name="Comma 5 4 3 2 9" xfId="4765"/>
    <cellStyle name="Comma 5 4 3 3" xfId="552"/>
    <cellStyle name="Comma 5 4 3 3 2" xfId="2282"/>
    <cellStyle name="Comma 5 4 3 3 2 2" xfId="16085"/>
    <cellStyle name="Comma 5 4 3 3 2 3" xfId="12290"/>
    <cellStyle name="Comma 5 4 3 3 2 4" xfId="7071"/>
    <cellStyle name="Comma 5 4 3 3 3" xfId="3550"/>
    <cellStyle name="Comma 5 4 3 3 3 2" xfId="17195"/>
    <cellStyle name="Comma 5 4 3 3 3 3" xfId="13616"/>
    <cellStyle name="Comma 5 4 3 3 3 4" xfId="8359"/>
    <cellStyle name="Comma 5 4 3 3 4" xfId="6187"/>
    <cellStyle name="Comma 5 4 3 3 4 2" xfId="15271"/>
    <cellStyle name="Comma 5 4 3 3 5" xfId="9813"/>
    <cellStyle name="Comma 5 4 3 3 5 2" xfId="18640"/>
    <cellStyle name="Comma 5 4 3 3 6" xfId="11257"/>
    <cellStyle name="Comma 5 4 3 3 7" xfId="4665"/>
    <cellStyle name="Comma 5 4 3 4" xfId="910"/>
    <cellStyle name="Comma 5 4 3 4 2" xfId="2630"/>
    <cellStyle name="Comma 5 4 3 4 2 2" xfId="16171"/>
    <cellStyle name="Comma 5 4 3 4 2 3" xfId="12593"/>
    <cellStyle name="Comma 5 4 3 4 2 4" xfId="7302"/>
    <cellStyle name="Comma 5 4 3 4 3" xfId="3898"/>
    <cellStyle name="Comma 5 4 3 4 3 2" xfId="17543"/>
    <cellStyle name="Comma 5 4 3 4 3 3" xfId="13964"/>
    <cellStyle name="Comma 5 4 3 4 3 4" xfId="8707"/>
    <cellStyle name="Comma 5 4 3 4 4" xfId="6418"/>
    <cellStyle name="Comma 5 4 3 4 4 2" xfId="15502"/>
    <cellStyle name="Comma 5 4 3 4 5" xfId="10161"/>
    <cellStyle name="Comma 5 4 3 4 5 2" xfId="18988"/>
    <cellStyle name="Comma 5 4 3 4 6" xfId="11607"/>
    <cellStyle name="Comma 5 4 3 4 7" xfId="4896"/>
    <cellStyle name="Comma 5 4 3 5" xfId="1500"/>
    <cellStyle name="Comma 5 4 3 5 2" xfId="3099"/>
    <cellStyle name="Comma 5 4 3 5 2 2" xfId="16648"/>
    <cellStyle name="Comma 5 4 3 5 2 3" xfId="13069"/>
    <cellStyle name="Comma 5 4 3 5 2 4" xfId="7780"/>
    <cellStyle name="Comma 5 4 3 5 3" xfId="4307"/>
    <cellStyle name="Comma 5 4 3 5 3 2" xfId="18012"/>
    <cellStyle name="Comma 5 4 3 5 3 3" xfId="14433"/>
    <cellStyle name="Comma 5 4 3 5 3 4" xfId="9176"/>
    <cellStyle name="Comma 5 4 3 5 4" xfId="5968"/>
    <cellStyle name="Comma 5 4 3 5 4 2" xfId="15054"/>
    <cellStyle name="Comma 5 4 3 5 5" xfId="10630"/>
    <cellStyle name="Comma 5 4 3 5 5 2" xfId="19457"/>
    <cellStyle name="Comma 5 4 3 5 6" xfId="12076"/>
    <cellStyle name="Comma 5 4 3 5 7" xfId="5374"/>
    <cellStyle name="Comma 5 4 3 6" xfId="2056"/>
    <cellStyle name="Comma 5 4 3 6 2" xfId="15897"/>
    <cellStyle name="Comma 5 4 3 6 3" xfId="11516"/>
    <cellStyle name="Comma 5 4 3 6 4" xfId="6854"/>
    <cellStyle name="Comma 5 4 3 7" xfId="3469"/>
    <cellStyle name="Comma 5 4 3 7 2" xfId="16969"/>
    <cellStyle name="Comma 5 4 3 7 3" xfId="13390"/>
    <cellStyle name="Comma 5 4 3 7 4" xfId="8133"/>
    <cellStyle name="Comma 5 4 3 8" xfId="5694"/>
    <cellStyle name="Comma 5 4 3 8 2" xfId="14780"/>
    <cellStyle name="Comma 5 4 3 9" xfId="9587"/>
    <cellStyle name="Comma 5 4 3 9 2" xfId="18414"/>
    <cellStyle name="Comma 5 4 4" xfId="202"/>
    <cellStyle name="Comma 5 4 4 10" xfId="10956"/>
    <cellStyle name="Comma 5 4 4 11" xfId="4478"/>
    <cellStyle name="Comma 5 4 4 2" xfId="419"/>
    <cellStyle name="Comma 5 4 4 2 2" xfId="555"/>
    <cellStyle name="Comma 5 4 4 2 2 2" xfId="2285"/>
    <cellStyle name="Comma 5 4 4 2 2 2 2" xfId="16174"/>
    <cellStyle name="Comma 5 4 4 2 2 2 3" xfId="12596"/>
    <cellStyle name="Comma 5 4 4 2 2 2 4" xfId="7305"/>
    <cellStyle name="Comma 5 4 4 2 2 3" xfId="3553"/>
    <cellStyle name="Comma 5 4 4 2 2 3 2" xfId="17198"/>
    <cellStyle name="Comma 5 4 4 2 2 3 3" xfId="13619"/>
    <cellStyle name="Comma 5 4 4 2 2 3 4" xfId="8362"/>
    <cellStyle name="Comma 5 4 4 2 2 4" xfId="6421"/>
    <cellStyle name="Comma 5 4 4 2 2 4 2" xfId="15505"/>
    <cellStyle name="Comma 5 4 4 2 2 5" xfId="9816"/>
    <cellStyle name="Comma 5 4 4 2 2 5 2" xfId="18643"/>
    <cellStyle name="Comma 5 4 4 2 2 6" xfId="11260"/>
    <cellStyle name="Comma 5 4 4 2 2 7" xfId="4899"/>
    <cellStyle name="Comma 5 4 4 2 3" xfId="913"/>
    <cellStyle name="Comma 5 4 4 2 3 2" xfId="2633"/>
    <cellStyle name="Comma 5 4 4 2 3 2 2" xfId="16778"/>
    <cellStyle name="Comma 5 4 4 2 3 2 3" xfId="13199"/>
    <cellStyle name="Comma 5 4 4 2 3 2 4" xfId="7910"/>
    <cellStyle name="Comma 5 4 4 2 3 3" xfId="3901"/>
    <cellStyle name="Comma 5 4 4 2 3 3 2" xfId="17546"/>
    <cellStyle name="Comma 5 4 4 2 3 3 3" xfId="13967"/>
    <cellStyle name="Comma 5 4 4 2 3 3 4" xfId="8710"/>
    <cellStyle name="Comma 5 4 4 2 3 4" xfId="6317"/>
    <cellStyle name="Comma 5 4 4 2 3 4 2" xfId="15401"/>
    <cellStyle name="Comma 5 4 4 2 3 5" xfId="10164"/>
    <cellStyle name="Comma 5 4 4 2 3 5 2" xfId="18991"/>
    <cellStyle name="Comma 5 4 4 2 3 6" xfId="11610"/>
    <cellStyle name="Comma 5 4 4 2 3 7" xfId="5504"/>
    <cellStyle name="Comma 5 4 4 2 4" xfId="1633"/>
    <cellStyle name="Comma 5 4 4 2 4 2" xfId="3229"/>
    <cellStyle name="Comma 5 4 4 2 4 2 2" xfId="18142"/>
    <cellStyle name="Comma 5 4 4 2 4 2 3" xfId="14563"/>
    <cellStyle name="Comma 5 4 4 2 4 2 4" xfId="9306"/>
    <cellStyle name="Comma 5 4 4 2 4 3" xfId="10760"/>
    <cellStyle name="Comma 5 4 4 2 4 3 2" xfId="19587"/>
    <cellStyle name="Comma 5 4 4 2 4 4" xfId="12206"/>
    <cellStyle name="Comma 5 4 4 2 4 5" xfId="7201"/>
    <cellStyle name="Comma 5 4 4 2 5" xfId="2186"/>
    <cellStyle name="Comma 5 4 4 2 5 2" xfId="17099"/>
    <cellStyle name="Comma 5 4 4 2 5 3" xfId="13520"/>
    <cellStyle name="Comma 5 4 4 2 5 4" xfId="8263"/>
    <cellStyle name="Comma 5 4 4 2 6" xfId="5824"/>
    <cellStyle name="Comma 5 4 4 2 6 2" xfId="14910"/>
    <cellStyle name="Comma 5 4 4 2 7" xfId="9717"/>
    <cellStyle name="Comma 5 4 4 2 7 2" xfId="18544"/>
    <cellStyle name="Comma 5 4 4 2 8" xfId="11161"/>
    <cellStyle name="Comma 5 4 4 2 9" xfId="4795"/>
    <cellStyle name="Comma 5 4 4 3" xfId="554"/>
    <cellStyle name="Comma 5 4 4 3 2" xfId="2284"/>
    <cellStyle name="Comma 5 4 4 3 2 2" xfId="16010"/>
    <cellStyle name="Comma 5 4 4 3 2 3" xfId="12391"/>
    <cellStyle name="Comma 5 4 4 3 2 4" xfId="6996"/>
    <cellStyle name="Comma 5 4 4 3 3" xfId="3552"/>
    <cellStyle name="Comma 5 4 4 3 3 2" xfId="17197"/>
    <cellStyle name="Comma 5 4 4 3 3 3" xfId="13618"/>
    <cellStyle name="Comma 5 4 4 3 3 4" xfId="8361"/>
    <cellStyle name="Comma 5 4 4 3 4" xfId="6112"/>
    <cellStyle name="Comma 5 4 4 3 4 2" xfId="15196"/>
    <cellStyle name="Comma 5 4 4 3 5" xfId="9815"/>
    <cellStyle name="Comma 5 4 4 3 5 2" xfId="18642"/>
    <cellStyle name="Comma 5 4 4 3 6" xfId="11259"/>
    <cellStyle name="Comma 5 4 4 3 7" xfId="4590"/>
    <cellStyle name="Comma 5 4 4 4" xfId="912"/>
    <cellStyle name="Comma 5 4 4 4 2" xfId="2632"/>
    <cellStyle name="Comma 5 4 4 4 2 2" xfId="16173"/>
    <cellStyle name="Comma 5 4 4 4 2 3" xfId="12595"/>
    <cellStyle name="Comma 5 4 4 4 2 4" xfId="7304"/>
    <cellStyle name="Comma 5 4 4 4 3" xfId="3900"/>
    <cellStyle name="Comma 5 4 4 4 3 2" xfId="17545"/>
    <cellStyle name="Comma 5 4 4 4 3 3" xfId="13966"/>
    <cellStyle name="Comma 5 4 4 4 3 4" xfId="8709"/>
    <cellStyle name="Comma 5 4 4 4 4" xfId="6420"/>
    <cellStyle name="Comma 5 4 4 4 4 2" xfId="15504"/>
    <cellStyle name="Comma 5 4 4 4 5" xfId="10163"/>
    <cellStyle name="Comma 5 4 4 4 5 2" xfId="18990"/>
    <cellStyle name="Comma 5 4 4 4 6" xfId="11609"/>
    <cellStyle name="Comma 5 4 4 4 7" xfId="4898"/>
    <cellStyle name="Comma 5 4 4 5" xfId="1419"/>
    <cellStyle name="Comma 5 4 4 5 2" xfId="3024"/>
    <cellStyle name="Comma 5 4 4 5 2 2" xfId="16573"/>
    <cellStyle name="Comma 5 4 4 5 2 3" xfId="12994"/>
    <cellStyle name="Comma 5 4 4 5 2 4" xfId="7705"/>
    <cellStyle name="Comma 5 4 4 5 3" xfId="4232"/>
    <cellStyle name="Comma 5 4 4 5 3 2" xfId="17937"/>
    <cellStyle name="Comma 5 4 4 5 3 3" xfId="14358"/>
    <cellStyle name="Comma 5 4 4 5 3 4" xfId="9101"/>
    <cellStyle name="Comma 5 4 4 5 4" xfId="5998"/>
    <cellStyle name="Comma 5 4 4 5 4 2" xfId="15084"/>
    <cellStyle name="Comma 5 4 4 5 5" xfId="10555"/>
    <cellStyle name="Comma 5 4 4 5 5 2" xfId="19382"/>
    <cellStyle name="Comma 5 4 4 5 6" xfId="12001"/>
    <cellStyle name="Comma 5 4 4 5 7" xfId="5299"/>
    <cellStyle name="Comma 5 4 4 6" xfId="1981"/>
    <cellStyle name="Comma 5 4 4 6 2" xfId="15927"/>
    <cellStyle name="Comma 5 4 4 6 3" xfId="12416"/>
    <cellStyle name="Comma 5 4 4 6 4" xfId="6884"/>
    <cellStyle name="Comma 5 4 4 7" xfId="3395"/>
    <cellStyle name="Comma 5 4 4 7 2" xfId="16894"/>
    <cellStyle name="Comma 5 4 4 7 3" xfId="13315"/>
    <cellStyle name="Comma 5 4 4 7 4" xfId="8058"/>
    <cellStyle name="Comma 5 4 4 8" xfId="5619"/>
    <cellStyle name="Comma 5 4 4 8 2" xfId="14705"/>
    <cellStyle name="Comma 5 4 4 9" xfId="9512"/>
    <cellStyle name="Comma 5 4 4 9 2" xfId="18339"/>
    <cellStyle name="Comma 5 4 5" xfId="313"/>
    <cellStyle name="Comma 5 4 5 2" xfId="556"/>
    <cellStyle name="Comma 5 4 5 2 2" xfId="2286"/>
    <cellStyle name="Comma 5 4 5 2 2 2" xfId="16175"/>
    <cellStyle name="Comma 5 4 5 2 2 3" xfId="12597"/>
    <cellStyle name="Comma 5 4 5 2 2 4" xfId="7306"/>
    <cellStyle name="Comma 5 4 5 2 3" xfId="3554"/>
    <cellStyle name="Comma 5 4 5 2 3 2" xfId="17199"/>
    <cellStyle name="Comma 5 4 5 2 3 3" xfId="13620"/>
    <cellStyle name="Comma 5 4 5 2 3 4" xfId="8363"/>
    <cellStyle name="Comma 5 4 5 2 4" xfId="6422"/>
    <cellStyle name="Comma 5 4 5 2 4 2" xfId="15506"/>
    <cellStyle name="Comma 5 4 5 2 5" xfId="9817"/>
    <cellStyle name="Comma 5 4 5 2 5 2" xfId="18644"/>
    <cellStyle name="Comma 5 4 5 2 6" xfId="11261"/>
    <cellStyle name="Comma 5 4 5 2 7" xfId="4900"/>
    <cellStyle name="Comma 5 4 5 3" xfId="914"/>
    <cellStyle name="Comma 5 4 5 3 2" xfId="2634"/>
    <cellStyle name="Comma 5 4 5 3 2 2" xfId="16673"/>
    <cellStyle name="Comma 5 4 5 3 2 3" xfId="13094"/>
    <cellStyle name="Comma 5 4 5 3 2 4" xfId="7805"/>
    <cellStyle name="Comma 5 4 5 3 3" xfId="3902"/>
    <cellStyle name="Comma 5 4 5 3 3 2" xfId="17547"/>
    <cellStyle name="Comma 5 4 5 3 3 3" xfId="13968"/>
    <cellStyle name="Comma 5 4 5 3 3 4" xfId="8711"/>
    <cellStyle name="Comma 5 4 5 3 4" xfId="6212"/>
    <cellStyle name="Comma 5 4 5 3 4 2" xfId="15296"/>
    <cellStyle name="Comma 5 4 5 3 5" xfId="10165"/>
    <cellStyle name="Comma 5 4 5 3 5 2" xfId="18992"/>
    <cellStyle name="Comma 5 4 5 3 6" xfId="11611"/>
    <cellStyle name="Comma 5 4 5 3 7" xfId="5399"/>
    <cellStyle name="Comma 5 4 5 4" xfId="1525"/>
    <cellStyle name="Comma 5 4 5 4 2" xfId="3124"/>
    <cellStyle name="Comma 5 4 5 4 2 2" xfId="18037"/>
    <cellStyle name="Comma 5 4 5 4 2 3" xfId="14458"/>
    <cellStyle name="Comma 5 4 5 4 2 4" xfId="9201"/>
    <cellStyle name="Comma 5 4 5 4 3" xfId="10655"/>
    <cellStyle name="Comma 5 4 5 4 3 2" xfId="19482"/>
    <cellStyle name="Comma 5 4 5 4 4" xfId="12101"/>
    <cellStyle name="Comma 5 4 5 4 5" xfId="7096"/>
    <cellStyle name="Comma 5 4 5 5" xfId="2081"/>
    <cellStyle name="Comma 5 4 5 5 2" xfId="16994"/>
    <cellStyle name="Comma 5 4 5 5 3" xfId="13415"/>
    <cellStyle name="Comma 5 4 5 5 4" xfId="8158"/>
    <cellStyle name="Comma 5 4 5 6" xfId="5719"/>
    <cellStyle name="Comma 5 4 5 6 2" xfId="14805"/>
    <cellStyle name="Comma 5 4 5 7" xfId="9612"/>
    <cellStyle name="Comma 5 4 5 7 2" xfId="18439"/>
    <cellStyle name="Comma 5 4 5 8" xfId="11056"/>
    <cellStyle name="Comma 5 4 5 9" xfId="4690"/>
    <cellStyle name="Comma 5 4 6" xfId="494"/>
    <cellStyle name="Comma 5 4 6 2" xfId="557"/>
    <cellStyle name="Comma 5 4 6 2 2" xfId="2287"/>
    <cellStyle name="Comma 5 4 6 2 2 2" xfId="16176"/>
    <cellStyle name="Comma 5 4 6 2 2 3" xfId="12598"/>
    <cellStyle name="Comma 5 4 6 2 2 4" xfId="7307"/>
    <cellStyle name="Comma 5 4 6 2 3" xfId="3555"/>
    <cellStyle name="Comma 5 4 6 2 3 2" xfId="17200"/>
    <cellStyle name="Comma 5 4 6 2 3 3" xfId="13621"/>
    <cellStyle name="Comma 5 4 6 2 3 4" xfId="8364"/>
    <cellStyle name="Comma 5 4 6 2 4" xfId="6423"/>
    <cellStyle name="Comma 5 4 6 2 4 2" xfId="15507"/>
    <cellStyle name="Comma 5 4 6 2 5" xfId="9818"/>
    <cellStyle name="Comma 5 4 6 2 5 2" xfId="18645"/>
    <cellStyle name="Comma 5 4 6 2 6" xfId="11262"/>
    <cellStyle name="Comma 5 4 6 2 7" xfId="4901"/>
    <cellStyle name="Comma 5 4 6 3" xfId="915"/>
    <cellStyle name="Comma 5 4 6 3 2" xfId="2635"/>
    <cellStyle name="Comma 5 4 6 3 2 2" xfId="16548"/>
    <cellStyle name="Comma 5 4 6 3 2 3" xfId="12969"/>
    <cellStyle name="Comma 5 4 6 3 2 4" xfId="7680"/>
    <cellStyle name="Comma 5 4 6 3 3" xfId="3903"/>
    <cellStyle name="Comma 5 4 6 3 3 2" xfId="17548"/>
    <cellStyle name="Comma 5 4 6 3 3 3" xfId="13969"/>
    <cellStyle name="Comma 5 4 6 3 3 4" xfId="8712"/>
    <cellStyle name="Comma 5 4 6 3 4" xfId="6727"/>
    <cellStyle name="Comma 5 4 6 3 4 2" xfId="15810"/>
    <cellStyle name="Comma 5 4 6 3 5" xfId="10166"/>
    <cellStyle name="Comma 5 4 6 3 5 2" xfId="18993"/>
    <cellStyle name="Comma 5 4 6 3 6" xfId="11612"/>
    <cellStyle name="Comma 5 4 6 3 7" xfId="5274"/>
    <cellStyle name="Comma 5 4 6 4" xfId="1390"/>
    <cellStyle name="Comma 5 4 6 4 2" xfId="2999"/>
    <cellStyle name="Comma 5 4 6 4 2 2" xfId="17912"/>
    <cellStyle name="Comma 5 4 6 4 2 3" xfId="14333"/>
    <cellStyle name="Comma 5 4 6 4 2 4" xfId="9076"/>
    <cellStyle name="Comma 5 4 6 4 3" xfId="10530"/>
    <cellStyle name="Comma 5 4 6 4 3 2" xfId="19357"/>
    <cellStyle name="Comma 5 4 6 4 4" xfId="11976"/>
    <cellStyle name="Comma 5 4 6 4 5" xfId="6971"/>
    <cellStyle name="Comma 5 4 6 5" xfId="1956"/>
    <cellStyle name="Comma 5 4 6 5 2" xfId="16867"/>
    <cellStyle name="Comma 5 4 6 5 3" xfId="13288"/>
    <cellStyle name="Comma 5 4 6 5 4" xfId="8031"/>
    <cellStyle name="Comma 5 4 6 6" xfId="6087"/>
    <cellStyle name="Comma 5 4 6 6 2" xfId="15171"/>
    <cellStyle name="Comma 5 4 6 7" xfId="9487"/>
    <cellStyle name="Comma 5 4 6 7 2" xfId="18314"/>
    <cellStyle name="Comma 5 4 6 8" xfId="10931"/>
    <cellStyle name="Comma 5 4 6 9" xfId="4565"/>
    <cellStyle name="Comma 5 4 7" xfId="548"/>
    <cellStyle name="Comma 5 4 7 2" xfId="2278"/>
    <cellStyle name="Comma 5 4 7 2 2" xfId="16167"/>
    <cellStyle name="Comma 5 4 7 2 3" xfId="12589"/>
    <cellStyle name="Comma 5 4 7 2 4" xfId="7298"/>
    <cellStyle name="Comma 5 4 7 3" xfId="3546"/>
    <cellStyle name="Comma 5 4 7 3 2" xfId="17191"/>
    <cellStyle name="Comma 5 4 7 3 3" xfId="13612"/>
    <cellStyle name="Comma 5 4 7 3 4" xfId="8355"/>
    <cellStyle name="Comma 5 4 7 4" xfId="6414"/>
    <cellStyle name="Comma 5 4 7 4 2" xfId="15498"/>
    <cellStyle name="Comma 5 4 7 5" xfId="9809"/>
    <cellStyle name="Comma 5 4 7 5 2" xfId="18636"/>
    <cellStyle name="Comma 5 4 7 6" xfId="11253"/>
    <cellStyle name="Comma 5 4 7 7" xfId="4892"/>
    <cellStyle name="Comma 5 4 8" xfId="906"/>
    <cellStyle name="Comma 5 4 8 2" xfId="2626"/>
    <cellStyle name="Comma 5 4 8 2 2" xfId="16503"/>
    <cellStyle name="Comma 5 4 8 2 3" xfId="12925"/>
    <cellStyle name="Comma 5 4 8 2 4" xfId="7635"/>
    <cellStyle name="Comma 5 4 8 3" xfId="3894"/>
    <cellStyle name="Comma 5 4 8 3 2" xfId="17539"/>
    <cellStyle name="Comma 5 4 8 3 3" xfId="13960"/>
    <cellStyle name="Comma 5 4 8 3 4" xfId="8703"/>
    <cellStyle name="Comma 5 4 8 4" xfId="5892"/>
    <cellStyle name="Comma 5 4 8 4 2" xfId="14978"/>
    <cellStyle name="Comma 5 4 8 5" xfId="10157"/>
    <cellStyle name="Comma 5 4 8 5 2" xfId="18984"/>
    <cellStyle name="Comma 5 4 8 6" xfId="11603"/>
    <cellStyle name="Comma 5 4 8 7" xfId="5229"/>
    <cellStyle name="Comma 5 4 9" xfId="1341"/>
    <cellStyle name="Comma 5 4 9 2" xfId="2954"/>
    <cellStyle name="Comma 5 4 9 2 2" xfId="17867"/>
    <cellStyle name="Comma 5 4 9 2 3" xfId="14288"/>
    <cellStyle name="Comma 5 4 9 2 4" xfId="9031"/>
    <cellStyle name="Comma 5 4 9 3" xfId="10485"/>
    <cellStyle name="Comma 5 4 9 3 2" xfId="19312"/>
    <cellStyle name="Comma 5 4 9 4" xfId="11931"/>
    <cellStyle name="Comma 5 4 9 5" xfId="6779"/>
    <cellStyle name="Comma 5 5" xfId="148"/>
    <cellStyle name="Comma 5 5 10" xfId="5572"/>
    <cellStyle name="Comma 5 5 10 2" xfId="14658"/>
    <cellStyle name="Comma 5 5 11" xfId="9392"/>
    <cellStyle name="Comma 5 5 11 2" xfId="18219"/>
    <cellStyle name="Comma 5 5 12" xfId="10832"/>
    <cellStyle name="Comma 5 5 13" xfId="4385"/>
    <cellStyle name="Comma 5 5 2" xfId="260"/>
    <cellStyle name="Comma 5 5 2 10" xfId="11011"/>
    <cellStyle name="Comma 5 5 2 11" xfId="4428"/>
    <cellStyle name="Comma 5 5 2 2" xfId="368"/>
    <cellStyle name="Comma 5 5 2 2 2" xfId="560"/>
    <cellStyle name="Comma 5 5 2 2 2 2" xfId="2290"/>
    <cellStyle name="Comma 5 5 2 2 2 2 2" xfId="16179"/>
    <cellStyle name="Comma 5 5 2 2 2 2 3" xfId="12601"/>
    <cellStyle name="Comma 5 5 2 2 2 2 4" xfId="7310"/>
    <cellStyle name="Comma 5 5 2 2 2 3" xfId="3558"/>
    <cellStyle name="Comma 5 5 2 2 2 3 2" xfId="17203"/>
    <cellStyle name="Comma 5 5 2 2 2 3 3" xfId="13624"/>
    <cellStyle name="Comma 5 5 2 2 2 3 4" xfId="8367"/>
    <cellStyle name="Comma 5 5 2 2 2 4" xfId="6426"/>
    <cellStyle name="Comma 5 5 2 2 2 4 2" xfId="15510"/>
    <cellStyle name="Comma 5 5 2 2 2 5" xfId="9821"/>
    <cellStyle name="Comma 5 5 2 2 2 5 2" xfId="18648"/>
    <cellStyle name="Comma 5 5 2 2 2 6" xfId="11265"/>
    <cellStyle name="Comma 5 5 2 2 2 7" xfId="4904"/>
    <cellStyle name="Comma 5 5 2 2 3" xfId="918"/>
    <cellStyle name="Comma 5 5 2 2 3 2" xfId="2638"/>
    <cellStyle name="Comma 5 5 2 2 3 2 2" xfId="16728"/>
    <cellStyle name="Comma 5 5 2 2 3 2 3" xfId="13149"/>
    <cellStyle name="Comma 5 5 2 2 3 2 4" xfId="7860"/>
    <cellStyle name="Comma 5 5 2 2 3 3" xfId="3906"/>
    <cellStyle name="Comma 5 5 2 2 3 3 2" xfId="17551"/>
    <cellStyle name="Comma 5 5 2 2 3 3 3" xfId="13972"/>
    <cellStyle name="Comma 5 5 2 2 3 3 4" xfId="8715"/>
    <cellStyle name="Comma 5 5 2 2 3 4" xfId="6267"/>
    <cellStyle name="Comma 5 5 2 2 3 4 2" xfId="15351"/>
    <cellStyle name="Comma 5 5 2 2 3 5" xfId="10169"/>
    <cellStyle name="Comma 5 5 2 2 3 5 2" xfId="18996"/>
    <cellStyle name="Comma 5 5 2 2 3 6" xfId="11615"/>
    <cellStyle name="Comma 5 5 2 2 3 7" xfId="5454"/>
    <cellStyle name="Comma 5 5 2 2 4" xfId="1581"/>
    <cellStyle name="Comma 5 5 2 2 4 2" xfId="3179"/>
    <cellStyle name="Comma 5 5 2 2 4 2 2" xfId="18092"/>
    <cellStyle name="Comma 5 5 2 2 4 2 3" xfId="14513"/>
    <cellStyle name="Comma 5 5 2 2 4 2 4" xfId="9256"/>
    <cellStyle name="Comma 5 5 2 2 4 3" xfId="10710"/>
    <cellStyle name="Comma 5 5 2 2 4 3 2" xfId="19537"/>
    <cellStyle name="Comma 5 5 2 2 4 4" xfId="12156"/>
    <cellStyle name="Comma 5 5 2 2 4 5" xfId="7151"/>
    <cellStyle name="Comma 5 5 2 2 5" xfId="2136"/>
    <cellStyle name="Comma 5 5 2 2 5 2" xfId="17049"/>
    <cellStyle name="Comma 5 5 2 2 5 3" xfId="13470"/>
    <cellStyle name="Comma 5 5 2 2 5 4" xfId="8213"/>
    <cellStyle name="Comma 5 5 2 2 6" xfId="5774"/>
    <cellStyle name="Comma 5 5 2 2 6 2" xfId="14860"/>
    <cellStyle name="Comma 5 5 2 2 7" xfId="9667"/>
    <cellStyle name="Comma 5 5 2 2 7 2" xfId="18494"/>
    <cellStyle name="Comma 5 5 2 2 8" xfId="11111"/>
    <cellStyle name="Comma 5 5 2 2 9" xfId="4745"/>
    <cellStyle name="Comma 5 5 2 3" xfId="559"/>
    <cellStyle name="Comma 5 5 2 3 2" xfId="2289"/>
    <cellStyle name="Comma 5 5 2 3 2 2" xfId="16065"/>
    <cellStyle name="Comma 5 5 2 3 2 3" xfId="12505"/>
    <cellStyle name="Comma 5 5 2 3 2 4" xfId="7051"/>
    <cellStyle name="Comma 5 5 2 3 3" xfId="3557"/>
    <cellStyle name="Comma 5 5 2 3 3 2" xfId="17202"/>
    <cellStyle name="Comma 5 5 2 3 3 3" xfId="13623"/>
    <cellStyle name="Comma 5 5 2 3 3 4" xfId="8366"/>
    <cellStyle name="Comma 5 5 2 3 4" xfId="6167"/>
    <cellStyle name="Comma 5 5 2 3 4 2" xfId="15251"/>
    <cellStyle name="Comma 5 5 2 3 5" xfId="9820"/>
    <cellStyle name="Comma 5 5 2 3 5 2" xfId="18647"/>
    <cellStyle name="Comma 5 5 2 3 6" xfId="11264"/>
    <cellStyle name="Comma 5 5 2 3 7" xfId="4645"/>
    <cellStyle name="Comma 5 5 2 4" xfId="917"/>
    <cellStyle name="Comma 5 5 2 4 2" xfId="2637"/>
    <cellStyle name="Comma 5 5 2 4 2 2" xfId="16178"/>
    <cellStyle name="Comma 5 5 2 4 2 3" xfId="12600"/>
    <cellStyle name="Comma 5 5 2 4 2 4" xfId="7309"/>
    <cellStyle name="Comma 5 5 2 4 3" xfId="3905"/>
    <cellStyle name="Comma 5 5 2 4 3 2" xfId="17550"/>
    <cellStyle name="Comma 5 5 2 4 3 3" xfId="13971"/>
    <cellStyle name="Comma 5 5 2 4 3 4" xfId="8714"/>
    <cellStyle name="Comma 5 5 2 4 4" xfId="6425"/>
    <cellStyle name="Comma 5 5 2 4 4 2" xfId="15509"/>
    <cellStyle name="Comma 5 5 2 4 5" xfId="10168"/>
    <cellStyle name="Comma 5 5 2 4 5 2" xfId="18995"/>
    <cellStyle name="Comma 5 5 2 4 6" xfId="11614"/>
    <cellStyle name="Comma 5 5 2 4 7" xfId="4903"/>
    <cellStyle name="Comma 5 5 2 5" xfId="1479"/>
    <cellStyle name="Comma 5 5 2 5 2" xfId="3079"/>
    <cellStyle name="Comma 5 5 2 5 2 2" xfId="16628"/>
    <cellStyle name="Comma 5 5 2 5 2 3" xfId="13049"/>
    <cellStyle name="Comma 5 5 2 5 2 4" xfId="7760"/>
    <cellStyle name="Comma 5 5 2 5 3" xfId="4287"/>
    <cellStyle name="Comma 5 5 2 5 3 2" xfId="17992"/>
    <cellStyle name="Comma 5 5 2 5 3 3" xfId="14413"/>
    <cellStyle name="Comma 5 5 2 5 3 4" xfId="9156"/>
    <cellStyle name="Comma 5 5 2 5 4" xfId="5948"/>
    <cellStyle name="Comma 5 5 2 5 4 2" xfId="15034"/>
    <cellStyle name="Comma 5 5 2 5 5" xfId="10610"/>
    <cellStyle name="Comma 5 5 2 5 5 2" xfId="19437"/>
    <cellStyle name="Comma 5 5 2 5 6" xfId="12056"/>
    <cellStyle name="Comma 5 5 2 5 7" xfId="5354"/>
    <cellStyle name="Comma 5 5 2 6" xfId="2036"/>
    <cellStyle name="Comma 5 5 2 6 2" xfId="15877"/>
    <cellStyle name="Comma 5 5 2 6 3" xfId="12369"/>
    <cellStyle name="Comma 5 5 2 6 4" xfId="6834"/>
    <cellStyle name="Comma 5 5 2 7" xfId="3449"/>
    <cellStyle name="Comma 5 5 2 7 2" xfId="16949"/>
    <cellStyle name="Comma 5 5 2 7 3" xfId="13370"/>
    <cellStyle name="Comma 5 5 2 7 4" xfId="8113"/>
    <cellStyle name="Comma 5 5 2 8" xfId="5674"/>
    <cellStyle name="Comma 5 5 2 8 2" xfId="14760"/>
    <cellStyle name="Comma 5 5 2 9" xfId="9567"/>
    <cellStyle name="Comma 5 5 2 9 2" xfId="18394"/>
    <cellStyle name="Comma 5 5 3" xfId="217"/>
    <cellStyle name="Comma 5 5 3 10" xfId="10968"/>
    <cellStyle name="Comma 5 5 3 11" xfId="4490"/>
    <cellStyle name="Comma 5 5 3 2" xfId="431"/>
    <cellStyle name="Comma 5 5 3 2 2" xfId="562"/>
    <cellStyle name="Comma 5 5 3 2 2 2" xfId="2292"/>
    <cellStyle name="Comma 5 5 3 2 2 2 2" xfId="16181"/>
    <cellStyle name="Comma 5 5 3 2 2 2 3" xfId="12603"/>
    <cellStyle name="Comma 5 5 3 2 2 2 4" xfId="7312"/>
    <cellStyle name="Comma 5 5 3 2 2 3" xfId="3560"/>
    <cellStyle name="Comma 5 5 3 2 2 3 2" xfId="17205"/>
    <cellStyle name="Comma 5 5 3 2 2 3 3" xfId="13626"/>
    <cellStyle name="Comma 5 5 3 2 2 3 4" xfId="8369"/>
    <cellStyle name="Comma 5 5 3 2 2 4" xfId="6428"/>
    <cellStyle name="Comma 5 5 3 2 2 4 2" xfId="15512"/>
    <cellStyle name="Comma 5 5 3 2 2 5" xfId="9823"/>
    <cellStyle name="Comma 5 5 3 2 2 5 2" xfId="18650"/>
    <cellStyle name="Comma 5 5 3 2 2 6" xfId="11267"/>
    <cellStyle name="Comma 5 5 3 2 2 7" xfId="4906"/>
    <cellStyle name="Comma 5 5 3 2 3" xfId="920"/>
    <cellStyle name="Comma 5 5 3 2 3 2" xfId="2640"/>
    <cellStyle name="Comma 5 5 3 2 3 2 2" xfId="16790"/>
    <cellStyle name="Comma 5 5 3 2 3 2 3" xfId="13211"/>
    <cellStyle name="Comma 5 5 3 2 3 2 4" xfId="7922"/>
    <cellStyle name="Comma 5 5 3 2 3 3" xfId="3908"/>
    <cellStyle name="Comma 5 5 3 2 3 3 2" xfId="17553"/>
    <cellStyle name="Comma 5 5 3 2 3 3 3" xfId="13974"/>
    <cellStyle name="Comma 5 5 3 2 3 3 4" xfId="8717"/>
    <cellStyle name="Comma 5 5 3 2 3 4" xfId="6329"/>
    <cellStyle name="Comma 5 5 3 2 3 4 2" xfId="15413"/>
    <cellStyle name="Comma 5 5 3 2 3 5" xfId="10171"/>
    <cellStyle name="Comma 5 5 3 2 3 5 2" xfId="18998"/>
    <cellStyle name="Comma 5 5 3 2 3 6" xfId="11617"/>
    <cellStyle name="Comma 5 5 3 2 3 7" xfId="5516"/>
    <cellStyle name="Comma 5 5 3 2 4" xfId="1645"/>
    <cellStyle name="Comma 5 5 3 2 4 2" xfId="3241"/>
    <cellStyle name="Comma 5 5 3 2 4 2 2" xfId="18154"/>
    <cellStyle name="Comma 5 5 3 2 4 2 3" xfId="14575"/>
    <cellStyle name="Comma 5 5 3 2 4 2 4" xfId="9318"/>
    <cellStyle name="Comma 5 5 3 2 4 3" xfId="10772"/>
    <cellStyle name="Comma 5 5 3 2 4 3 2" xfId="19599"/>
    <cellStyle name="Comma 5 5 3 2 4 4" xfId="12218"/>
    <cellStyle name="Comma 5 5 3 2 4 5" xfId="7213"/>
    <cellStyle name="Comma 5 5 3 2 5" xfId="2198"/>
    <cellStyle name="Comma 5 5 3 2 5 2" xfId="17111"/>
    <cellStyle name="Comma 5 5 3 2 5 3" xfId="13532"/>
    <cellStyle name="Comma 5 5 3 2 5 4" xfId="8275"/>
    <cellStyle name="Comma 5 5 3 2 6" xfId="5836"/>
    <cellStyle name="Comma 5 5 3 2 6 2" xfId="14922"/>
    <cellStyle name="Comma 5 5 3 2 7" xfId="9729"/>
    <cellStyle name="Comma 5 5 3 2 7 2" xfId="18556"/>
    <cellStyle name="Comma 5 5 3 2 8" xfId="11173"/>
    <cellStyle name="Comma 5 5 3 2 9" xfId="4807"/>
    <cellStyle name="Comma 5 5 3 3" xfId="561"/>
    <cellStyle name="Comma 5 5 3 3 2" xfId="2291"/>
    <cellStyle name="Comma 5 5 3 3 2 2" xfId="16022"/>
    <cellStyle name="Comma 5 5 3 3 2 3" xfId="12335"/>
    <cellStyle name="Comma 5 5 3 3 2 4" xfId="7008"/>
    <cellStyle name="Comma 5 5 3 3 3" xfId="3559"/>
    <cellStyle name="Comma 5 5 3 3 3 2" xfId="17204"/>
    <cellStyle name="Comma 5 5 3 3 3 3" xfId="13625"/>
    <cellStyle name="Comma 5 5 3 3 3 4" xfId="8368"/>
    <cellStyle name="Comma 5 5 3 3 4" xfId="6124"/>
    <cellStyle name="Comma 5 5 3 3 4 2" xfId="15208"/>
    <cellStyle name="Comma 5 5 3 3 5" xfId="9822"/>
    <cellStyle name="Comma 5 5 3 3 5 2" xfId="18649"/>
    <cellStyle name="Comma 5 5 3 3 6" xfId="11266"/>
    <cellStyle name="Comma 5 5 3 3 7" xfId="4602"/>
    <cellStyle name="Comma 5 5 3 4" xfId="919"/>
    <cellStyle name="Comma 5 5 3 4 2" xfId="2639"/>
    <cellStyle name="Comma 5 5 3 4 2 2" xfId="16180"/>
    <cellStyle name="Comma 5 5 3 4 2 3" xfId="12602"/>
    <cellStyle name="Comma 5 5 3 4 2 4" xfId="7311"/>
    <cellStyle name="Comma 5 5 3 4 3" xfId="3907"/>
    <cellStyle name="Comma 5 5 3 4 3 2" xfId="17552"/>
    <cellStyle name="Comma 5 5 3 4 3 3" xfId="13973"/>
    <cellStyle name="Comma 5 5 3 4 3 4" xfId="8716"/>
    <cellStyle name="Comma 5 5 3 4 4" xfId="6427"/>
    <cellStyle name="Comma 5 5 3 4 4 2" xfId="15511"/>
    <cellStyle name="Comma 5 5 3 4 5" xfId="10170"/>
    <cellStyle name="Comma 5 5 3 4 5 2" xfId="18997"/>
    <cellStyle name="Comma 5 5 3 4 6" xfId="11616"/>
    <cellStyle name="Comma 5 5 3 4 7" xfId="4905"/>
    <cellStyle name="Comma 5 5 3 5" xfId="1434"/>
    <cellStyle name="Comma 5 5 3 5 2" xfId="3036"/>
    <cellStyle name="Comma 5 5 3 5 2 2" xfId="16585"/>
    <cellStyle name="Comma 5 5 3 5 2 3" xfId="13006"/>
    <cellStyle name="Comma 5 5 3 5 2 4" xfId="7717"/>
    <cellStyle name="Comma 5 5 3 5 3" xfId="4244"/>
    <cellStyle name="Comma 5 5 3 5 3 2" xfId="17949"/>
    <cellStyle name="Comma 5 5 3 5 3 3" xfId="14370"/>
    <cellStyle name="Comma 5 5 3 5 3 4" xfId="9113"/>
    <cellStyle name="Comma 5 5 3 5 4" xfId="6010"/>
    <cellStyle name="Comma 5 5 3 5 4 2" xfId="15096"/>
    <cellStyle name="Comma 5 5 3 5 5" xfId="10567"/>
    <cellStyle name="Comma 5 5 3 5 5 2" xfId="19394"/>
    <cellStyle name="Comma 5 5 3 5 6" xfId="12013"/>
    <cellStyle name="Comma 5 5 3 5 7" xfId="5311"/>
    <cellStyle name="Comma 5 5 3 6" xfId="1993"/>
    <cellStyle name="Comma 5 5 3 6 2" xfId="15939"/>
    <cellStyle name="Comma 5 5 3 6 3" xfId="12356"/>
    <cellStyle name="Comma 5 5 3 6 4" xfId="6896"/>
    <cellStyle name="Comma 5 5 3 7" xfId="3407"/>
    <cellStyle name="Comma 5 5 3 7 2" xfId="16906"/>
    <cellStyle name="Comma 5 5 3 7 3" xfId="13327"/>
    <cellStyle name="Comma 5 5 3 7 4" xfId="8070"/>
    <cellStyle name="Comma 5 5 3 8" xfId="5631"/>
    <cellStyle name="Comma 5 5 3 8 2" xfId="14717"/>
    <cellStyle name="Comma 5 5 3 9" xfId="9524"/>
    <cellStyle name="Comma 5 5 3 9 2" xfId="18351"/>
    <cellStyle name="Comma 5 5 4" xfId="325"/>
    <cellStyle name="Comma 5 5 4 2" xfId="563"/>
    <cellStyle name="Comma 5 5 4 2 2" xfId="2293"/>
    <cellStyle name="Comma 5 5 4 2 2 2" xfId="16182"/>
    <cellStyle name="Comma 5 5 4 2 2 3" xfId="12604"/>
    <cellStyle name="Comma 5 5 4 2 2 4" xfId="7313"/>
    <cellStyle name="Comma 5 5 4 2 3" xfId="3561"/>
    <cellStyle name="Comma 5 5 4 2 3 2" xfId="17206"/>
    <cellStyle name="Comma 5 5 4 2 3 3" xfId="13627"/>
    <cellStyle name="Comma 5 5 4 2 3 4" xfId="8370"/>
    <cellStyle name="Comma 5 5 4 2 4" xfId="6429"/>
    <cellStyle name="Comma 5 5 4 2 4 2" xfId="15513"/>
    <cellStyle name="Comma 5 5 4 2 5" xfId="9824"/>
    <cellStyle name="Comma 5 5 4 2 5 2" xfId="18651"/>
    <cellStyle name="Comma 5 5 4 2 6" xfId="11268"/>
    <cellStyle name="Comma 5 5 4 2 7" xfId="4907"/>
    <cellStyle name="Comma 5 5 4 3" xfId="921"/>
    <cellStyle name="Comma 5 5 4 3 2" xfId="2641"/>
    <cellStyle name="Comma 5 5 4 3 2 2" xfId="16685"/>
    <cellStyle name="Comma 5 5 4 3 2 3" xfId="13106"/>
    <cellStyle name="Comma 5 5 4 3 2 4" xfId="7817"/>
    <cellStyle name="Comma 5 5 4 3 3" xfId="3909"/>
    <cellStyle name="Comma 5 5 4 3 3 2" xfId="17554"/>
    <cellStyle name="Comma 5 5 4 3 3 3" xfId="13975"/>
    <cellStyle name="Comma 5 5 4 3 3 4" xfId="8718"/>
    <cellStyle name="Comma 5 5 4 3 4" xfId="6224"/>
    <cellStyle name="Comma 5 5 4 3 4 2" xfId="15308"/>
    <cellStyle name="Comma 5 5 4 3 5" xfId="10172"/>
    <cellStyle name="Comma 5 5 4 3 5 2" xfId="18999"/>
    <cellStyle name="Comma 5 5 4 3 6" xfId="11618"/>
    <cellStyle name="Comma 5 5 4 3 7" xfId="5411"/>
    <cellStyle name="Comma 5 5 4 4" xfId="1537"/>
    <cellStyle name="Comma 5 5 4 4 2" xfId="3136"/>
    <cellStyle name="Comma 5 5 4 4 2 2" xfId="18049"/>
    <cellStyle name="Comma 5 5 4 4 2 3" xfId="14470"/>
    <cellStyle name="Comma 5 5 4 4 2 4" xfId="9213"/>
    <cellStyle name="Comma 5 5 4 4 3" xfId="10667"/>
    <cellStyle name="Comma 5 5 4 4 3 2" xfId="19494"/>
    <cellStyle name="Comma 5 5 4 4 4" xfId="12113"/>
    <cellStyle name="Comma 5 5 4 4 5" xfId="7108"/>
    <cellStyle name="Comma 5 5 4 5" xfId="2093"/>
    <cellStyle name="Comma 5 5 4 5 2" xfId="17006"/>
    <cellStyle name="Comma 5 5 4 5 3" xfId="13427"/>
    <cellStyle name="Comma 5 5 4 5 4" xfId="8170"/>
    <cellStyle name="Comma 5 5 4 6" xfId="5731"/>
    <cellStyle name="Comma 5 5 4 6 2" xfId="14817"/>
    <cellStyle name="Comma 5 5 4 7" xfId="9624"/>
    <cellStyle name="Comma 5 5 4 7 2" xfId="18451"/>
    <cellStyle name="Comma 5 5 4 8" xfId="11068"/>
    <cellStyle name="Comma 5 5 4 9" xfId="4702"/>
    <cellStyle name="Comma 5 5 5" xfId="558"/>
    <cellStyle name="Comma 5 5 5 2" xfId="2288"/>
    <cellStyle name="Comma 5 5 5 2 2" xfId="15979"/>
    <cellStyle name="Comma 5 5 5 2 3" xfId="12408"/>
    <cellStyle name="Comma 5 5 5 2 4" xfId="6949"/>
    <cellStyle name="Comma 5 5 5 3" xfId="3556"/>
    <cellStyle name="Comma 5 5 5 3 2" xfId="17201"/>
    <cellStyle name="Comma 5 5 5 3 3" xfId="13622"/>
    <cellStyle name="Comma 5 5 5 3 4" xfId="8365"/>
    <cellStyle name="Comma 5 5 5 4" xfId="6065"/>
    <cellStyle name="Comma 5 5 5 4 2" xfId="15149"/>
    <cellStyle name="Comma 5 5 5 5" xfId="9819"/>
    <cellStyle name="Comma 5 5 5 5 2" xfId="18646"/>
    <cellStyle name="Comma 5 5 5 6" xfId="11263"/>
    <cellStyle name="Comma 5 5 5 7" xfId="4543"/>
    <cellStyle name="Comma 5 5 6" xfId="916"/>
    <cellStyle name="Comma 5 5 6 2" xfId="2636"/>
    <cellStyle name="Comma 5 5 6 2 2" xfId="16177"/>
    <cellStyle name="Comma 5 5 6 2 3" xfId="12599"/>
    <cellStyle name="Comma 5 5 6 2 4" xfId="7308"/>
    <cellStyle name="Comma 5 5 6 3" xfId="3904"/>
    <cellStyle name="Comma 5 5 6 3 2" xfId="17549"/>
    <cellStyle name="Comma 5 5 6 3 3" xfId="13970"/>
    <cellStyle name="Comma 5 5 6 3 4" xfId="8713"/>
    <cellStyle name="Comma 5 5 6 4" xfId="6424"/>
    <cellStyle name="Comma 5 5 6 4 2" xfId="15508"/>
    <cellStyle name="Comma 5 5 6 5" xfId="10167"/>
    <cellStyle name="Comma 5 5 6 5 2" xfId="18994"/>
    <cellStyle name="Comma 5 5 6 6" xfId="11613"/>
    <cellStyle name="Comma 5 5 6 7" xfId="4902"/>
    <cellStyle name="Comma 5 5 7" xfId="1366"/>
    <cellStyle name="Comma 5 5 7 2" xfId="2977"/>
    <cellStyle name="Comma 5 5 7 2 2" xfId="16526"/>
    <cellStyle name="Comma 5 5 7 2 3" xfId="12948"/>
    <cellStyle name="Comma 5 5 7 2 4" xfId="7658"/>
    <cellStyle name="Comma 5 5 7 3" xfId="4202"/>
    <cellStyle name="Comma 5 5 7 3 2" xfId="17890"/>
    <cellStyle name="Comma 5 5 7 3 3" xfId="14311"/>
    <cellStyle name="Comma 5 5 7 3 4" xfId="9054"/>
    <cellStyle name="Comma 5 5 7 4" xfId="5904"/>
    <cellStyle name="Comma 5 5 7 4 2" xfId="14990"/>
    <cellStyle name="Comma 5 5 7 5" xfId="10508"/>
    <cellStyle name="Comma 5 5 7 5 2" xfId="19335"/>
    <cellStyle name="Comma 5 5 7 6" xfId="11954"/>
    <cellStyle name="Comma 5 5 7 7" xfId="5252"/>
    <cellStyle name="Comma 5 5 8" xfId="1934"/>
    <cellStyle name="Comma 5 5 8 2" xfId="9465"/>
    <cellStyle name="Comma 5 5 8 2 2" xfId="18292"/>
    <cellStyle name="Comma 5 5 8 3" xfId="10909"/>
    <cellStyle name="Comma 5 5 8 4" xfId="6791"/>
    <cellStyle name="Comma 5 5 9" xfId="1858"/>
    <cellStyle name="Comma 5 5 9 2" xfId="16845"/>
    <cellStyle name="Comma 5 5 9 3" xfId="13266"/>
    <cellStyle name="Comma 5 5 9 4" xfId="8009"/>
    <cellStyle name="Comma 5 6" xfId="243"/>
    <cellStyle name="Comma 5 6 10" xfId="10994"/>
    <cellStyle name="Comma 5 6 11" xfId="4411"/>
    <cellStyle name="Comma 5 6 2" xfId="351"/>
    <cellStyle name="Comma 5 6 2 2" xfId="565"/>
    <cellStyle name="Comma 5 6 2 2 2" xfId="2295"/>
    <cellStyle name="Comma 5 6 2 2 2 2" xfId="16184"/>
    <cellStyle name="Comma 5 6 2 2 2 3" xfId="12606"/>
    <cellStyle name="Comma 5 6 2 2 2 4" xfId="7315"/>
    <cellStyle name="Comma 5 6 2 2 3" xfId="3563"/>
    <cellStyle name="Comma 5 6 2 2 3 2" xfId="17208"/>
    <cellStyle name="Comma 5 6 2 2 3 3" xfId="13629"/>
    <cellStyle name="Comma 5 6 2 2 3 4" xfId="8372"/>
    <cellStyle name="Comma 5 6 2 2 4" xfId="6431"/>
    <cellStyle name="Comma 5 6 2 2 4 2" xfId="15515"/>
    <cellStyle name="Comma 5 6 2 2 5" xfId="9826"/>
    <cellStyle name="Comma 5 6 2 2 5 2" xfId="18653"/>
    <cellStyle name="Comma 5 6 2 2 6" xfId="11270"/>
    <cellStyle name="Comma 5 6 2 2 7" xfId="4909"/>
    <cellStyle name="Comma 5 6 2 3" xfId="923"/>
    <cellStyle name="Comma 5 6 2 3 2" xfId="2643"/>
    <cellStyle name="Comma 5 6 2 3 2 2" xfId="16711"/>
    <cellStyle name="Comma 5 6 2 3 2 3" xfId="13132"/>
    <cellStyle name="Comma 5 6 2 3 2 4" xfId="7843"/>
    <cellStyle name="Comma 5 6 2 3 3" xfId="3911"/>
    <cellStyle name="Comma 5 6 2 3 3 2" xfId="17556"/>
    <cellStyle name="Comma 5 6 2 3 3 3" xfId="13977"/>
    <cellStyle name="Comma 5 6 2 3 3 4" xfId="8720"/>
    <cellStyle name="Comma 5 6 2 3 4" xfId="6250"/>
    <cellStyle name="Comma 5 6 2 3 4 2" xfId="15334"/>
    <cellStyle name="Comma 5 6 2 3 5" xfId="10174"/>
    <cellStyle name="Comma 5 6 2 3 5 2" xfId="19001"/>
    <cellStyle name="Comma 5 6 2 3 6" xfId="11620"/>
    <cellStyle name="Comma 5 6 2 3 7" xfId="5437"/>
    <cellStyle name="Comma 5 6 2 4" xfId="1564"/>
    <cellStyle name="Comma 5 6 2 4 2" xfId="3162"/>
    <cellStyle name="Comma 5 6 2 4 2 2" xfId="18075"/>
    <cellStyle name="Comma 5 6 2 4 2 3" xfId="14496"/>
    <cellStyle name="Comma 5 6 2 4 2 4" xfId="9239"/>
    <cellStyle name="Comma 5 6 2 4 3" xfId="10693"/>
    <cellStyle name="Comma 5 6 2 4 3 2" xfId="19520"/>
    <cellStyle name="Comma 5 6 2 4 4" xfId="12139"/>
    <cellStyle name="Comma 5 6 2 4 5" xfId="7134"/>
    <cellStyle name="Comma 5 6 2 5" xfId="2119"/>
    <cellStyle name="Comma 5 6 2 5 2" xfId="17032"/>
    <cellStyle name="Comma 5 6 2 5 3" xfId="13453"/>
    <cellStyle name="Comma 5 6 2 5 4" xfId="8196"/>
    <cellStyle name="Comma 5 6 2 6" xfId="5757"/>
    <cellStyle name="Comma 5 6 2 6 2" xfId="14843"/>
    <cellStyle name="Comma 5 6 2 7" xfId="9650"/>
    <cellStyle name="Comma 5 6 2 7 2" xfId="18477"/>
    <cellStyle name="Comma 5 6 2 8" xfId="11094"/>
    <cellStyle name="Comma 5 6 2 9" xfId="4728"/>
    <cellStyle name="Comma 5 6 3" xfId="564"/>
    <cellStyle name="Comma 5 6 3 2" xfId="2294"/>
    <cellStyle name="Comma 5 6 3 2 2" xfId="16048"/>
    <cellStyle name="Comma 5 6 3 2 3" xfId="12255"/>
    <cellStyle name="Comma 5 6 3 2 4" xfId="7034"/>
    <cellStyle name="Comma 5 6 3 3" xfId="3562"/>
    <cellStyle name="Comma 5 6 3 3 2" xfId="17207"/>
    <cellStyle name="Comma 5 6 3 3 3" xfId="13628"/>
    <cellStyle name="Comma 5 6 3 3 4" xfId="8371"/>
    <cellStyle name="Comma 5 6 3 4" xfId="6150"/>
    <cellStyle name="Comma 5 6 3 4 2" xfId="15234"/>
    <cellStyle name="Comma 5 6 3 5" xfId="9825"/>
    <cellStyle name="Comma 5 6 3 5 2" xfId="18652"/>
    <cellStyle name="Comma 5 6 3 6" xfId="11269"/>
    <cellStyle name="Comma 5 6 3 7" xfId="4628"/>
    <cellStyle name="Comma 5 6 4" xfId="922"/>
    <cellStyle name="Comma 5 6 4 2" xfId="2642"/>
    <cellStyle name="Comma 5 6 4 2 2" xfId="16183"/>
    <cellStyle name="Comma 5 6 4 2 3" xfId="12605"/>
    <cellStyle name="Comma 5 6 4 2 4" xfId="7314"/>
    <cellStyle name="Comma 5 6 4 3" xfId="3910"/>
    <cellStyle name="Comma 5 6 4 3 2" xfId="17555"/>
    <cellStyle name="Comma 5 6 4 3 3" xfId="13976"/>
    <cellStyle name="Comma 5 6 4 3 4" xfId="8719"/>
    <cellStyle name="Comma 5 6 4 4" xfId="6430"/>
    <cellStyle name="Comma 5 6 4 4 2" xfId="15514"/>
    <cellStyle name="Comma 5 6 4 5" xfId="10173"/>
    <cellStyle name="Comma 5 6 4 5 2" xfId="19000"/>
    <cellStyle name="Comma 5 6 4 6" xfId="11619"/>
    <cellStyle name="Comma 5 6 4 7" xfId="4908"/>
    <cellStyle name="Comma 5 6 5" xfId="1462"/>
    <cellStyle name="Comma 5 6 5 2" xfId="3062"/>
    <cellStyle name="Comma 5 6 5 2 2" xfId="16611"/>
    <cellStyle name="Comma 5 6 5 2 3" xfId="13032"/>
    <cellStyle name="Comma 5 6 5 2 4" xfId="7743"/>
    <cellStyle name="Comma 5 6 5 3" xfId="4270"/>
    <cellStyle name="Comma 5 6 5 3 2" xfId="17975"/>
    <cellStyle name="Comma 5 6 5 3 3" xfId="14396"/>
    <cellStyle name="Comma 5 6 5 3 4" xfId="9139"/>
    <cellStyle name="Comma 5 6 5 4" xfId="5931"/>
    <cellStyle name="Comma 5 6 5 4 2" xfId="15017"/>
    <cellStyle name="Comma 5 6 5 5" xfId="10593"/>
    <cellStyle name="Comma 5 6 5 5 2" xfId="19420"/>
    <cellStyle name="Comma 5 6 5 6" xfId="12039"/>
    <cellStyle name="Comma 5 6 5 7" xfId="5337"/>
    <cellStyle name="Comma 5 6 6" xfId="2019"/>
    <cellStyle name="Comma 5 6 6 2" xfId="15860"/>
    <cellStyle name="Comma 5 6 6 3" xfId="12434"/>
    <cellStyle name="Comma 5 6 6 4" xfId="6817"/>
    <cellStyle name="Comma 5 6 7" xfId="3432"/>
    <cellStyle name="Comma 5 6 7 2" xfId="16932"/>
    <cellStyle name="Comma 5 6 7 3" xfId="13353"/>
    <cellStyle name="Comma 5 6 7 4" xfId="8096"/>
    <cellStyle name="Comma 5 6 8" xfId="5657"/>
    <cellStyle name="Comma 5 6 8 2" xfId="14743"/>
    <cellStyle name="Comma 5 6 9" xfId="9550"/>
    <cellStyle name="Comma 5 6 9 2" xfId="18377"/>
    <cellStyle name="Comma 5 7" xfId="183"/>
    <cellStyle name="Comma 5 7 10" xfId="10937"/>
    <cellStyle name="Comma 5 7 11" xfId="4459"/>
    <cellStyle name="Comma 5 7 2" xfId="400"/>
    <cellStyle name="Comma 5 7 2 2" xfId="567"/>
    <cellStyle name="Comma 5 7 2 2 2" xfId="2297"/>
    <cellStyle name="Comma 5 7 2 2 2 2" xfId="16186"/>
    <cellStyle name="Comma 5 7 2 2 2 3" xfId="12608"/>
    <cellStyle name="Comma 5 7 2 2 2 4" xfId="7317"/>
    <cellStyle name="Comma 5 7 2 2 3" xfId="3565"/>
    <cellStyle name="Comma 5 7 2 2 3 2" xfId="17210"/>
    <cellStyle name="Comma 5 7 2 2 3 3" xfId="13631"/>
    <cellStyle name="Comma 5 7 2 2 3 4" xfId="8374"/>
    <cellStyle name="Comma 5 7 2 2 4" xfId="6433"/>
    <cellStyle name="Comma 5 7 2 2 4 2" xfId="15517"/>
    <cellStyle name="Comma 5 7 2 2 5" xfId="9828"/>
    <cellStyle name="Comma 5 7 2 2 5 2" xfId="18655"/>
    <cellStyle name="Comma 5 7 2 2 6" xfId="11272"/>
    <cellStyle name="Comma 5 7 2 2 7" xfId="4911"/>
    <cellStyle name="Comma 5 7 2 3" xfId="925"/>
    <cellStyle name="Comma 5 7 2 3 2" xfId="2645"/>
    <cellStyle name="Comma 5 7 2 3 2 2" xfId="16759"/>
    <cellStyle name="Comma 5 7 2 3 2 3" xfId="13180"/>
    <cellStyle name="Comma 5 7 2 3 2 4" xfId="7891"/>
    <cellStyle name="Comma 5 7 2 3 3" xfId="3913"/>
    <cellStyle name="Comma 5 7 2 3 3 2" xfId="17558"/>
    <cellStyle name="Comma 5 7 2 3 3 3" xfId="13979"/>
    <cellStyle name="Comma 5 7 2 3 3 4" xfId="8722"/>
    <cellStyle name="Comma 5 7 2 3 4" xfId="6298"/>
    <cellStyle name="Comma 5 7 2 3 4 2" xfId="15382"/>
    <cellStyle name="Comma 5 7 2 3 5" xfId="10176"/>
    <cellStyle name="Comma 5 7 2 3 5 2" xfId="19003"/>
    <cellStyle name="Comma 5 7 2 3 6" xfId="11622"/>
    <cellStyle name="Comma 5 7 2 3 7" xfId="5485"/>
    <cellStyle name="Comma 5 7 2 4" xfId="1614"/>
    <cellStyle name="Comma 5 7 2 4 2" xfId="3210"/>
    <cellStyle name="Comma 5 7 2 4 2 2" xfId="18123"/>
    <cellStyle name="Comma 5 7 2 4 2 3" xfId="14544"/>
    <cellStyle name="Comma 5 7 2 4 2 4" xfId="9287"/>
    <cellStyle name="Comma 5 7 2 4 3" xfId="10741"/>
    <cellStyle name="Comma 5 7 2 4 3 2" xfId="19568"/>
    <cellStyle name="Comma 5 7 2 4 4" xfId="12187"/>
    <cellStyle name="Comma 5 7 2 4 5" xfId="7182"/>
    <cellStyle name="Comma 5 7 2 5" xfId="2167"/>
    <cellStyle name="Comma 5 7 2 5 2" xfId="17080"/>
    <cellStyle name="Comma 5 7 2 5 3" xfId="13501"/>
    <cellStyle name="Comma 5 7 2 5 4" xfId="8244"/>
    <cellStyle name="Comma 5 7 2 6" xfId="5805"/>
    <cellStyle name="Comma 5 7 2 6 2" xfId="14891"/>
    <cellStyle name="Comma 5 7 2 7" xfId="9698"/>
    <cellStyle name="Comma 5 7 2 7 2" xfId="18525"/>
    <cellStyle name="Comma 5 7 2 8" xfId="11142"/>
    <cellStyle name="Comma 5 7 2 9" xfId="4776"/>
    <cellStyle name="Comma 5 7 3" xfId="566"/>
    <cellStyle name="Comma 5 7 3 2" xfId="2296"/>
    <cellStyle name="Comma 5 7 3 2 2" xfId="15991"/>
    <cellStyle name="Comma 5 7 3 2 3" xfId="12404"/>
    <cellStyle name="Comma 5 7 3 2 4" xfId="6977"/>
    <cellStyle name="Comma 5 7 3 3" xfId="3564"/>
    <cellStyle name="Comma 5 7 3 3 2" xfId="17209"/>
    <cellStyle name="Comma 5 7 3 3 3" xfId="13630"/>
    <cellStyle name="Comma 5 7 3 3 4" xfId="8373"/>
    <cellStyle name="Comma 5 7 3 4" xfId="6093"/>
    <cellStyle name="Comma 5 7 3 4 2" xfId="15177"/>
    <cellStyle name="Comma 5 7 3 5" xfId="9827"/>
    <cellStyle name="Comma 5 7 3 5 2" xfId="18654"/>
    <cellStyle name="Comma 5 7 3 6" xfId="11271"/>
    <cellStyle name="Comma 5 7 3 7" xfId="4571"/>
    <cellStyle name="Comma 5 7 4" xfId="924"/>
    <cellStyle name="Comma 5 7 4 2" xfId="2644"/>
    <cellStyle name="Comma 5 7 4 2 2" xfId="16185"/>
    <cellStyle name="Comma 5 7 4 2 3" xfId="12607"/>
    <cellStyle name="Comma 5 7 4 2 4" xfId="7316"/>
    <cellStyle name="Comma 5 7 4 3" xfId="3912"/>
    <cellStyle name="Comma 5 7 4 3 2" xfId="17557"/>
    <cellStyle name="Comma 5 7 4 3 3" xfId="13978"/>
    <cellStyle name="Comma 5 7 4 3 4" xfId="8721"/>
    <cellStyle name="Comma 5 7 4 4" xfId="6432"/>
    <cellStyle name="Comma 5 7 4 4 2" xfId="15516"/>
    <cellStyle name="Comma 5 7 4 5" xfId="10175"/>
    <cellStyle name="Comma 5 7 4 5 2" xfId="19002"/>
    <cellStyle name="Comma 5 7 4 6" xfId="11621"/>
    <cellStyle name="Comma 5 7 4 7" xfId="4910"/>
    <cellStyle name="Comma 5 7 5" xfId="1400"/>
    <cellStyle name="Comma 5 7 5 2" xfId="3005"/>
    <cellStyle name="Comma 5 7 5 2 2" xfId="16554"/>
    <cellStyle name="Comma 5 7 5 2 3" xfId="12975"/>
    <cellStyle name="Comma 5 7 5 2 4" xfId="7686"/>
    <cellStyle name="Comma 5 7 5 3" xfId="4213"/>
    <cellStyle name="Comma 5 7 5 3 2" xfId="17918"/>
    <cellStyle name="Comma 5 7 5 3 3" xfId="14339"/>
    <cellStyle name="Comma 5 7 5 3 4" xfId="9082"/>
    <cellStyle name="Comma 5 7 5 4" xfId="5979"/>
    <cellStyle name="Comma 5 7 5 4 2" xfId="15065"/>
    <cellStyle name="Comma 5 7 5 5" xfId="10536"/>
    <cellStyle name="Comma 5 7 5 5 2" xfId="19363"/>
    <cellStyle name="Comma 5 7 5 6" xfId="11982"/>
    <cellStyle name="Comma 5 7 5 7" xfId="5280"/>
    <cellStyle name="Comma 5 7 6" xfId="1962"/>
    <cellStyle name="Comma 5 7 6 2" xfId="15908"/>
    <cellStyle name="Comma 5 7 6 3" xfId="12364"/>
    <cellStyle name="Comma 5 7 6 4" xfId="6865"/>
    <cellStyle name="Comma 5 7 7" xfId="3376"/>
    <cellStyle name="Comma 5 7 7 2" xfId="16875"/>
    <cellStyle name="Comma 5 7 7 3" xfId="13296"/>
    <cellStyle name="Comma 5 7 7 4" xfId="8039"/>
    <cellStyle name="Comma 5 7 8" xfId="5600"/>
    <cellStyle name="Comma 5 7 8 2" xfId="14686"/>
    <cellStyle name="Comma 5 7 9" xfId="9493"/>
    <cellStyle name="Comma 5 7 9 2" xfId="18320"/>
    <cellStyle name="Comma 5 8" xfId="456"/>
    <cellStyle name="Comma 5 8 10" xfId="4515"/>
    <cellStyle name="Comma 5 8 2" xfId="568"/>
    <cellStyle name="Comma 5 8 2 2" xfId="2298"/>
    <cellStyle name="Comma 5 8 2 2 2" xfId="16107"/>
    <cellStyle name="Comma 5 8 2 2 3" xfId="12529"/>
    <cellStyle name="Comma 5 8 2 2 4" xfId="7238"/>
    <cellStyle name="Comma 5 8 2 3" xfId="3566"/>
    <cellStyle name="Comma 5 8 2 3 2" xfId="17211"/>
    <cellStyle name="Comma 5 8 2 3 3" xfId="13632"/>
    <cellStyle name="Comma 5 8 2 3 4" xfId="8375"/>
    <cellStyle name="Comma 5 8 2 4" xfId="6354"/>
    <cellStyle name="Comma 5 8 2 4 2" xfId="15438"/>
    <cellStyle name="Comma 5 8 2 5" xfId="9829"/>
    <cellStyle name="Comma 5 8 2 5 2" xfId="18656"/>
    <cellStyle name="Comma 5 8 2 6" xfId="11273"/>
    <cellStyle name="Comma 5 8 2 7" xfId="4832"/>
    <cellStyle name="Comma 5 8 3" xfId="926"/>
    <cellStyle name="Comma 5 8 3 2" xfId="2646"/>
    <cellStyle name="Comma 5 8 3 2 2" xfId="16187"/>
    <cellStyle name="Comma 5 8 3 2 3" xfId="12609"/>
    <cellStyle name="Comma 5 8 3 2 4" xfId="7318"/>
    <cellStyle name="Comma 5 8 3 3" xfId="3914"/>
    <cellStyle name="Comma 5 8 3 3 2" xfId="17559"/>
    <cellStyle name="Comma 5 8 3 3 3" xfId="13980"/>
    <cellStyle name="Comma 5 8 3 3 4" xfId="8723"/>
    <cellStyle name="Comma 5 8 3 4" xfId="6434"/>
    <cellStyle name="Comma 5 8 3 4 2" xfId="15518"/>
    <cellStyle name="Comma 5 8 3 5" xfId="10177"/>
    <cellStyle name="Comma 5 8 3 5 2" xfId="19004"/>
    <cellStyle name="Comma 5 8 3 6" xfId="11623"/>
    <cellStyle name="Comma 5 8 3 7" xfId="4912"/>
    <cellStyle name="Comma 5 8 4" xfId="1670"/>
    <cellStyle name="Comma 5 8 4 2" xfId="3266"/>
    <cellStyle name="Comma 5 8 4 2 2" xfId="16815"/>
    <cellStyle name="Comma 5 8 4 2 3" xfId="13236"/>
    <cellStyle name="Comma 5 8 4 2 4" xfId="7947"/>
    <cellStyle name="Comma 5 8 4 3" xfId="4329"/>
    <cellStyle name="Comma 5 8 4 3 2" xfId="18179"/>
    <cellStyle name="Comma 5 8 4 3 3" xfId="14600"/>
    <cellStyle name="Comma 5 8 4 3 4" xfId="9343"/>
    <cellStyle name="Comma 5 8 4 4" xfId="6035"/>
    <cellStyle name="Comma 5 8 4 4 2" xfId="15121"/>
    <cellStyle name="Comma 5 8 4 5" xfId="10797"/>
    <cellStyle name="Comma 5 8 4 5 2" xfId="19624"/>
    <cellStyle name="Comma 5 8 4 6" xfId="12243"/>
    <cellStyle name="Comma 5 8 4 7" xfId="5541"/>
    <cellStyle name="Comma 5 8 5" xfId="2223"/>
    <cellStyle name="Comma 5 8 5 2" xfId="15964"/>
    <cellStyle name="Comma 5 8 5 3" xfId="12476"/>
    <cellStyle name="Comma 5 8 5 4" xfId="6921"/>
    <cellStyle name="Comma 5 8 6" xfId="3491"/>
    <cellStyle name="Comma 5 8 6 2" xfId="17136"/>
    <cellStyle name="Comma 5 8 6 3" xfId="13557"/>
    <cellStyle name="Comma 5 8 6 4" xfId="8300"/>
    <cellStyle name="Comma 5 8 7" xfId="5861"/>
    <cellStyle name="Comma 5 8 7 2" xfId="14947"/>
    <cellStyle name="Comma 5 8 8" xfId="9754"/>
    <cellStyle name="Comma 5 8 8 2" xfId="18581"/>
    <cellStyle name="Comma 5 8 9" xfId="11198"/>
    <cellStyle name="Comma 5 9" xfId="294"/>
    <cellStyle name="Comma 5 9 2" xfId="569"/>
    <cellStyle name="Comma 5 9 2 2" xfId="2299"/>
    <cellStyle name="Comma 5 9 2 2 2" xfId="16188"/>
    <cellStyle name="Comma 5 9 2 2 3" xfId="12610"/>
    <cellStyle name="Comma 5 9 2 2 4" xfId="7319"/>
    <cellStyle name="Comma 5 9 2 3" xfId="3567"/>
    <cellStyle name="Comma 5 9 2 3 2" xfId="17212"/>
    <cellStyle name="Comma 5 9 2 3 3" xfId="13633"/>
    <cellStyle name="Comma 5 9 2 3 4" xfId="8376"/>
    <cellStyle name="Comma 5 9 2 4" xfId="6435"/>
    <cellStyle name="Comma 5 9 2 4 2" xfId="15519"/>
    <cellStyle name="Comma 5 9 2 5" xfId="9830"/>
    <cellStyle name="Comma 5 9 2 5 2" xfId="18657"/>
    <cellStyle name="Comma 5 9 2 6" xfId="11274"/>
    <cellStyle name="Comma 5 9 2 7" xfId="4913"/>
    <cellStyle name="Comma 5 9 3" xfId="927"/>
    <cellStyle name="Comma 5 9 3 2" xfId="2647"/>
    <cellStyle name="Comma 5 9 3 2 2" xfId="16654"/>
    <cellStyle name="Comma 5 9 3 2 3" xfId="13075"/>
    <cellStyle name="Comma 5 9 3 2 4" xfId="7786"/>
    <cellStyle name="Comma 5 9 3 3" xfId="3915"/>
    <cellStyle name="Comma 5 9 3 3 2" xfId="17560"/>
    <cellStyle name="Comma 5 9 3 3 3" xfId="13981"/>
    <cellStyle name="Comma 5 9 3 3 4" xfId="8724"/>
    <cellStyle name="Comma 5 9 3 4" xfId="6193"/>
    <cellStyle name="Comma 5 9 3 4 2" xfId="15277"/>
    <cellStyle name="Comma 5 9 3 5" xfId="10178"/>
    <cellStyle name="Comma 5 9 3 5 2" xfId="19005"/>
    <cellStyle name="Comma 5 9 3 6" xfId="11624"/>
    <cellStyle name="Comma 5 9 3 7" xfId="5380"/>
    <cellStyle name="Comma 5 9 4" xfId="1506"/>
    <cellStyle name="Comma 5 9 4 2" xfId="3105"/>
    <cellStyle name="Comma 5 9 4 2 2" xfId="18018"/>
    <cellStyle name="Comma 5 9 4 2 3" xfId="14439"/>
    <cellStyle name="Comma 5 9 4 2 4" xfId="9182"/>
    <cellStyle name="Comma 5 9 4 3" xfId="10636"/>
    <cellStyle name="Comma 5 9 4 3 2" xfId="19463"/>
    <cellStyle name="Comma 5 9 4 4" xfId="12082"/>
    <cellStyle name="Comma 5 9 4 5" xfId="7077"/>
    <cellStyle name="Comma 5 9 5" xfId="2062"/>
    <cellStyle name="Comma 5 9 5 2" xfId="16975"/>
    <cellStyle name="Comma 5 9 5 3" xfId="13396"/>
    <cellStyle name="Comma 5 9 5 4" xfId="8139"/>
    <cellStyle name="Comma 5 9 6" xfId="5700"/>
    <cellStyle name="Comma 5 9 6 2" xfId="14786"/>
    <cellStyle name="Comma 5 9 7" xfId="9593"/>
    <cellStyle name="Comma 5 9 7 2" xfId="18420"/>
    <cellStyle name="Comma 5 9 8" xfId="11037"/>
    <cellStyle name="Comma 5 9 9" xfId="4671"/>
    <cellStyle name="Comma 6" xfId="99"/>
    <cellStyle name="Comma 6 10" xfId="1896"/>
    <cellStyle name="Comma 6 10 2" xfId="9427"/>
    <cellStyle name="Comma 6 10 2 2" xfId="18254"/>
    <cellStyle name="Comma 6 10 3" xfId="10871"/>
    <cellStyle name="Comma 6 10 4" xfId="7971"/>
    <cellStyle name="Comma 6 11" xfId="1863"/>
    <cellStyle name="Comma 6 11 2" xfId="14640"/>
    <cellStyle name="Comma 6 11 3" xfId="5554"/>
    <cellStyle name="Comma 6 12" xfId="9397"/>
    <cellStyle name="Comma 6 12 2" xfId="18224"/>
    <cellStyle name="Comma 6 13" xfId="10838"/>
    <cellStyle name="Comma 6 14" xfId="4371"/>
    <cellStyle name="Comma 6 2" xfId="152"/>
    <cellStyle name="Comma 6 2 10" xfId="5577"/>
    <cellStyle name="Comma 6 2 10 2" xfId="14663"/>
    <cellStyle name="Comma 6 2 11" xfId="9470"/>
    <cellStyle name="Comma 6 2 11 2" xfId="18297"/>
    <cellStyle name="Comma 6 2 12" xfId="10914"/>
    <cellStyle name="Comma 6 2 13" xfId="4390"/>
    <cellStyle name="Comma 6 2 2" xfId="221"/>
    <cellStyle name="Comma 6 2 2 10" xfId="10973"/>
    <cellStyle name="Comma 6 2 2 11" xfId="4494"/>
    <cellStyle name="Comma 6 2 2 2" xfId="435"/>
    <cellStyle name="Comma 6 2 2 2 2" xfId="573"/>
    <cellStyle name="Comma 6 2 2 2 2 2" xfId="2303"/>
    <cellStyle name="Comma 6 2 2 2 2 2 2" xfId="16192"/>
    <cellStyle name="Comma 6 2 2 2 2 2 3" xfId="12614"/>
    <cellStyle name="Comma 6 2 2 2 2 2 4" xfId="7323"/>
    <cellStyle name="Comma 6 2 2 2 2 3" xfId="3571"/>
    <cellStyle name="Comma 6 2 2 2 2 3 2" xfId="17216"/>
    <cellStyle name="Comma 6 2 2 2 2 3 3" xfId="13637"/>
    <cellStyle name="Comma 6 2 2 2 2 3 4" xfId="8380"/>
    <cellStyle name="Comma 6 2 2 2 2 4" xfId="6439"/>
    <cellStyle name="Comma 6 2 2 2 2 4 2" xfId="15523"/>
    <cellStyle name="Comma 6 2 2 2 2 5" xfId="9834"/>
    <cellStyle name="Comma 6 2 2 2 2 5 2" xfId="18661"/>
    <cellStyle name="Comma 6 2 2 2 2 6" xfId="11278"/>
    <cellStyle name="Comma 6 2 2 2 2 7" xfId="4917"/>
    <cellStyle name="Comma 6 2 2 2 3" xfId="931"/>
    <cellStyle name="Comma 6 2 2 2 3 2" xfId="2651"/>
    <cellStyle name="Comma 6 2 2 2 3 2 2" xfId="16794"/>
    <cellStyle name="Comma 6 2 2 2 3 2 3" xfId="13215"/>
    <cellStyle name="Comma 6 2 2 2 3 2 4" xfId="7926"/>
    <cellStyle name="Comma 6 2 2 2 3 3" xfId="3919"/>
    <cellStyle name="Comma 6 2 2 2 3 3 2" xfId="17564"/>
    <cellStyle name="Comma 6 2 2 2 3 3 3" xfId="13985"/>
    <cellStyle name="Comma 6 2 2 2 3 3 4" xfId="8728"/>
    <cellStyle name="Comma 6 2 2 2 3 4" xfId="6333"/>
    <cellStyle name="Comma 6 2 2 2 3 4 2" xfId="15417"/>
    <cellStyle name="Comma 6 2 2 2 3 5" xfId="10182"/>
    <cellStyle name="Comma 6 2 2 2 3 5 2" xfId="19009"/>
    <cellStyle name="Comma 6 2 2 2 3 6" xfId="11628"/>
    <cellStyle name="Comma 6 2 2 2 3 7" xfId="5520"/>
    <cellStyle name="Comma 6 2 2 2 4" xfId="1649"/>
    <cellStyle name="Comma 6 2 2 2 4 2" xfId="3245"/>
    <cellStyle name="Comma 6 2 2 2 4 2 2" xfId="18158"/>
    <cellStyle name="Comma 6 2 2 2 4 2 3" xfId="14579"/>
    <cellStyle name="Comma 6 2 2 2 4 2 4" xfId="9322"/>
    <cellStyle name="Comma 6 2 2 2 4 3" xfId="10776"/>
    <cellStyle name="Comma 6 2 2 2 4 3 2" xfId="19603"/>
    <cellStyle name="Comma 6 2 2 2 4 4" xfId="12222"/>
    <cellStyle name="Comma 6 2 2 2 4 5" xfId="7217"/>
    <cellStyle name="Comma 6 2 2 2 5" xfId="2202"/>
    <cellStyle name="Comma 6 2 2 2 5 2" xfId="17115"/>
    <cellStyle name="Comma 6 2 2 2 5 3" xfId="13536"/>
    <cellStyle name="Comma 6 2 2 2 5 4" xfId="8279"/>
    <cellStyle name="Comma 6 2 2 2 6" xfId="5840"/>
    <cellStyle name="Comma 6 2 2 2 6 2" xfId="14926"/>
    <cellStyle name="Comma 6 2 2 2 7" xfId="9733"/>
    <cellStyle name="Comma 6 2 2 2 7 2" xfId="18560"/>
    <cellStyle name="Comma 6 2 2 2 8" xfId="11177"/>
    <cellStyle name="Comma 6 2 2 2 9" xfId="4811"/>
    <cellStyle name="Comma 6 2 2 3" xfId="572"/>
    <cellStyle name="Comma 6 2 2 3 2" xfId="2302"/>
    <cellStyle name="Comma 6 2 2 3 2 2" xfId="16027"/>
    <cellStyle name="Comma 6 2 2 3 2 3" xfId="12269"/>
    <cellStyle name="Comma 6 2 2 3 2 4" xfId="7013"/>
    <cellStyle name="Comma 6 2 2 3 3" xfId="3570"/>
    <cellStyle name="Comma 6 2 2 3 3 2" xfId="17215"/>
    <cellStyle name="Comma 6 2 2 3 3 3" xfId="13636"/>
    <cellStyle name="Comma 6 2 2 3 3 4" xfId="8379"/>
    <cellStyle name="Comma 6 2 2 3 4" xfId="6129"/>
    <cellStyle name="Comma 6 2 2 3 4 2" xfId="15213"/>
    <cellStyle name="Comma 6 2 2 3 5" xfId="9833"/>
    <cellStyle name="Comma 6 2 2 3 5 2" xfId="18660"/>
    <cellStyle name="Comma 6 2 2 3 6" xfId="11277"/>
    <cellStyle name="Comma 6 2 2 3 7" xfId="4607"/>
    <cellStyle name="Comma 6 2 2 4" xfId="930"/>
    <cellStyle name="Comma 6 2 2 4 2" xfId="2650"/>
    <cellStyle name="Comma 6 2 2 4 2 2" xfId="16191"/>
    <cellStyle name="Comma 6 2 2 4 2 3" xfId="12613"/>
    <cellStyle name="Comma 6 2 2 4 2 4" xfId="7322"/>
    <cellStyle name="Comma 6 2 2 4 3" xfId="3918"/>
    <cellStyle name="Comma 6 2 2 4 3 2" xfId="17563"/>
    <cellStyle name="Comma 6 2 2 4 3 3" xfId="13984"/>
    <cellStyle name="Comma 6 2 2 4 3 4" xfId="8727"/>
    <cellStyle name="Comma 6 2 2 4 4" xfId="6438"/>
    <cellStyle name="Comma 6 2 2 4 4 2" xfId="15522"/>
    <cellStyle name="Comma 6 2 2 4 5" xfId="10181"/>
    <cellStyle name="Comma 6 2 2 4 5 2" xfId="19008"/>
    <cellStyle name="Comma 6 2 2 4 6" xfId="11627"/>
    <cellStyle name="Comma 6 2 2 4 7" xfId="4916"/>
    <cellStyle name="Comma 6 2 2 5" xfId="1439"/>
    <cellStyle name="Comma 6 2 2 5 2" xfId="3041"/>
    <cellStyle name="Comma 6 2 2 5 2 2" xfId="16590"/>
    <cellStyle name="Comma 6 2 2 5 2 3" xfId="13011"/>
    <cellStyle name="Comma 6 2 2 5 2 4" xfId="7722"/>
    <cellStyle name="Comma 6 2 2 5 3" xfId="4249"/>
    <cellStyle name="Comma 6 2 2 5 3 2" xfId="17954"/>
    <cellStyle name="Comma 6 2 2 5 3 3" xfId="14375"/>
    <cellStyle name="Comma 6 2 2 5 3 4" xfId="9118"/>
    <cellStyle name="Comma 6 2 2 5 4" xfId="6014"/>
    <cellStyle name="Comma 6 2 2 5 4 2" xfId="15100"/>
    <cellStyle name="Comma 6 2 2 5 5" xfId="10572"/>
    <cellStyle name="Comma 6 2 2 5 5 2" xfId="19399"/>
    <cellStyle name="Comma 6 2 2 5 6" xfId="12018"/>
    <cellStyle name="Comma 6 2 2 5 7" xfId="5316"/>
    <cellStyle name="Comma 6 2 2 6" xfId="1998"/>
    <cellStyle name="Comma 6 2 2 6 2" xfId="15943"/>
    <cellStyle name="Comma 6 2 2 6 3" xfId="12310"/>
    <cellStyle name="Comma 6 2 2 6 4" xfId="6900"/>
    <cellStyle name="Comma 6 2 2 7" xfId="3411"/>
    <cellStyle name="Comma 6 2 2 7 2" xfId="16911"/>
    <cellStyle name="Comma 6 2 2 7 3" xfId="13332"/>
    <cellStyle name="Comma 6 2 2 7 4" xfId="8075"/>
    <cellStyle name="Comma 6 2 2 8" xfId="5636"/>
    <cellStyle name="Comma 6 2 2 8 2" xfId="14722"/>
    <cellStyle name="Comma 6 2 2 9" xfId="9529"/>
    <cellStyle name="Comma 6 2 2 9 2" xfId="18356"/>
    <cellStyle name="Comma 6 2 3" xfId="392"/>
    <cellStyle name="Comma 6 2 3 10" xfId="4452"/>
    <cellStyle name="Comma 6 2 3 2" xfId="574"/>
    <cellStyle name="Comma 6 2 3 2 2" xfId="2304"/>
    <cellStyle name="Comma 6 2 3 2 2 2" xfId="16089"/>
    <cellStyle name="Comma 6 2 3 2 2 3" xfId="10810"/>
    <cellStyle name="Comma 6 2 3 2 2 4" xfId="7175"/>
    <cellStyle name="Comma 6 2 3 2 3" xfId="3572"/>
    <cellStyle name="Comma 6 2 3 2 3 2" xfId="17217"/>
    <cellStyle name="Comma 6 2 3 2 3 3" xfId="13638"/>
    <cellStyle name="Comma 6 2 3 2 3 4" xfId="8381"/>
    <cellStyle name="Comma 6 2 3 2 4" xfId="6291"/>
    <cellStyle name="Comma 6 2 3 2 4 2" xfId="15375"/>
    <cellStyle name="Comma 6 2 3 2 5" xfId="9835"/>
    <cellStyle name="Comma 6 2 3 2 5 2" xfId="18662"/>
    <cellStyle name="Comma 6 2 3 2 6" xfId="11279"/>
    <cellStyle name="Comma 6 2 3 2 7" xfId="4769"/>
    <cellStyle name="Comma 6 2 3 3" xfId="932"/>
    <cellStyle name="Comma 6 2 3 3 2" xfId="2652"/>
    <cellStyle name="Comma 6 2 3 3 2 2" xfId="16193"/>
    <cellStyle name="Comma 6 2 3 3 2 3" xfId="12615"/>
    <cellStyle name="Comma 6 2 3 3 2 4" xfId="7324"/>
    <cellStyle name="Comma 6 2 3 3 3" xfId="3920"/>
    <cellStyle name="Comma 6 2 3 3 3 2" xfId="17565"/>
    <cellStyle name="Comma 6 2 3 3 3 3" xfId="13986"/>
    <cellStyle name="Comma 6 2 3 3 3 4" xfId="8729"/>
    <cellStyle name="Comma 6 2 3 3 4" xfId="6440"/>
    <cellStyle name="Comma 6 2 3 3 4 2" xfId="15524"/>
    <cellStyle name="Comma 6 2 3 3 5" xfId="10183"/>
    <cellStyle name="Comma 6 2 3 3 5 2" xfId="19010"/>
    <cellStyle name="Comma 6 2 3 3 6" xfId="11629"/>
    <cellStyle name="Comma 6 2 3 3 7" xfId="4918"/>
    <cellStyle name="Comma 6 2 3 4" xfId="1606"/>
    <cellStyle name="Comma 6 2 3 4 2" xfId="3203"/>
    <cellStyle name="Comma 6 2 3 4 2 2" xfId="16752"/>
    <cellStyle name="Comma 6 2 3 4 2 3" xfId="13173"/>
    <cellStyle name="Comma 6 2 3 4 2 4" xfId="7884"/>
    <cellStyle name="Comma 6 2 3 4 3" xfId="4311"/>
    <cellStyle name="Comma 6 2 3 4 3 2" xfId="18116"/>
    <cellStyle name="Comma 6 2 3 4 3 3" xfId="14537"/>
    <cellStyle name="Comma 6 2 3 4 3 4" xfId="9280"/>
    <cellStyle name="Comma 6 2 3 4 4" xfId="5972"/>
    <cellStyle name="Comma 6 2 3 4 4 2" xfId="15058"/>
    <cellStyle name="Comma 6 2 3 4 5" xfId="10734"/>
    <cellStyle name="Comma 6 2 3 4 5 2" xfId="19561"/>
    <cellStyle name="Comma 6 2 3 4 6" xfId="12180"/>
    <cellStyle name="Comma 6 2 3 4 7" xfId="5478"/>
    <cellStyle name="Comma 6 2 3 5" xfId="2160"/>
    <cellStyle name="Comma 6 2 3 5 2" xfId="15901"/>
    <cellStyle name="Comma 6 2 3 5 3" xfId="12354"/>
    <cellStyle name="Comma 6 2 3 5 4" xfId="6858"/>
    <cellStyle name="Comma 6 2 3 6" xfId="3473"/>
    <cellStyle name="Comma 6 2 3 6 2" xfId="17073"/>
    <cellStyle name="Comma 6 2 3 6 3" xfId="13494"/>
    <cellStyle name="Comma 6 2 3 6 4" xfId="8237"/>
    <cellStyle name="Comma 6 2 3 7" xfId="5798"/>
    <cellStyle name="Comma 6 2 3 7 2" xfId="14884"/>
    <cellStyle name="Comma 6 2 3 8" xfId="9691"/>
    <cellStyle name="Comma 6 2 3 8 2" xfId="18518"/>
    <cellStyle name="Comma 6 2 3 9" xfId="11135"/>
    <cellStyle name="Comma 6 2 4" xfId="330"/>
    <cellStyle name="Comma 6 2 4 2" xfId="575"/>
    <cellStyle name="Comma 6 2 4 2 2" xfId="2305"/>
    <cellStyle name="Comma 6 2 4 2 2 2" xfId="16194"/>
    <cellStyle name="Comma 6 2 4 2 2 3" xfId="12616"/>
    <cellStyle name="Comma 6 2 4 2 2 4" xfId="7325"/>
    <cellStyle name="Comma 6 2 4 2 3" xfId="3573"/>
    <cellStyle name="Comma 6 2 4 2 3 2" xfId="17218"/>
    <cellStyle name="Comma 6 2 4 2 3 3" xfId="13639"/>
    <cellStyle name="Comma 6 2 4 2 3 4" xfId="8382"/>
    <cellStyle name="Comma 6 2 4 2 4" xfId="6441"/>
    <cellStyle name="Comma 6 2 4 2 4 2" xfId="15525"/>
    <cellStyle name="Comma 6 2 4 2 5" xfId="9836"/>
    <cellStyle name="Comma 6 2 4 2 5 2" xfId="18663"/>
    <cellStyle name="Comma 6 2 4 2 6" xfId="11280"/>
    <cellStyle name="Comma 6 2 4 2 7" xfId="4919"/>
    <cellStyle name="Comma 6 2 4 3" xfId="933"/>
    <cellStyle name="Comma 6 2 4 3 2" xfId="2653"/>
    <cellStyle name="Comma 6 2 4 3 2 2" xfId="16690"/>
    <cellStyle name="Comma 6 2 4 3 2 3" xfId="13111"/>
    <cellStyle name="Comma 6 2 4 3 2 4" xfId="7822"/>
    <cellStyle name="Comma 6 2 4 3 3" xfId="3921"/>
    <cellStyle name="Comma 6 2 4 3 3 2" xfId="17566"/>
    <cellStyle name="Comma 6 2 4 3 3 3" xfId="13987"/>
    <cellStyle name="Comma 6 2 4 3 3 4" xfId="8730"/>
    <cellStyle name="Comma 6 2 4 3 4" xfId="6229"/>
    <cellStyle name="Comma 6 2 4 3 4 2" xfId="15313"/>
    <cellStyle name="Comma 6 2 4 3 5" xfId="10184"/>
    <cellStyle name="Comma 6 2 4 3 5 2" xfId="19011"/>
    <cellStyle name="Comma 6 2 4 3 6" xfId="11630"/>
    <cellStyle name="Comma 6 2 4 3 7" xfId="5416"/>
    <cellStyle name="Comma 6 2 4 4" xfId="1542"/>
    <cellStyle name="Comma 6 2 4 4 2" xfId="3141"/>
    <cellStyle name="Comma 6 2 4 4 2 2" xfId="18054"/>
    <cellStyle name="Comma 6 2 4 4 2 3" xfId="14475"/>
    <cellStyle name="Comma 6 2 4 4 2 4" xfId="9218"/>
    <cellStyle name="Comma 6 2 4 4 3" xfId="10672"/>
    <cellStyle name="Comma 6 2 4 4 3 2" xfId="19499"/>
    <cellStyle name="Comma 6 2 4 4 4" xfId="12118"/>
    <cellStyle name="Comma 6 2 4 4 5" xfId="7113"/>
    <cellStyle name="Comma 6 2 4 5" xfId="2098"/>
    <cellStyle name="Comma 6 2 4 5 2" xfId="17011"/>
    <cellStyle name="Comma 6 2 4 5 3" xfId="13432"/>
    <cellStyle name="Comma 6 2 4 5 4" xfId="8175"/>
    <cellStyle name="Comma 6 2 4 6" xfId="5736"/>
    <cellStyle name="Comma 6 2 4 6 2" xfId="14822"/>
    <cellStyle name="Comma 6 2 4 7" xfId="9629"/>
    <cellStyle name="Comma 6 2 4 7 2" xfId="18456"/>
    <cellStyle name="Comma 6 2 4 8" xfId="11073"/>
    <cellStyle name="Comma 6 2 4 9" xfId="4707"/>
    <cellStyle name="Comma 6 2 5" xfId="571"/>
    <cellStyle name="Comma 6 2 5 2" xfId="2301"/>
    <cellStyle name="Comma 6 2 5 2 2" xfId="15983"/>
    <cellStyle name="Comma 6 2 5 2 3" xfId="12453"/>
    <cellStyle name="Comma 6 2 5 2 4" xfId="6954"/>
    <cellStyle name="Comma 6 2 5 3" xfId="3569"/>
    <cellStyle name="Comma 6 2 5 3 2" xfId="17214"/>
    <cellStyle name="Comma 6 2 5 3 3" xfId="13635"/>
    <cellStyle name="Comma 6 2 5 3 4" xfId="8378"/>
    <cellStyle name="Comma 6 2 5 4" xfId="6070"/>
    <cellStyle name="Comma 6 2 5 4 2" xfId="15154"/>
    <cellStyle name="Comma 6 2 5 5" xfId="9832"/>
    <cellStyle name="Comma 6 2 5 5 2" xfId="18659"/>
    <cellStyle name="Comma 6 2 5 6" xfId="11276"/>
    <cellStyle name="Comma 6 2 5 7" xfId="4548"/>
    <cellStyle name="Comma 6 2 6" xfId="929"/>
    <cellStyle name="Comma 6 2 6 2" xfId="2649"/>
    <cellStyle name="Comma 6 2 6 2 2" xfId="16190"/>
    <cellStyle name="Comma 6 2 6 2 3" xfId="12612"/>
    <cellStyle name="Comma 6 2 6 2 4" xfId="7321"/>
    <cellStyle name="Comma 6 2 6 3" xfId="3917"/>
    <cellStyle name="Comma 6 2 6 3 2" xfId="17562"/>
    <cellStyle name="Comma 6 2 6 3 3" xfId="13983"/>
    <cellStyle name="Comma 6 2 6 3 4" xfId="8726"/>
    <cellStyle name="Comma 6 2 6 4" xfId="6437"/>
    <cellStyle name="Comma 6 2 6 4 2" xfId="15521"/>
    <cellStyle name="Comma 6 2 6 5" xfId="10180"/>
    <cellStyle name="Comma 6 2 6 5 2" xfId="19007"/>
    <cellStyle name="Comma 6 2 6 6" xfId="11626"/>
    <cellStyle name="Comma 6 2 6 7" xfId="4915"/>
    <cellStyle name="Comma 6 2 7" xfId="1371"/>
    <cellStyle name="Comma 6 2 7 2" xfId="2982"/>
    <cellStyle name="Comma 6 2 7 2 2" xfId="16531"/>
    <cellStyle name="Comma 6 2 7 2 3" xfId="12953"/>
    <cellStyle name="Comma 6 2 7 2 4" xfId="7663"/>
    <cellStyle name="Comma 6 2 7 3" xfId="4206"/>
    <cellStyle name="Comma 6 2 7 3 2" xfId="17895"/>
    <cellStyle name="Comma 6 2 7 3 3" xfId="14316"/>
    <cellStyle name="Comma 6 2 7 3 4" xfId="9059"/>
    <cellStyle name="Comma 6 2 7 4" xfId="5909"/>
    <cellStyle name="Comma 6 2 7 4 2" xfId="14995"/>
    <cellStyle name="Comma 6 2 7 5" xfId="10513"/>
    <cellStyle name="Comma 6 2 7 5 2" xfId="19340"/>
    <cellStyle name="Comma 6 2 7 6" xfId="11959"/>
    <cellStyle name="Comma 6 2 7 7" xfId="5257"/>
    <cellStyle name="Comma 6 2 8" xfId="1939"/>
    <cellStyle name="Comma 6 2 8 2" xfId="15844"/>
    <cellStyle name="Comma 6 2 8 3" xfId="12446"/>
    <cellStyle name="Comma 6 2 8 4" xfId="6796"/>
    <cellStyle name="Comma 6 2 9" xfId="3368"/>
    <cellStyle name="Comma 6 2 9 2" xfId="16850"/>
    <cellStyle name="Comma 6 2 9 3" xfId="13271"/>
    <cellStyle name="Comma 6 2 9 4" xfId="8014"/>
    <cellStyle name="Comma 6 3" xfId="265"/>
    <cellStyle name="Comma 6 3 10" xfId="11016"/>
    <cellStyle name="Comma 6 3 11" xfId="4433"/>
    <cellStyle name="Comma 6 3 2" xfId="373"/>
    <cellStyle name="Comma 6 3 2 2" xfId="577"/>
    <cellStyle name="Comma 6 3 2 2 2" xfId="2307"/>
    <cellStyle name="Comma 6 3 2 2 2 2" xfId="16196"/>
    <cellStyle name="Comma 6 3 2 2 2 3" xfId="12618"/>
    <cellStyle name="Comma 6 3 2 2 2 4" xfId="7327"/>
    <cellStyle name="Comma 6 3 2 2 3" xfId="3575"/>
    <cellStyle name="Comma 6 3 2 2 3 2" xfId="17220"/>
    <cellStyle name="Comma 6 3 2 2 3 3" xfId="13641"/>
    <cellStyle name="Comma 6 3 2 2 3 4" xfId="8384"/>
    <cellStyle name="Comma 6 3 2 2 4" xfId="6443"/>
    <cellStyle name="Comma 6 3 2 2 4 2" xfId="15527"/>
    <cellStyle name="Comma 6 3 2 2 5" xfId="9838"/>
    <cellStyle name="Comma 6 3 2 2 5 2" xfId="18665"/>
    <cellStyle name="Comma 6 3 2 2 6" xfId="11282"/>
    <cellStyle name="Comma 6 3 2 2 7" xfId="4921"/>
    <cellStyle name="Comma 6 3 2 3" xfId="935"/>
    <cellStyle name="Comma 6 3 2 3 2" xfId="2655"/>
    <cellStyle name="Comma 6 3 2 3 2 2" xfId="16733"/>
    <cellStyle name="Comma 6 3 2 3 2 3" xfId="13154"/>
    <cellStyle name="Comma 6 3 2 3 2 4" xfId="7865"/>
    <cellStyle name="Comma 6 3 2 3 3" xfId="3923"/>
    <cellStyle name="Comma 6 3 2 3 3 2" xfId="17568"/>
    <cellStyle name="Comma 6 3 2 3 3 3" xfId="13989"/>
    <cellStyle name="Comma 6 3 2 3 3 4" xfId="8732"/>
    <cellStyle name="Comma 6 3 2 3 4" xfId="6272"/>
    <cellStyle name="Comma 6 3 2 3 4 2" xfId="15356"/>
    <cellStyle name="Comma 6 3 2 3 5" xfId="10186"/>
    <cellStyle name="Comma 6 3 2 3 5 2" xfId="19013"/>
    <cellStyle name="Comma 6 3 2 3 6" xfId="11632"/>
    <cellStyle name="Comma 6 3 2 3 7" xfId="5459"/>
    <cellStyle name="Comma 6 3 2 4" xfId="1586"/>
    <cellStyle name="Comma 6 3 2 4 2" xfId="3184"/>
    <cellStyle name="Comma 6 3 2 4 2 2" xfId="18097"/>
    <cellStyle name="Comma 6 3 2 4 2 3" xfId="14518"/>
    <cellStyle name="Comma 6 3 2 4 2 4" xfId="9261"/>
    <cellStyle name="Comma 6 3 2 4 3" xfId="10715"/>
    <cellStyle name="Comma 6 3 2 4 3 2" xfId="19542"/>
    <cellStyle name="Comma 6 3 2 4 4" xfId="12161"/>
    <cellStyle name="Comma 6 3 2 4 5" xfId="7156"/>
    <cellStyle name="Comma 6 3 2 5" xfId="2141"/>
    <cellStyle name="Comma 6 3 2 5 2" xfId="17054"/>
    <cellStyle name="Comma 6 3 2 5 3" xfId="13475"/>
    <cellStyle name="Comma 6 3 2 5 4" xfId="8218"/>
    <cellStyle name="Comma 6 3 2 6" xfId="5779"/>
    <cellStyle name="Comma 6 3 2 6 2" xfId="14865"/>
    <cellStyle name="Comma 6 3 2 7" xfId="9672"/>
    <cellStyle name="Comma 6 3 2 7 2" xfId="18499"/>
    <cellStyle name="Comma 6 3 2 8" xfId="11116"/>
    <cellStyle name="Comma 6 3 2 9" xfId="4750"/>
    <cellStyle name="Comma 6 3 3" xfId="576"/>
    <cellStyle name="Comma 6 3 3 2" xfId="2306"/>
    <cellStyle name="Comma 6 3 3 2 2" xfId="16070"/>
    <cellStyle name="Comma 6 3 3 2 3" xfId="12477"/>
    <cellStyle name="Comma 6 3 3 2 4" xfId="7056"/>
    <cellStyle name="Comma 6 3 3 3" xfId="3574"/>
    <cellStyle name="Comma 6 3 3 3 2" xfId="17219"/>
    <cellStyle name="Comma 6 3 3 3 3" xfId="13640"/>
    <cellStyle name="Comma 6 3 3 3 4" xfId="8383"/>
    <cellStyle name="Comma 6 3 3 4" xfId="6172"/>
    <cellStyle name="Comma 6 3 3 4 2" xfId="15256"/>
    <cellStyle name="Comma 6 3 3 5" xfId="9837"/>
    <cellStyle name="Comma 6 3 3 5 2" xfId="18664"/>
    <cellStyle name="Comma 6 3 3 6" xfId="11281"/>
    <cellStyle name="Comma 6 3 3 7" xfId="4650"/>
    <cellStyle name="Comma 6 3 4" xfId="934"/>
    <cellStyle name="Comma 6 3 4 2" xfId="2654"/>
    <cellStyle name="Comma 6 3 4 2 2" xfId="16195"/>
    <cellStyle name="Comma 6 3 4 2 3" xfId="12617"/>
    <cellStyle name="Comma 6 3 4 2 4" xfId="7326"/>
    <cellStyle name="Comma 6 3 4 3" xfId="3922"/>
    <cellStyle name="Comma 6 3 4 3 2" xfId="17567"/>
    <cellStyle name="Comma 6 3 4 3 3" xfId="13988"/>
    <cellStyle name="Comma 6 3 4 3 4" xfId="8731"/>
    <cellStyle name="Comma 6 3 4 4" xfId="6442"/>
    <cellStyle name="Comma 6 3 4 4 2" xfId="15526"/>
    <cellStyle name="Comma 6 3 4 5" xfId="10185"/>
    <cellStyle name="Comma 6 3 4 5 2" xfId="19012"/>
    <cellStyle name="Comma 6 3 4 6" xfId="11631"/>
    <cellStyle name="Comma 6 3 4 7" xfId="4920"/>
    <cellStyle name="Comma 6 3 5" xfId="1484"/>
    <cellStyle name="Comma 6 3 5 2" xfId="3084"/>
    <cellStyle name="Comma 6 3 5 2 2" xfId="16633"/>
    <cellStyle name="Comma 6 3 5 2 3" xfId="13054"/>
    <cellStyle name="Comma 6 3 5 2 4" xfId="7765"/>
    <cellStyle name="Comma 6 3 5 3" xfId="4292"/>
    <cellStyle name="Comma 6 3 5 3 2" xfId="17997"/>
    <cellStyle name="Comma 6 3 5 3 3" xfId="14418"/>
    <cellStyle name="Comma 6 3 5 3 4" xfId="9161"/>
    <cellStyle name="Comma 6 3 5 4" xfId="5953"/>
    <cellStyle name="Comma 6 3 5 4 2" xfId="15039"/>
    <cellStyle name="Comma 6 3 5 5" xfId="10615"/>
    <cellStyle name="Comma 6 3 5 5 2" xfId="19442"/>
    <cellStyle name="Comma 6 3 5 6" xfId="12061"/>
    <cellStyle name="Comma 6 3 5 7" xfId="5359"/>
    <cellStyle name="Comma 6 3 6" xfId="2041"/>
    <cellStyle name="Comma 6 3 6 2" xfId="15882"/>
    <cellStyle name="Comma 6 3 6 3" xfId="12314"/>
    <cellStyle name="Comma 6 3 6 4" xfId="6839"/>
    <cellStyle name="Comma 6 3 7" xfId="3454"/>
    <cellStyle name="Comma 6 3 7 2" xfId="16954"/>
    <cellStyle name="Comma 6 3 7 3" xfId="13375"/>
    <cellStyle name="Comma 6 3 7 4" xfId="8118"/>
    <cellStyle name="Comma 6 3 8" xfId="5679"/>
    <cellStyle name="Comma 6 3 8 2" xfId="14765"/>
    <cellStyle name="Comma 6 3 9" xfId="9572"/>
    <cellStyle name="Comma 6 3 9 2" xfId="18399"/>
    <cellStyle name="Comma 6 4" xfId="200"/>
    <cellStyle name="Comma 6 4 10" xfId="10954"/>
    <cellStyle name="Comma 6 4 11" xfId="4476"/>
    <cellStyle name="Comma 6 4 2" xfId="417"/>
    <cellStyle name="Comma 6 4 2 2" xfId="579"/>
    <cellStyle name="Comma 6 4 2 2 2" xfId="2309"/>
    <cellStyle name="Comma 6 4 2 2 2 2" xfId="16198"/>
    <cellStyle name="Comma 6 4 2 2 2 3" xfId="12620"/>
    <cellStyle name="Comma 6 4 2 2 2 4" xfId="7329"/>
    <cellStyle name="Comma 6 4 2 2 3" xfId="3577"/>
    <cellStyle name="Comma 6 4 2 2 3 2" xfId="17222"/>
    <cellStyle name="Comma 6 4 2 2 3 3" xfId="13643"/>
    <cellStyle name="Comma 6 4 2 2 3 4" xfId="8386"/>
    <cellStyle name="Comma 6 4 2 2 4" xfId="6445"/>
    <cellStyle name="Comma 6 4 2 2 4 2" xfId="15529"/>
    <cellStyle name="Comma 6 4 2 2 5" xfId="9840"/>
    <cellStyle name="Comma 6 4 2 2 5 2" xfId="18667"/>
    <cellStyle name="Comma 6 4 2 2 6" xfId="11284"/>
    <cellStyle name="Comma 6 4 2 2 7" xfId="4923"/>
    <cellStyle name="Comma 6 4 2 3" xfId="937"/>
    <cellStyle name="Comma 6 4 2 3 2" xfId="2657"/>
    <cellStyle name="Comma 6 4 2 3 2 2" xfId="16776"/>
    <cellStyle name="Comma 6 4 2 3 2 3" xfId="13197"/>
    <cellStyle name="Comma 6 4 2 3 2 4" xfId="7908"/>
    <cellStyle name="Comma 6 4 2 3 3" xfId="3925"/>
    <cellStyle name="Comma 6 4 2 3 3 2" xfId="17570"/>
    <cellStyle name="Comma 6 4 2 3 3 3" xfId="13991"/>
    <cellStyle name="Comma 6 4 2 3 3 4" xfId="8734"/>
    <cellStyle name="Comma 6 4 2 3 4" xfId="6315"/>
    <cellStyle name="Comma 6 4 2 3 4 2" xfId="15399"/>
    <cellStyle name="Comma 6 4 2 3 5" xfId="10188"/>
    <cellStyle name="Comma 6 4 2 3 5 2" xfId="19015"/>
    <cellStyle name="Comma 6 4 2 3 6" xfId="11634"/>
    <cellStyle name="Comma 6 4 2 3 7" xfId="5502"/>
    <cellStyle name="Comma 6 4 2 4" xfId="1631"/>
    <cellStyle name="Comma 6 4 2 4 2" xfId="3227"/>
    <cellStyle name="Comma 6 4 2 4 2 2" xfId="18140"/>
    <cellStyle name="Comma 6 4 2 4 2 3" xfId="14561"/>
    <cellStyle name="Comma 6 4 2 4 2 4" xfId="9304"/>
    <cellStyle name="Comma 6 4 2 4 3" xfId="10758"/>
    <cellStyle name="Comma 6 4 2 4 3 2" xfId="19585"/>
    <cellStyle name="Comma 6 4 2 4 4" xfId="12204"/>
    <cellStyle name="Comma 6 4 2 4 5" xfId="7199"/>
    <cellStyle name="Comma 6 4 2 5" xfId="2184"/>
    <cellStyle name="Comma 6 4 2 5 2" xfId="17097"/>
    <cellStyle name="Comma 6 4 2 5 3" xfId="13518"/>
    <cellStyle name="Comma 6 4 2 5 4" xfId="8261"/>
    <cellStyle name="Comma 6 4 2 6" xfId="5822"/>
    <cellStyle name="Comma 6 4 2 6 2" xfId="14908"/>
    <cellStyle name="Comma 6 4 2 7" xfId="9715"/>
    <cellStyle name="Comma 6 4 2 7 2" xfId="18542"/>
    <cellStyle name="Comma 6 4 2 8" xfId="11159"/>
    <cellStyle name="Comma 6 4 2 9" xfId="4793"/>
    <cellStyle name="Comma 6 4 3" xfId="578"/>
    <cellStyle name="Comma 6 4 3 2" xfId="2308"/>
    <cellStyle name="Comma 6 4 3 2 2" xfId="16008"/>
    <cellStyle name="Comma 6 4 3 2 3" xfId="10836"/>
    <cellStyle name="Comma 6 4 3 2 4" xfId="6994"/>
    <cellStyle name="Comma 6 4 3 3" xfId="3576"/>
    <cellStyle name="Comma 6 4 3 3 2" xfId="17221"/>
    <cellStyle name="Comma 6 4 3 3 3" xfId="13642"/>
    <cellStyle name="Comma 6 4 3 3 4" xfId="8385"/>
    <cellStyle name="Comma 6 4 3 4" xfId="6110"/>
    <cellStyle name="Comma 6 4 3 4 2" xfId="15194"/>
    <cellStyle name="Comma 6 4 3 5" xfId="9839"/>
    <cellStyle name="Comma 6 4 3 5 2" xfId="18666"/>
    <cellStyle name="Comma 6 4 3 6" xfId="11283"/>
    <cellStyle name="Comma 6 4 3 7" xfId="4588"/>
    <cellStyle name="Comma 6 4 4" xfId="936"/>
    <cellStyle name="Comma 6 4 4 2" xfId="2656"/>
    <cellStyle name="Comma 6 4 4 2 2" xfId="16197"/>
    <cellStyle name="Comma 6 4 4 2 3" xfId="12619"/>
    <cellStyle name="Comma 6 4 4 2 4" xfId="7328"/>
    <cellStyle name="Comma 6 4 4 3" xfId="3924"/>
    <cellStyle name="Comma 6 4 4 3 2" xfId="17569"/>
    <cellStyle name="Comma 6 4 4 3 3" xfId="13990"/>
    <cellStyle name="Comma 6 4 4 3 4" xfId="8733"/>
    <cellStyle name="Comma 6 4 4 4" xfId="6444"/>
    <cellStyle name="Comma 6 4 4 4 2" xfId="15528"/>
    <cellStyle name="Comma 6 4 4 5" xfId="10187"/>
    <cellStyle name="Comma 6 4 4 5 2" xfId="19014"/>
    <cellStyle name="Comma 6 4 4 6" xfId="11633"/>
    <cellStyle name="Comma 6 4 4 7" xfId="4922"/>
    <cellStyle name="Comma 6 4 5" xfId="1417"/>
    <cellStyle name="Comma 6 4 5 2" xfId="3022"/>
    <cellStyle name="Comma 6 4 5 2 2" xfId="16571"/>
    <cellStyle name="Comma 6 4 5 2 3" xfId="12992"/>
    <cellStyle name="Comma 6 4 5 2 4" xfId="7703"/>
    <cellStyle name="Comma 6 4 5 3" xfId="4230"/>
    <cellStyle name="Comma 6 4 5 3 2" xfId="17935"/>
    <cellStyle name="Comma 6 4 5 3 3" xfId="14356"/>
    <cellStyle name="Comma 6 4 5 3 4" xfId="9099"/>
    <cellStyle name="Comma 6 4 5 4" xfId="5996"/>
    <cellStyle name="Comma 6 4 5 4 2" xfId="15082"/>
    <cellStyle name="Comma 6 4 5 5" xfId="10553"/>
    <cellStyle name="Comma 6 4 5 5 2" xfId="19380"/>
    <cellStyle name="Comma 6 4 5 6" xfId="11999"/>
    <cellStyle name="Comma 6 4 5 7" xfId="5297"/>
    <cellStyle name="Comma 6 4 6" xfId="1979"/>
    <cellStyle name="Comma 6 4 6 2" xfId="15925"/>
    <cellStyle name="Comma 6 4 6 3" xfId="12281"/>
    <cellStyle name="Comma 6 4 6 4" xfId="6882"/>
    <cellStyle name="Comma 6 4 7" xfId="3393"/>
    <cellStyle name="Comma 6 4 7 2" xfId="16892"/>
    <cellStyle name="Comma 6 4 7 3" xfId="13313"/>
    <cellStyle name="Comma 6 4 7 4" xfId="8056"/>
    <cellStyle name="Comma 6 4 8" xfId="5617"/>
    <cellStyle name="Comma 6 4 8 2" xfId="14703"/>
    <cellStyle name="Comma 6 4 9" xfId="9510"/>
    <cellStyle name="Comma 6 4 9 2" xfId="18337"/>
    <cellStyle name="Comma 6 5" xfId="311"/>
    <cellStyle name="Comma 6 5 2" xfId="580"/>
    <cellStyle name="Comma 6 5 2 2" xfId="2310"/>
    <cellStyle name="Comma 6 5 2 2 2" xfId="16199"/>
    <cellStyle name="Comma 6 5 2 2 3" xfId="12621"/>
    <cellStyle name="Comma 6 5 2 2 4" xfId="7330"/>
    <cellStyle name="Comma 6 5 2 3" xfId="3578"/>
    <cellStyle name="Comma 6 5 2 3 2" xfId="17223"/>
    <cellStyle name="Comma 6 5 2 3 3" xfId="13644"/>
    <cellStyle name="Comma 6 5 2 3 4" xfId="8387"/>
    <cellStyle name="Comma 6 5 2 4" xfId="6446"/>
    <cellStyle name="Comma 6 5 2 4 2" xfId="15530"/>
    <cellStyle name="Comma 6 5 2 5" xfId="9841"/>
    <cellStyle name="Comma 6 5 2 5 2" xfId="18668"/>
    <cellStyle name="Comma 6 5 2 6" xfId="11285"/>
    <cellStyle name="Comma 6 5 2 7" xfId="4924"/>
    <cellStyle name="Comma 6 5 3" xfId="938"/>
    <cellStyle name="Comma 6 5 3 2" xfId="2658"/>
    <cellStyle name="Comma 6 5 3 2 2" xfId="16671"/>
    <cellStyle name="Comma 6 5 3 2 3" xfId="13092"/>
    <cellStyle name="Comma 6 5 3 2 4" xfId="7803"/>
    <cellStyle name="Comma 6 5 3 3" xfId="3926"/>
    <cellStyle name="Comma 6 5 3 3 2" xfId="17571"/>
    <cellStyle name="Comma 6 5 3 3 3" xfId="13992"/>
    <cellStyle name="Comma 6 5 3 3 4" xfId="8735"/>
    <cellStyle name="Comma 6 5 3 4" xfId="6210"/>
    <cellStyle name="Comma 6 5 3 4 2" xfId="15294"/>
    <cellStyle name="Comma 6 5 3 5" xfId="10189"/>
    <cellStyle name="Comma 6 5 3 5 2" xfId="19016"/>
    <cellStyle name="Comma 6 5 3 6" xfId="11635"/>
    <cellStyle name="Comma 6 5 3 7" xfId="5397"/>
    <cellStyle name="Comma 6 5 4" xfId="1523"/>
    <cellStyle name="Comma 6 5 4 2" xfId="3122"/>
    <cellStyle name="Comma 6 5 4 2 2" xfId="18035"/>
    <cellStyle name="Comma 6 5 4 2 3" xfId="14456"/>
    <cellStyle name="Comma 6 5 4 2 4" xfId="9199"/>
    <cellStyle name="Comma 6 5 4 3" xfId="10653"/>
    <cellStyle name="Comma 6 5 4 3 2" xfId="19480"/>
    <cellStyle name="Comma 6 5 4 4" xfId="12099"/>
    <cellStyle name="Comma 6 5 4 5" xfId="7094"/>
    <cellStyle name="Comma 6 5 5" xfId="2079"/>
    <cellStyle name="Comma 6 5 5 2" xfId="16992"/>
    <cellStyle name="Comma 6 5 5 3" xfId="13413"/>
    <cellStyle name="Comma 6 5 5 4" xfId="8156"/>
    <cellStyle name="Comma 6 5 6" xfId="5717"/>
    <cellStyle name="Comma 6 5 6 2" xfId="14803"/>
    <cellStyle name="Comma 6 5 7" xfId="9610"/>
    <cellStyle name="Comma 6 5 7 2" xfId="18437"/>
    <cellStyle name="Comma 6 5 8" xfId="11054"/>
    <cellStyle name="Comma 6 5 9" xfId="4688"/>
    <cellStyle name="Comma 6 6" xfId="470"/>
    <cellStyle name="Comma 6 6 2" xfId="581"/>
    <cellStyle name="Comma 6 6 2 2" xfId="2311"/>
    <cellStyle name="Comma 6 6 2 2 2" xfId="16200"/>
    <cellStyle name="Comma 6 6 2 2 3" xfId="12622"/>
    <cellStyle name="Comma 6 6 2 2 4" xfId="7331"/>
    <cellStyle name="Comma 6 6 2 3" xfId="3579"/>
    <cellStyle name="Comma 6 6 2 3 2" xfId="17224"/>
    <cellStyle name="Comma 6 6 2 3 3" xfId="13645"/>
    <cellStyle name="Comma 6 6 2 3 4" xfId="8388"/>
    <cellStyle name="Comma 6 6 2 4" xfId="6447"/>
    <cellStyle name="Comma 6 6 2 4 2" xfId="15531"/>
    <cellStyle name="Comma 6 6 2 5" xfId="9842"/>
    <cellStyle name="Comma 6 6 2 5 2" xfId="18669"/>
    <cellStyle name="Comma 6 6 2 6" xfId="11286"/>
    <cellStyle name="Comma 6 6 2 7" xfId="4925"/>
    <cellStyle name="Comma 6 6 3" xfId="939"/>
    <cellStyle name="Comma 6 6 3 2" xfId="2659"/>
    <cellStyle name="Comma 6 6 3 2 2" xfId="16508"/>
    <cellStyle name="Comma 6 6 3 2 3" xfId="12930"/>
    <cellStyle name="Comma 6 6 3 2 4" xfId="7640"/>
    <cellStyle name="Comma 6 6 3 3" xfId="3927"/>
    <cellStyle name="Comma 6 6 3 3 2" xfId="17572"/>
    <cellStyle name="Comma 6 6 3 3 3" xfId="13993"/>
    <cellStyle name="Comma 6 6 3 3 4" xfId="8736"/>
    <cellStyle name="Comma 6 6 3 4" xfId="6745"/>
    <cellStyle name="Comma 6 6 3 4 2" xfId="15828"/>
    <cellStyle name="Comma 6 6 3 5" xfId="10190"/>
    <cellStyle name="Comma 6 6 3 5 2" xfId="19017"/>
    <cellStyle name="Comma 6 6 3 6" xfId="11636"/>
    <cellStyle name="Comma 6 6 3 7" xfId="5234"/>
    <cellStyle name="Comma 6 6 4" xfId="1346"/>
    <cellStyle name="Comma 6 6 4 2" xfId="2959"/>
    <cellStyle name="Comma 6 6 4 2 2" xfId="17872"/>
    <cellStyle name="Comma 6 6 4 2 3" xfId="14293"/>
    <cellStyle name="Comma 6 6 4 2 4" xfId="9036"/>
    <cellStyle name="Comma 6 6 4 3" xfId="10490"/>
    <cellStyle name="Comma 6 6 4 3 2" xfId="19317"/>
    <cellStyle name="Comma 6 6 4 4" xfId="11936"/>
    <cellStyle name="Comma 6 6 4 5" xfId="6931"/>
    <cellStyle name="Comma 6 6 5" xfId="1916"/>
    <cellStyle name="Comma 6 6 5 2" xfId="16827"/>
    <cellStyle name="Comma 6 6 5 3" xfId="13248"/>
    <cellStyle name="Comma 6 6 5 4" xfId="7991"/>
    <cellStyle name="Comma 6 6 6" xfId="6047"/>
    <cellStyle name="Comma 6 6 6 2" xfId="15131"/>
    <cellStyle name="Comma 6 6 7" xfId="9447"/>
    <cellStyle name="Comma 6 6 7 2" xfId="18274"/>
    <cellStyle name="Comma 6 6 8" xfId="10891"/>
    <cellStyle name="Comma 6 6 9" xfId="4525"/>
    <cellStyle name="Comma 6 7" xfId="570"/>
    <cellStyle name="Comma 6 7 2" xfId="2300"/>
    <cellStyle name="Comma 6 7 2 2" xfId="16189"/>
    <cellStyle name="Comma 6 7 2 3" xfId="12611"/>
    <cellStyle name="Comma 6 7 2 4" xfId="7320"/>
    <cellStyle name="Comma 6 7 3" xfId="3568"/>
    <cellStyle name="Comma 6 7 3 2" xfId="17213"/>
    <cellStyle name="Comma 6 7 3 3" xfId="13634"/>
    <cellStyle name="Comma 6 7 3 4" xfId="8377"/>
    <cellStyle name="Comma 6 7 4" xfId="6436"/>
    <cellStyle name="Comma 6 7 4 2" xfId="15520"/>
    <cellStyle name="Comma 6 7 5" xfId="9831"/>
    <cellStyle name="Comma 6 7 5 2" xfId="18658"/>
    <cellStyle name="Comma 6 7 6" xfId="11275"/>
    <cellStyle name="Comma 6 7 7" xfId="4914"/>
    <cellStyle name="Comma 6 8" xfId="928"/>
    <cellStyle name="Comma 6 8 2" xfId="2648"/>
    <cellStyle name="Comma 6 8 2 2" xfId="16488"/>
    <cellStyle name="Comma 6 8 2 3" xfId="12910"/>
    <cellStyle name="Comma 6 8 2 4" xfId="7620"/>
    <cellStyle name="Comma 6 8 3" xfId="3916"/>
    <cellStyle name="Comma 6 8 3 2" xfId="17561"/>
    <cellStyle name="Comma 6 8 3 3" xfId="13982"/>
    <cellStyle name="Comma 6 8 3 4" xfId="8725"/>
    <cellStyle name="Comma 6 8 4" xfId="5890"/>
    <cellStyle name="Comma 6 8 4 2" xfId="14976"/>
    <cellStyle name="Comma 6 8 5" xfId="10179"/>
    <cellStyle name="Comma 6 8 5 2" xfId="19006"/>
    <cellStyle name="Comma 6 8 6" xfId="11625"/>
    <cellStyle name="Comma 6 8 7" xfId="5214"/>
    <cellStyle name="Comma 6 9" xfId="1300"/>
    <cellStyle name="Comma 6 9 2" xfId="2939"/>
    <cellStyle name="Comma 6 9 2 2" xfId="17852"/>
    <cellStyle name="Comma 6 9 2 3" xfId="14273"/>
    <cellStyle name="Comma 6 9 2 4" xfId="9016"/>
    <cellStyle name="Comma 6 9 3" xfId="10470"/>
    <cellStyle name="Comma 6 9 3 2" xfId="19297"/>
    <cellStyle name="Comma 6 9 4" xfId="11916"/>
    <cellStyle name="Comma 6 9 5" xfId="6776"/>
    <cellStyle name="Comma 7" xfId="104"/>
    <cellStyle name="Explanatory Text 2" xfId="1834"/>
    <cellStyle name="Good 2" xfId="1836"/>
    <cellStyle name="Heading 1 2" xfId="1867"/>
    <cellStyle name="Heading 2 2" xfId="3297"/>
    <cellStyle name="Heading 3 2" xfId="3277"/>
    <cellStyle name="Heading 4 2" xfId="3333"/>
    <cellStyle name="Input 2" xfId="3292"/>
    <cellStyle name="Input 3" xfId="3330"/>
    <cellStyle name="Linked Cell 2" xfId="3307"/>
    <cellStyle name="Neutral 2" xfId="3323"/>
    <cellStyle name="Normal" xfId="0" builtinId="0"/>
    <cellStyle name="Normal 10" xfId="92"/>
    <cellStyle name="Normal 10 10" xfId="1839"/>
    <cellStyle name="Normal 10 10 2" xfId="18202"/>
    <cellStyle name="Normal 10 10 3" xfId="9375"/>
    <cellStyle name="Normal 10 11" xfId="3322"/>
    <cellStyle name="Normal 10 11 2" xfId="10813"/>
    <cellStyle name="Normal 10 2" xfId="135"/>
    <cellStyle name="Normal 10 2 10" xfId="1907"/>
    <cellStyle name="Normal 10 2 10 2" xfId="9438"/>
    <cellStyle name="Normal 10 2 10 2 2" xfId="18265"/>
    <cellStyle name="Normal 10 2 10 3" xfId="10882"/>
    <cellStyle name="Normal 10 2 10 4" xfId="7982"/>
    <cellStyle name="Normal 10 2 11" xfId="1843"/>
    <cellStyle name="Normal 10 2 11 2" xfId="14651"/>
    <cellStyle name="Normal 10 2 11 3" xfId="5565"/>
    <cellStyle name="Normal 10 2 12" xfId="9379"/>
    <cellStyle name="Normal 10 2 12 2" xfId="18206"/>
    <cellStyle name="Normal 10 2 13" xfId="10818"/>
    <cellStyle name="Normal 10 2 14" xfId="4364"/>
    <cellStyle name="Normal 10 2 2" xfId="159"/>
    <cellStyle name="Normal 10 2 2 10" xfId="5590"/>
    <cellStyle name="Normal 10 2 2 10 2" xfId="14676"/>
    <cellStyle name="Normal 10 2 2 11" xfId="9408"/>
    <cellStyle name="Normal 10 2 2 11 2" xfId="18235"/>
    <cellStyle name="Normal 10 2 2 12" xfId="10852"/>
    <cellStyle name="Normal 10 2 2 13" xfId="4401"/>
    <cellStyle name="Normal 10 2 2 2" xfId="276"/>
    <cellStyle name="Normal 10 2 2 2 10" xfId="11027"/>
    <cellStyle name="Normal 10 2 2 2 11" xfId="4444"/>
    <cellStyle name="Normal 10 2 2 2 2" xfId="384"/>
    <cellStyle name="Normal 10 2 2 2 2 2" xfId="586"/>
    <cellStyle name="Normal 10 2 2 2 2 2 2" xfId="2316"/>
    <cellStyle name="Normal 10 2 2 2 2 2 2 2" xfId="16205"/>
    <cellStyle name="Normal 10 2 2 2 2 2 2 3" xfId="12627"/>
    <cellStyle name="Normal 10 2 2 2 2 2 2 4" xfId="7336"/>
    <cellStyle name="Normal 10 2 2 2 2 2 3" xfId="3584"/>
    <cellStyle name="Normal 10 2 2 2 2 2 3 2" xfId="17229"/>
    <cellStyle name="Normal 10 2 2 2 2 2 3 3" xfId="13650"/>
    <cellStyle name="Normal 10 2 2 2 2 2 3 4" xfId="8393"/>
    <cellStyle name="Normal 10 2 2 2 2 2 4" xfId="6452"/>
    <cellStyle name="Normal 10 2 2 2 2 2 4 2" xfId="15536"/>
    <cellStyle name="Normal 10 2 2 2 2 2 5" xfId="9847"/>
    <cellStyle name="Normal 10 2 2 2 2 2 5 2" xfId="18674"/>
    <cellStyle name="Normal 10 2 2 2 2 2 6" xfId="11291"/>
    <cellStyle name="Normal 10 2 2 2 2 2 7" xfId="4930"/>
    <cellStyle name="Normal 10 2 2 2 2 3" xfId="944"/>
    <cellStyle name="Normal 10 2 2 2 2 3 2" xfId="2664"/>
    <cellStyle name="Normal 10 2 2 2 2 3 2 2" xfId="16744"/>
    <cellStyle name="Normal 10 2 2 2 2 3 2 3" xfId="13165"/>
    <cellStyle name="Normal 10 2 2 2 2 3 2 4" xfId="7876"/>
    <cellStyle name="Normal 10 2 2 2 2 3 3" xfId="3932"/>
    <cellStyle name="Normal 10 2 2 2 2 3 3 2" xfId="17577"/>
    <cellStyle name="Normal 10 2 2 2 2 3 3 3" xfId="13998"/>
    <cellStyle name="Normal 10 2 2 2 2 3 3 4" xfId="8741"/>
    <cellStyle name="Normal 10 2 2 2 2 3 4" xfId="6283"/>
    <cellStyle name="Normal 10 2 2 2 2 3 4 2" xfId="15367"/>
    <cellStyle name="Normal 10 2 2 2 2 3 5" xfId="10195"/>
    <cellStyle name="Normal 10 2 2 2 2 3 5 2" xfId="19022"/>
    <cellStyle name="Normal 10 2 2 2 2 3 6" xfId="11641"/>
    <cellStyle name="Normal 10 2 2 2 2 3 7" xfId="5470"/>
    <cellStyle name="Normal 10 2 2 2 2 4" xfId="1598"/>
    <cellStyle name="Normal 10 2 2 2 2 4 2" xfId="3195"/>
    <cellStyle name="Normal 10 2 2 2 2 4 2 2" xfId="18108"/>
    <cellStyle name="Normal 10 2 2 2 2 4 2 3" xfId="14529"/>
    <cellStyle name="Normal 10 2 2 2 2 4 2 4" xfId="9272"/>
    <cellStyle name="Normal 10 2 2 2 2 4 3" xfId="10726"/>
    <cellStyle name="Normal 10 2 2 2 2 4 3 2" xfId="19553"/>
    <cellStyle name="Normal 10 2 2 2 2 4 4" xfId="12172"/>
    <cellStyle name="Normal 10 2 2 2 2 4 5" xfId="7167"/>
    <cellStyle name="Normal 10 2 2 2 2 5" xfId="2152"/>
    <cellStyle name="Normal 10 2 2 2 2 5 2" xfId="17065"/>
    <cellStyle name="Normal 10 2 2 2 2 5 3" xfId="13486"/>
    <cellStyle name="Normal 10 2 2 2 2 5 4" xfId="8229"/>
    <cellStyle name="Normal 10 2 2 2 2 6" xfId="5790"/>
    <cellStyle name="Normal 10 2 2 2 2 6 2" xfId="14876"/>
    <cellStyle name="Normal 10 2 2 2 2 7" xfId="9683"/>
    <cellStyle name="Normal 10 2 2 2 2 7 2" xfId="18510"/>
    <cellStyle name="Normal 10 2 2 2 2 8" xfId="11127"/>
    <cellStyle name="Normal 10 2 2 2 2 9" xfId="4761"/>
    <cellStyle name="Normal 10 2 2 2 2_Degree data" xfId="1269"/>
    <cellStyle name="Normal 10 2 2 2 3" xfId="585"/>
    <cellStyle name="Normal 10 2 2 2 3 2" xfId="2315"/>
    <cellStyle name="Normal 10 2 2 2 3 2 2" xfId="16081"/>
    <cellStyle name="Normal 10 2 2 2 3 2 3" xfId="12319"/>
    <cellStyle name="Normal 10 2 2 2 3 2 4" xfId="7067"/>
    <cellStyle name="Normal 10 2 2 2 3 3" xfId="3583"/>
    <cellStyle name="Normal 10 2 2 2 3 3 2" xfId="17228"/>
    <cellStyle name="Normal 10 2 2 2 3 3 3" xfId="13649"/>
    <cellStyle name="Normal 10 2 2 2 3 3 4" xfId="8392"/>
    <cellStyle name="Normal 10 2 2 2 3 4" xfId="6183"/>
    <cellStyle name="Normal 10 2 2 2 3 4 2" xfId="15267"/>
    <cellStyle name="Normal 10 2 2 2 3 5" xfId="9846"/>
    <cellStyle name="Normal 10 2 2 2 3 5 2" xfId="18673"/>
    <cellStyle name="Normal 10 2 2 2 3 6" xfId="11290"/>
    <cellStyle name="Normal 10 2 2 2 3 7" xfId="4661"/>
    <cellStyle name="Normal 10 2 2 2 4" xfId="943"/>
    <cellStyle name="Normal 10 2 2 2 4 2" xfId="2663"/>
    <cellStyle name="Normal 10 2 2 2 4 2 2" xfId="16204"/>
    <cellStyle name="Normal 10 2 2 2 4 2 3" xfId="12626"/>
    <cellStyle name="Normal 10 2 2 2 4 2 4" xfId="7335"/>
    <cellStyle name="Normal 10 2 2 2 4 3" xfId="3931"/>
    <cellStyle name="Normal 10 2 2 2 4 3 2" xfId="17576"/>
    <cellStyle name="Normal 10 2 2 2 4 3 3" xfId="13997"/>
    <cellStyle name="Normal 10 2 2 2 4 3 4" xfId="8740"/>
    <cellStyle name="Normal 10 2 2 2 4 4" xfId="6451"/>
    <cellStyle name="Normal 10 2 2 2 4 4 2" xfId="15535"/>
    <cellStyle name="Normal 10 2 2 2 4 5" xfId="10194"/>
    <cellStyle name="Normal 10 2 2 2 4 5 2" xfId="19021"/>
    <cellStyle name="Normal 10 2 2 2 4 6" xfId="11640"/>
    <cellStyle name="Normal 10 2 2 2 4 7" xfId="4929"/>
    <cellStyle name="Normal 10 2 2 2 5" xfId="1496"/>
    <cellStyle name="Normal 10 2 2 2 5 2" xfId="3095"/>
    <cellStyle name="Normal 10 2 2 2 5 2 2" xfId="16644"/>
    <cellStyle name="Normal 10 2 2 2 5 2 3" xfId="13065"/>
    <cellStyle name="Normal 10 2 2 2 5 2 4" xfId="7776"/>
    <cellStyle name="Normal 10 2 2 2 5 3" xfId="4303"/>
    <cellStyle name="Normal 10 2 2 2 5 3 2" xfId="18008"/>
    <cellStyle name="Normal 10 2 2 2 5 3 3" xfId="14429"/>
    <cellStyle name="Normal 10 2 2 2 5 3 4" xfId="9172"/>
    <cellStyle name="Normal 10 2 2 2 5 4" xfId="5964"/>
    <cellStyle name="Normal 10 2 2 2 5 4 2" xfId="15050"/>
    <cellStyle name="Normal 10 2 2 2 5 5" xfId="10626"/>
    <cellStyle name="Normal 10 2 2 2 5 5 2" xfId="19453"/>
    <cellStyle name="Normal 10 2 2 2 5 6" xfId="12072"/>
    <cellStyle name="Normal 10 2 2 2 5 7" xfId="5370"/>
    <cellStyle name="Normal 10 2 2 2 6" xfId="2052"/>
    <cellStyle name="Normal 10 2 2 2 6 2" xfId="15893"/>
    <cellStyle name="Normal 10 2 2 2 6 3" xfId="12283"/>
    <cellStyle name="Normal 10 2 2 2 6 4" xfId="6850"/>
    <cellStyle name="Normal 10 2 2 2 7" xfId="3465"/>
    <cellStyle name="Normal 10 2 2 2 7 2" xfId="16965"/>
    <cellStyle name="Normal 10 2 2 2 7 3" xfId="13386"/>
    <cellStyle name="Normal 10 2 2 2 7 4" xfId="8129"/>
    <cellStyle name="Normal 10 2 2 2 8" xfId="5690"/>
    <cellStyle name="Normal 10 2 2 2 8 2" xfId="14776"/>
    <cellStyle name="Normal 10 2 2 2 9" xfId="9583"/>
    <cellStyle name="Normal 10 2 2 2 9 2" xfId="18410"/>
    <cellStyle name="Normal 10 2 2 2_Degree data" xfId="1266"/>
    <cellStyle name="Normal 10 2 2 3" xfId="233"/>
    <cellStyle name="Normal 10 2 2 3 10" xfId="10984"/>
    <cellStyle name="Normal 10 2 2 3 11" xfId="4505"/>
    <cellStyle name="Normal 10 2 2 3 2" xfId="446"/>
    <cellStyle name="Normal 10 2 2 3 2 2" xfId="588"/>
    <cellStyle name="Normal 10 2 2 3 2 2 2" xfId="2318"/>
    <cellStyle name="Normal 10 2 2 3 2 2 2 2" xfId="16207"/>
    <cellStyle name="Normal 10 2 2 3 2 2 2 3" xfId="12629"/>
    <cellStyle name="Normal 10 2 2 3 2 2 2 4" xfId="7338"/>
    <cellStyle name="Normal 10 2 2 3 2 2 3" xfId="3586"/>
    <cellStyle name="Normal 10 2 2 3 2 2 3 2" xfId="17231"/>
    <cellStyle name="Normal 10 2 2 3 2 2 3 3" xfId="13652"/>
    <cellStyle name="Normal 10 2 2 3 2 2 3 4" xfId="8395"/>
    <cellStyle name="Normal 10 2 2 3 2 2 4" xfId="6454"/>
    <cellStyle name="Normal 10 2 2 3 2 2 4 2" xfId="15538"/>
    <cellStyle name="Normal 10 2 2 3 2 2 5" xfId="9849"/>
    <cellStyle name="Normal 10 2 2 3 2 2 5 2" xfId="18676"/>
    <cellStyle name="Normal 10 2 2 3 2 2 6" xfId="11293"/>
    <cellStyle name="Normal 10 2 2 3 2 2 7" xfId="4932"/>
    <cellStyle name="Normal 10 2 2 3 2 3" xfId="946"/>
    <cellStyle name="Normal 10 2 2 3 2 3 2" xfId="2666"/>
    <cellStyle name="Normal 10 2 2 3 2 3 2 2" xfId="16805"/>
    <cellStyle name="Normal 10 2 2 3 2 3 2 3" xfId="13226"/>
    <cellStyle name="Normal 10 2 2 3 2 3 2 4" xfId="7937"/>
    <cellStyle name="Normal 10 2 2 3 2 3 3" xfId="3934"/>
    <cellStyle name="Normal 10 2 2 3 2 3 3 2" xfId="17579"/>
    <cellStyle name="Normal 10 2 2 3 2 3 3 3" xfId="14000"/>
    <cellStyle name="Normal 10 2 2 3 2 3 3 4" xfId="8743"/>
    <cellStyle name="Normal 10 2 2 3 2 3 4" xfId="6344"/>
    <cellStyle name="Normal 10 2 2 3 2 3 4 2" xfId="15428"/>
    <cellStyle name="Normal 10 2 2 3 2 3 5" xfId="10197"/>
    <cellStyle name="Normal 10 2 2 3 2 3 5 2" xfId="19024"/>
    <cellStyle name="Normal 10 2 2 3 2 3 6" xfId="11643"/>
    <cellStyle name="Normal 10 2 2 3 2 3 7" xfId="5531"/>
    <cellStyle name="Normal 10 2 2 3 2 4" xfId="1660"/>
    <cellStyle name="Normal 10 2 2 3 2 4 2" xfId="3256"/>
    <cellStyle name="Normal 10 2 2 3 2 4 2 2" xfId="18169"/>
    <cellStyle name="Normal 10 2 2 3 2 4 2 3" xfId="14590"/>
    <cellStyle name="Normal 10 2 2 3 2 4 2 4" xfId="9333"/>
    <cellStyle name="Normal 10 2 2 3 2 4 3" xfId="10787"/>
    <cellStyle name="Normal 10 2 2 3 2 4 3 2" xfId="19614"/>
    <cellStyle name="Normal 10 2 2 3 2 4 4" xfId="12233"/>
    <cellStyle name="Normal 10 2 2 3 2 4 5" xfId="7228"/>
    <cellStyle name="Normal 10 2 2 3 2 5" xfId="2213"/>
    <cellStyle name="Normal 10 2 2 3 2 5 2" xfId="17126"/>
    <cellStyle name="Normal 10 2 2 3 2 5 3" xfId="13547"/>
    <cellStyle name="Normal 10 2 2 3 2 5 4" xfId="8290"/>
    <cellStyle name="Normal 10 2 2 3 2 6" xfId="5851"/>
    <cellStyle name="Normal 10 2 2 3 2 6 2" xfId="14937"/>
    <cellStyle name="Normal 10 2 2 3 2 7" xfId="9744"/>
    <cellStyle name="Normal 10 2 2 3 2 7 2" xfId="18571"/>
    <cellStyle name="Normal 10 2 2 3 2 8" xfId="11188"/>
    <cellStyle name="Normal 10 2 2 3 2 9" xfId="4822"/>
    <cellStyle name="Normal 10 2 2 3 2_Degree data" xfId="1380"/>
    <cellStyle name="Normal 10 2 2 3 3" xfId="587"/>
    <cellStyle name="Normal 10 2 2 3 3 2" xfId="2317"/>
    <cellStyle name="Normal 10 2 2 3 3 2 2" xfId="16038"/>
    <cellStyle name="Normal 10 2 2 3 3 2 3" xfId="12330"/>
    <cellStyle name="Normal 10 2 2 3 3 2 4" xfId="7024"/>
    <cellStyle name="Normal 10 2 2 3 3 3" xfId="3585"/>
    <cellStyle name="Normal 10 2 2 3 3 3 2" xfId="17230"/>
    <cellStyle name="Normal 10 2 2 3 3 3 3" xfId="13651"/>
    <cellStyle name="Normal 10 2 2 3 3 3 4" xfId="8394"/>
    <cellStyle name="Normal 10 2 2 3 3 4" xfId="6140"/>
    <cellStyle name="Normal 10 2 2 3 3 4 2" xfId="15224"/>
    <cellStyle name="Normal 10 2 2 3 3 5" xfId="9848"/>
    <cellStyle name="Normal 10 2 2 3 3 5 2" xfId="18675"/>
    <cellStyle name="Normal 10 2 2 3 3 6" xfId="11292"/>
    <cellStyle name="Normal 10 2 2 3 3 7" xfId="4618"/>
    <cellStyle name="Normal 10 2 2 3 4" xfId="945"/>
    <cellStyle name="Normal 10 2 2 3 4 2" xfId="2665"/>
    <cellStyle name="Normal 10 2 2 3 4 2 2" xfId="16206"/>
    <cellStyle name="Normal 10 2 2 3 4 2 3" xfId="12628"/>
    <cellStyle name="Normal 10 2 2 3 4 2 4" xfId="7337"/>
    <cellStyle name="Normal 10 2 2 3 4 3" xfId="3933"/>
    <cellStyle name="Normal 10 2 2 3 4 3 2" xfId="17578"/>
    <cellStyle name="Normal 10 2 2 3 4 3 3" xfId="13999"/>
    <cellStyle name="Normal 10 2 2 3 4 3 4" xfId="8742"/>
    <cellStyle name="Normal 10 2 2 3 4 4" xfId="6453"/>
    <cellStyle name="Normal 10 2 2 3 4 4 2" xfId="15537"/>
    <cellStyle name="Normal 10 2 2 3 4 5" xfId="10196"/>
    <cellStyle name="Normal 10 2 2 3 4 5 2" xfId="19023"/>
    <cellStyle name="Normal 10 2 2 3 4 6" xfId="11642"/>
    <cellStyle name="Normal 10 2 2 3 4 7" xfId="4931"/>
    <cellStyle name="Normal 10 2 2 3 5" xfId="1451"/>
    <cellStyle name="Normal 10 2 2 3 5 2" xfId="3052"/>
    <cellStyle name="Normal 10 2 2 3 5 2 2" xfId="16601"/>
    <cellStyle name="Normal 10 2 2 3 5 2 3" xfId="13022"/>
    <cellStyle name="Normal 10 2 2 3 5 2 4" xfId="7733"/>
    <cellStyle name="Normal 10 2 2 3 5 3" xfId="4260"/>
    <cellStyle name="Normal 10 2 2 3 5 3 2" xfId="17965"/>
    <cellStyle name="Normal 10 2 2 3 5 3 3" xfId="14386"/>
    <cellStyle name="Normal 10 2 2 3 5 3 4" xfId="9129"/>
    <cellStyle name="Normal 10 2 2 3 5 4" xfId="6025"/>
    <cellStyle name="Normal 10 2 2 3 5 4 2" xfId="15111"/>
    <cellStyle name="Normal 10 2 2 3 5 5" xfId="10583"/>
    <cellStyle name="Normal 10 2 2 3 5 5 2" xfId="19410"/>
    <cellStyle name="Normal 10 2 2 3 5 6" xfId="12029"/>
    <cellStyle name="Normal 10 2 2 3 5 7" xfId="5327"/>
    <cellStyle name="Normal 10 2 2 3 6" xfId="2009"/>
    <cellStyle name="Normal 10 2 2 3 6 2" xfId="15954"/>
    <cellStyle name="Normal 10 2 2 3 6 3" xfId="12352"/>
    <cellStyle name="Normal 10 2 2 3 6 4" xfId="6911"/>
    <cellStyle name="Normal 10 2 2 3 7" xfId="3422"/>
    <cellStyle name="Normal 10 2 2 3 7 2" xfId="16922"/>
    <cellStyle name="Normal 10 2 2 3 7 3" xfId="13343"/>
    <cellStyle name="Normal 10 2 2 3 7 4" xfId="8086"/>
    <cellStyle name="Normal 10 2 2 3 8" xfId="5647"/>
    <cellStyle name="Normal 10 2 2 3 8 2" xfId="14733"/>
    <cellStyle name="Normal 10 2 2 3 9" xfId="9540"/>
    <cellStyle name="Normal 10 2 2 3 9 2" xfId="18367"/>
    <cellStyle name="Normal 10 2 2 3_Degree data" xfId="1254"/>
    <cellStyle name="Normal 10 2 2 4" xfId="341"/>
    <cellStyle name="Normal 10 2 2 4 2" xfId="589"/>
    <cellStyle name="Normal 10 2 2 4 2 2" xfId="2319"/>
    <cellStyle name="Normal 10 2 2 4 2 2 2" xfId="16208"/>
    <cellStyle name="Normal 10 2 2 4 2 2 3" xfId="12630"/>
    <cellStyle name="Normal 10 2 2 4 2 2 4" xfId="7339"/>
    <cellStyle name="Normal 10 2 2 4 2 3" xfId="3587"/>
    <cellStyle name="Normal 10 2 2 4 2 3 2" xfId="17232"/>
    <cellStyle name="Normal 10 2 2 4 2 3 3" xfId="13653"/>
    <cellStyle name="Normal 10 2 2 4 2 3 4" xfId="8396"/>
    <cellStyle name="Normal 10 2 2 4 2 4" xfId="6455"/>
    <cellStyle name="Normal 10 2 2 4 2 4 2" xfId="15539"/>
    <cellStyle name="Normal 10 2 2 4 2 5" xfId="9850"/>
    <cellStyle name="Normal 10 2 2 4 2 5 2" xfId="18677"/>
    <cellStyle name="Normal 10 2 2 4 2 6" xfId="11294"/>
    <cellStyle name="Normal 10 2 2 4 2 7" xfId="4933"/>
    <cellStyle name="Normal 10 2 2 4 3" xfId="947"/>
    <cellStyle name="Normal 10 2 2 4 3 2" xfId="2667"/>
    <cellStyle name="Normal 10 2 2 4 3 2 2" xfId="16701"/>
    <cellStyle name="Normal 10 2 2 4 3 2 3" xfId="13122"/>
    <cellStyle name="Normal 10 2 2 4 3 2 4" xfId="7833"/>
    <cellStyle name="Normal 10 2 2 4 3 3" xfId="3935"/>
    <cellStyle name="Normal 10 2 2 4 3 3 2" xfId="17580"/>
    <cellStyle name="Normal 10 2 2 4 3 3 3" xfId="14001"/>
    <cellStyle name="Normal 10 2 2 4 3 3 4" xfId="8744"/>
    <cellStyle name="Normal 10 2 2 4 3 4" xfId="6240"/>
    <cellStyle name="Normal 10 2 2 4 3 4 2" xfId="15324"/>
    <cellStyle name="Normal 10 2 2 4 3 5" xfId="10198"/>
    <cellStyle name="Normal 10 2 2 4 3 5 2" xfId="19025"/>
    <cellStyle name="Normal 10 2 2 4 3 6" xfId="11644"/>
    <cellStyle name="Normal 10 2 2 4 3 7" xfId="5427"/>
    <cellStyle name="Normal 10 2 2 4 4" xfId="1553"/>
    <cellStyle name="Normal 10 2 2 4 4 2" xfId="3152"/>
    <cellStyle name="Normal 10 2 2 4 4 2 2" xfId="18065"/>
    <cellStyle name="Normal 10 2 2 4 4 2 3" xfId="14486"/>
    <cellStyle name="Normal 10 2 2 4 4 2 4" xfId="9229"/>
    <cellStyle name="Normal 10 2 2 4 4 3" xfId="10683"/>
    <cellStyle name="Normal 10 2 2 4 4 3 2" xfId="19510"/>
    <cellStyle name="Normal 10 2 2 4 4 4" xfId="12129"/>
    <cellStyle name="Normal 10 2 2 4 4 5" xfId="7124"/>
    <cellStyle name="Normal 10 2 2 4 5" xfId="2109"/>
    <cellStyle name="Normal 10 2 2 4 5 2" xfId="17022"/>
    <cellStyle name="Normal 10 2 2 4 5 3" xfId="13443"/>
    <cellStyle name="Normal 10 2 2 4 5 4" xfId="8186"/>
    <cellStyle name="Normal 10 2 2 4 6" xfId="5747"/>
    <cellStyle name="Normal 10 2 2 4 6 2" xfId="14833"/>
    <cellStyle name="Normal 10 2 2 4 7" xfId="9640"/>
    <cellStyle name="Normal 10 2 2 4 7 2" xfId="18467"/>
    <cellStyle name="Normal 10 2 2 4 8" xfId="11084"/>
    <cellStyle name="Normal 10 2 2 4 9" xfId="4718"/>
    <cellStyle name="Normal 10 2 2 4_Degree data" xfId="1395"/>
    <cellStyle name="Normal 10 2 2 5" xfId="584"/>
    <cellStyle name="Normal 10 2 2 5 2" xfId="2314"/>
    <cellStyle name="Normal 10 2 2 5 2 2" xfId="15988"/>
    <cellStyle name="Normal 10 2 2 5 2 3" xfId="12344"/>
    <cellStyle name="Normal 10 2 2 5 2 4" xfId="6967"/>
    <cellStyle name="Normal 10 2 2 5 3" xfId="3582"/>
    <cellStyle name="Normal 10 2 2 5 3 2" xfId="17227"/>
    <cellStyle name="Normal 10 2 2 5 3 3" xfId="13648"/>
    <cellStyle name="Normal 10 2 2 5 3 4" xfId="8391"/>
    <cellStyle name="Normal 10 2 2 5 4" xfId="6083"/>
    <cellStyle name="Normal 10 2 2 5 4 2" xfId="15167"/>
    <cellStyle name="Normal 10 2 2 5 5" xfId="9845"/>
    <cellStyle name="Normal 10 2 2 5 5 2" xfId="18672"/>
    <cellStyle name="Normal 10 2 2 5 6" xfId="11289"/>
    <cellStyle name="Normal 10 2 2 5 7" xfId="4561"/>
    <cellStyle name="Normal 10 2 2 6" xfId="942"/>
    <cellStyle name="Normal 10 2 2 6 2" xfId="2662"/>
    <cellStyle name="Normal 10 2 2 6 2 2" xfId="16203"/>
    <cellStyle name="Normal 10 2 2 6 2 3" xfId="12625"/>
    <cellStyle name="Normal 10 2 2 6 2 4" xfId="7334"/>
    <cellStyle name="Normal 10 2 2 6 3" xfId="3930"/>
    <cellStyle name="Normal 10 2 2 6 3 2" xfId="17575"/>
    <cellStyle name="Normal 10 2 2 6 3 3" xfId="13996"/>
    <cellStyle name="Normal 10 2 2 6 3 4" xfId="8739"/>
    <cellStyle name="Normal 10 2 2 6 4" xfId="6450"/>
    <cellStyle name="Normal 10 2 2 6 4 2" xfId="15534"/>
    <cellStyle name="Normal 10 2 2 6 5" xfId="10193"/>
    <cellStyle name="Normal 10 2 2 6 5 2" xfId="19020"/>
    <cellStyle name="Normal 10 2 2 6 6" xfId="11639"/>
    <cellStyle name="Normal 10 2 2 6 7" xfId="4928"/>
    <cellStyle name="Normal 10 2 2 7" xfId="1386"/>
    <cellStyle name="Normal 10 2 2 7 2" xfId="2995"/>
    <cellStyle name="Normal 10 2 2 7 2 2" xfId="16544"/>
    <cellStyle name="Normal 10 2 2 7 2 3" xfId="12965"/>
    <cellStyle name="Normal 10 2 2 7 2 4" xfId="7676"/>
    <cellStyle name="Normal 10 2 2 7 3" xfId="4210"/>
    <cellStyle name="Normal 10 2 2 7 3 2" xfId="17908"/>
    <cellStyle name="Normal 10 2 2 7 3 3" xfId="14329"/>
    <cellStyle name="Normal 10 2 2 7 3 4" xfId="9072"/>
    <cellStyle name="Normal 10 2 2 7 4" xfId="5921"/>
    <cellStyle name="Normal 10 2 2 7 4 2" xfId="15007"/>
    <cellStyle name="Normal 10 2 2 7 5" xfId="10526"/>
    <cellStyle name="Normal 10 2 2 7 5 2" xfId="19353"/>
    <cellStyle name="Normal 10 2 2 7 6" xfId="11972"/>
    <cellStyle name="Normal 10 2 2 7 7" xfId="5270"/>
    <cellStyle name="Normal 10 2 2 8" xfId="1952"/>
    <cellStyle name="Normal 10 2 2 8 2" xfId="9483"/>
    <cellStyle name="Normal 10 2 2 8 2 2" xfId="18310"/>
    <cellStyle name="Normal 10 2 2 8 3" xfId="10927"/>
    <cellStyle name="Normal 10 2 2 8 4" xfId="6807"/>
    <cellStyle name="Normal 10 2 2 9" xfId="1877"/>
    <cellStyle name="Normal 10 2 2 9 2" xfId="16863"/>
    <cellStyle name="Normal 10 2 2 9 3" xfId="13284"/>
    <cellStyle name="Normal 10 2 2 9 4" xfId="8027"/>
    <cellStyle name="Normal 10 2 2_Degree data" xfId="1212"/>
    <cellStyle name="Normal 10 2 3" xfId="251"/>
    <cellStyle name="Normal 10 2 3 10" xfId="11002"/>
    <cellStyle name="Normal 10 2 3 11" xfId="4419"/>
    <cellStyle name="Normal 10 2 3 2" xfId="359"/>
    <cellStyle name="Normal 10 2 3 2 2" xfId="591"/>
    <cellStyle name="Normal 10 2 3 2 2 2" xfId="2321"/>
    <cellStyle name="Normal 10 2 3 2 2 2 2" xfId="16210"/>
    <cellStyle name="Normal 10 2 3 2 2 2 3" xfId="12632"/>
    <cellStyle name="Normal 10 2 3 2 2 2 4" xfId="7341"/>
    <cellStyle name="Normal 10 2 3 2 2 3" xfId="3589"/>
    <cellStyle name="Normal 10 2 3 2 2 3 2" xfId="17234"/>
    <cellStyle name="Normal 10 2 3 2 2 3 3" xfId="13655"/>
    <cellStyle name="Normal 10 2 3 2 2 3 4" xfId="8398"/>
    <cellStyle name="Normal 10 2 3 2 2 4" xfId="6457"/>
    <cellStyle name="Normal 10 2 3 2 2 4 2" xfId="15541"/>
    <cellStyle name="Normal 10 2 3 2 2 5" xfId="9852"/>
    <cellStyle name="Normal 10 2 3 2 2 5 2" xfId="18679"/>
    <cellStyle name="Normal 10 2 3 2 2 6" xfId="11296"/>
    <cellStyle name="Normal 10 2 3 2 2 7" xfId="4935"/>
    <cellStyle name="Normal 10 2 3 2 3" xfId="949"/>
    <cellStyle name="Normal 10 2 3 2 3 2" xfId="2669"/>
    <cellStyle name="Normal 10 2 3 2 3 2 2" xfId="16719"/>
    <cellStyle name="Normal 10 2 3 2 3 2 3" xfId="13140"/>
    <cellStyle name="Normal 10 2 3 2 3 2 4" xfId="7851"/>
    <cellStyle name="Normal 10 2 3 2 3 3" xfId="3937"/>
    <cellStyle name="Normal 10 2 3 2 3 3 2" xfId="17582"/>
    <cellStyle name="Normal 10 2 3 2 3 3 3" xfId="14003"/>
    <cellStyle name="Normal 10 2 3 2 3 3 4" xfId="8746"/>
    <cellStyle name="Normal 10 2 3 2 3 4" xfId="6258"/>
    <cellStyle name="Normal 10 2 3 2 3 4 2" xfId="15342"/>
    <cellStyle name="Normal 10 2 3 2 3 5" xfId="10200"/>
    <cellStyle name="Normal 10 2 3 2 3 5 2" xfId="19027"/>
    <cellStyle name="Normal 10 2 3 2 3 6" xfId="11646"/>
    <cellStyle name="Normal 10 2 3 2 3 7" xfId="5445"/>
    <cellStyle name="Normal 10 2 3 2 4" xfId="1572"/>
    <cellStyle name="Normal 10 2 3 2 4 2" xfId="3170"/>
    <cellStyle name="Normal 10 2 3 2 4 2 2" xfId="18083"/>
    <cellStyle name="Normal 10 2 3 2 4 2 3" xfId="14504"/>
    <cellStyle name="Normal 10 2 3 2 4 2 4" xfId="9247"/>
    <cellStyle name="Normal 10 2 3 2 4 3" xfId="10701"/>
    <cellStyle name="Normal 10 2 3 2 4 3 2" xfId="19528"/>
    <cellStyle name="Normal 10 2 3 2 4 4" xfId="12147"/>
    <cellStyle name="Normal 10 2 3 2 4 5" xfId="7142"/>
    <cellStyle name="Normal 10 2 3 2 5" xfId="2127"/>
    <cellStyle name="Normal 10 2 3 2 5 2" xfId="17040"/>
    <cellStyle name="Normal 10 2 3 2 5 3" xfId="13461"/>
    <cellStyle name="Normal 10 2 3 2 5 4" xfId="8204"/>
    <cellStyle name="Normal 10 2 3 2 6" xfId="5765"/>
    <cellStyle name="Normal 10 2 3 2 6 2" xfId="14851"/>
    <cellStyle name="Normal 10 2 3 2 7" xfId="9658"/>
    <cellStyle name="Normal 10 2 3 2 7 2" xfId="18485"/>
    <cellStyle name="Normal 10 2 3 2 8" xfId="11102"/>
    <cellStyle name="Normal 10 2 3 2 9" xfId="4736"/>
    <cellStyle name="Normal 10 2 3 2_Degree data" xfId="1251"/>
    <cellStyle name="Normal 10 2 3 3" xfId="590"/>
    <cellStyle name="Normal 10 2 3 3 2" xfId="2320"/>
    <cellStyle name="Normal 10 2 3 3 2 2" xfId="16056"/>
    <cellStyle name="Normal 10 2 3 3 2 3" xfId="12327"/>
    <cellStyle name="Normal 10 2 3 3 2 4" xfId="7042"/>
    <cellStyle name="Normal 10 2 3 3 3" xfId="3588"/>
    <cellStyle name="Normal 10 2 3 3 3 2" xfId="17233"/>
    <cellStyle name="Normal 10 2 3 3 3 3" xfId="13654"/>
    <cellStyle name="Normal 10 2 3 3 3 4" xfId="8397"/>
    <cellStyle name="Normal 10 2 3 3 4" xfId="6158"/>
    <cellStyle name="Normal 10 2 3 3 4 2" xfId="15242"/>
    <cellStyle name="Normal 10 2 3 3 5" xfId="9851"/>
    <cellStyle name="Normal 10 2 3 3 5 2" xfId="18678"/>
    <cellStyle name="Normal 10 2 3 3 6" xfId="11295"/>
    <cellStyle name="Normal 10 2 3 3 7" xfId="4636"/>
    <cellStyle name="Normal 10 2 3 4" xfId="948"/>
    <cellStyle name="Normal 10 2 3 4 2" xfId="2668"/>
    <cellStyle name="Normal 10 2 3 4 2 2" xfId="16209"/>
    <cellStyle name="Normal 10 2 3 4 2 3" xfId="12631"/>
    <cellStyle name="Normal 10 2 3 4 2 4" xfId="7340"/>
    <cellStyle name="Normal 10 2 3 4 3" xfId="3936"/>
    <cellStyle name="Normal 10 2 3 4 3 2" xfId="17581"/>
    <cellStyle name="Normal 10 2 3 4 3 3" xfId="14002"/>
    <cellStyle name="Normal 10 2 3 4 3 4" xfId="8745"/>
    <cellStyle name="Normal 10 2 3 4 4" xfId="6456"/>
    <cellStyle name="Normal 10 2 3 4 4 2" xfId="15540"/>
    <cellStyle name="Normal 10 2 3 4 5" xfId="10199"/>
    <cellStyle name="Normal 10 2 3 4 5 2" xfId="19026"/>
    <cellStyle name="Normal 10 2 3 4 6" xfId="11645"/>
    <cellStyle name="Normal 10 2 3 4 7" xfId="4934"/>
    <cellStyle name="Normal 10 2 3 5" xfId="1470"/>
    <cellStyle name="Normal 10 2 3 5 2" xfId="3070"/>
    <cellStyle name="Normal 10 2 3 5 2 2" xfId="16619"/>
    <cellStyle name="Normal 10 2 3 5 2 3" xfId="13040"/>
    <cellStyle name="Normal 10 2 3 5 2 4" xfId="7751"/>
    <cellStyle name="Normal 10 2 3 5 3" xfId="4278"/>
    <cellStyle name="Normal 10 2 3 5 3 2" xfId="17983"/>
    <cellStyle name="Normal 10 2 3 5 3 3" xfId="14404"/>
    <cellStyle name="Normal 10 2 3 5 3 4" xfId="9147"/>
    <cellStyle name="Normal 10 2 3 5 4" xfId="5939"/>
    <cellStyle name="Normal 10 2 3 5 4 2" xfId="15025"/>
    <cellStyle name="Normal 10 2 3 5 5" xfId="10601"/>
    <cellStyle name="Normal 10 2 3 5 5 2" xfId="19428"/>
    <cellStyle name="Normal 10 2 3 5 6" xfId="12047"/>
    <cellStyle name="Normal 10 2 3 5 7" xfId="5345"/>
    <cellStyle name="Normal 10 2 3 6" xfId="2027"/>
    <cellStyle name="Normal 10 2 3 6 2" xfId="15868"/>
    <cellStyle name="Normal 10 2 3 6 3" xfId="12366"/>
    <cellStyle name="Normal 10 2 3 6 4" xfId="6825"/>
    <cellStyle name="Normal 10 2 3 7" xfId="3440"/>
    <cellStyle name="Normal 10 2 3 7 2" xfId="16940"/>
    <cellStyle name="Normal 10 2 3 7 3" xfId="13361"/>
    <cellStyle name="Normal 10 2 3 7 4" xfId="8104"/>
    <cellStyle name="Normal 10 2 3 8" xfId="5665"/>
    <cellStyle name="Normal 10 2 3 8 2" xfId="14751"/>
    <cellStyle name="Normal 10 2 3 9" xfId="9558"/>
    <cellStyle name="Normal 10 2 3 9 2" xfId="18385"/>
    <cellStyle name="Normal 10 2 3_Degree data" xfId="1323"/>
    <cellStyle name="Normal 10 2 4" xfId="193"/>
    <cellStyle name="Normal 10 2 4 10" xfId="10947"/>
    <cellStyle name="Normal 10 2 4 11" xfId="4469"/>
    <cellStyle name="Normal 10 2 4 2" xfId="410"/>
    <cellStyle name="Normal 10 2 4 2 2" xfId="593"/>
    <cellStyle name="Normal 10 2 4 2 2 2" xfId="2323"/>
    <cellStyle name="Normal 10 2 4 2 2 2 2" xfId="16212"/>
    <cellStyle name="Normal 10 2 4 2 2 2 3" xfId="12634"/>
    <cellStyle name="Normal 10 2 4 2 2 2 4" xfId="7343"/>
    <cellStyle name="Normal 10 2 4 2 2 3" xfId="3591"/>
    <cellStyle name="Normal 10 2 4 2 2 3 2" xfId="17236"/>
    <cellStyle name="Normal 10 2 4 2 2 3 3" xfId="13657"/>
    <cellStyle name="Normal 10 2 4 2 2 3 4" xfId="8400"/>
    <cellStyle name="Normal 10 2 4 2 2 4" xfId="6459"/>
    <cellStyle name="Normal 10 2 4 2 2 4 2" xfId="15543"/>
    <cellStyle name="Normal 10 2 4 2 2 5" xfId="9854"/>
    <cellStyle name="Normal 10 2 4 2 2 5 2" xfId="18681"/>
    <cellStyle name="Normal 10 2 4 2 2 6" xfId="11298"/>
    <cellStyle name="Normal 10 2 4 2 2 7" xfId="4937"/>
    <cellStyle name="Normal 10 2 4 2 3" xfId="951"/>
    <cellStyle name="Normal 10 2 4 2 3 2" xfId="2671"/>
    <cellStyle name="Normal 10 2 4 2 3 2 2" xfId="16769"/>
    <cellStyle name="Normal 10 2 4 2 3 2 3" xfId="13190"/>
    <cellStyle name="Normal 10 2 4 2 3 2 4" xfId="7901"/>
    <cellStyle name="Normal 10 2 4 2 3 3" xfId="3939"/>
    <cellStyle name="Normal 10 2 4 2 3 3 2" xfId="17584"/>
    <cellStyle name="Normal 10 2 4 2 3 3 3" xfId="14005"/>
    <cellStyle name="Normal 10 2 4 2 3 3 4" xfId="8748"/>
    <cellStyle name="Normal 10 2 4 2 3 4" xfId="6308"/>
    <cellStyle name="Normal 10 2 4 2 3 4 2" xfId="15392"/>
    <cellStyle name="Normal 10 2 4 2 3 5" xfId="10202"/>
    <cellStyle name="Normal 10 2 4 2 3 5 2" xfId="19029"/>
    <cellStyle name="Normal 10 2 4 2 3 6" xfId="11648"/>
    <cellStyle name="Normal 10 2 4 2 3 7" xfId="5495"/>
    <cellStyle name="Normal 10 2 4 2 4" xfId="1624"/>
    <cellStyle name="Normal 10 2 4 2 4 2" xfId="3220"/>
    <cellStyle name="Normal 10 2 4 2 4 2 2" xfId="18133"/>
    <cellStyle name="Normal 10 2 4 2 4 2 3" xfId="14554"/>
    <cellStyle name="Normal 10 2 4 2 4 2 4" xfId="9297"/>
    <cellStyle name="Normal 10 2 4 2 4 3" xfId="10751"/>
    <cellStyle name="Normal 10 2 4 2 4 3 2" xfId="19578"/>
    <cellStyle name="Normal 10 2 4 2 4 4" xfId="12197"/>
    <cellStyle name="Normal 10 2 4 2 4 5" xfId="7192"/>
    <cellStyle name="Normal 10 2 4 2 5" xfId="2177"/>
    <cellStyle name="Normal 10 2 4 2 5 2" xfId="17090"/>
    <cellStyle name="Normal 10 2 4 2 5 3" xfId="13511"/>
    <cellStyle name="Normal 10 2 4 2 5 4" xfId="8254"/>
    <cellStyle name="Normal 10 2 4 2 6" xfId="5815"/>
    <cellStyle name="Normal 10 2 4 2 6 2" xfId="14901"/>
    <cellStyle name="Normal 10 2 4 2 7" xfId="9708"/>
    <cellStyle name="Normal 10 2 4 2 7 2" xfId="18535"/>
    <cellStyle name="Normal 10 2 4 2 8" xfId="11152"/>
    <cellStyle name="Normal 10 2 4 2 9" xfId="4786"/>
    <cellStyle name="Normal 10 2 4 2_Degree data" xfId="1256"/>
    <cellStyle name="Normal 10 2 4 3" xfId="592"/>
    <cellStyle name="Normal 10 2 4 3 2" xfId="2322"/>
    <cellStyle name="Normal 10 2 4 3 2 2" xfId="16001"/>
    <cellStyle name="Normal 10 2 4 3 2 3" xfId="12294"/>
    <cellStyle name="Normal 10 2 4 3 2 4" xfId="6987"/>
    <cellStyle name="Normal 10 2 4 3 3" xfId="3590"/>
    <cellStyle name="Normal 10 2 4 3 3 2" xfId="17235"/>
    <cellStyle name="Normal 10 2 4 3 3 3" xfId="13656"/>
    <cellStyle name="Normal 10 2 4 3 3 4" xfId="8399"/>
    <cellStyle name="Normal 10 2 4 3 4" xfId="6103"/>
    <cellStyle name="Normal 10 2 4 3 4 2" xfId="15187"/>
    <cellStyle name="Normal 10 2 4 3 5" xfId="9853"/>
    <cellStyle name="Normal 10 2 4 3 5 2" xfId="18680"/>
    <cellStyle name="Normal 10 2 4 3 6" xfId="11297"/>
    <cellStyle name="Normal 10 2 4 3 7" xfId="4581"/>
    <cellStyle name="Normal 10 2 4 4" xfId="950"/>
    <cellStyle name="Normal 10 2 4 4 2" xfId="2670"/>
    <cellStyle name="Normal 10 2 4 4 2 2" xfId="16211"/>
    <cellStyle name="Normal 10 2 4 4 2 3" xfId="12633"/>
    <cellStyle name="Normal 10 2 4 4 2 4" xfId="7342"/>
    <cellStyle name="Normal 10 2 4 4 3" xfId="3938"/>
    <cellStyle name="Normal 10 2 4 4 3 2" xfId="17583"/>
    <cellStyle name="Normal 10 2 4 4 3 3" xfId="14004"/>
    <cellStyle name="Normal 10 2 4 4 3 4" xfId="8747"/>
    <cellStyle name="Normal 10 2 4 4 4" xfId="6458"/>
    <cellStyle name="Normal 10 2 4 4 4 2" xfId="15542"/>
    <cellStyle name="Normal 10 2 4 4 5" xfId="10201"/>
    <cellStyle name="Normal 10 2 4 4 5 2" xfId="19028"/>
    <cellStyle name="Normal 10 2 4 4 6" xfId="11647"/>
    <cellStyle name="Normal 10 2 4 4 7" xfId="4936"/>
    <cellStyle name="Normal 10 2 4 5" xfId="1410"/>
    <cellStyle name="Normal 10 2 4 5 2" xfId="3015"/>
    <cellStyle name="Normal 10 2 4 5 2 2" xfId="16564"/>
    <cellStyle name="Normal 10 2 4 5 2 3" xfId="12985"/>
    <cellStyle name="Normal 10 2 4 5 2 4" xfId="7696"/>
    <cellStyle name="Normal 10 2 4 5 3" xfId="4223"/>
    <cellStyle name="Normal 10 2 4 5 3 2" xfId="17928"/>
    <cellStyle name="Normal 10 2 4 5 3 3" xfId="14349"/>
    <cellStyle name="Normal 10 2 4 5 3 4" xfId="9092"/>
    <cellStyle name="Normal 10 2 4 5 4" xfId="5989"/>
    <cellStyle name="Normal 10 2 4 5 4 2" xfId="15075"/>
    <cellStyle name="Normal 10 2 4 5 5" xfId="10546"/>
    <cellStyle name="Normal 10 2 4 5 5 2" xfId="19373"/>
    <cellStyle name="Normal 10 2 4 5 6" xfId="11992"/>
    <cellStyle name="Normal 10 2 4 5 7" xfId="5290"/>
    <cellStyle name="Normal 10 2 4 6" xfId="1972"/>
    <cellStyle name="Normal 10 2 4 6 2" xfId="15918"/>
    <cellStyle name="Normal 10 2 4 6 3" xfId="12480"/>
    <cellStyle name="Normal 10 2 4 6 4" xfId="6875"/>
    <cellStyle name="Normal 10 2 4 7" xfId="3386"/>
    <cellStyle name="Normal 10 2 4 7 2" xfId="16885"/>
    <cellStyle name="Normal 10 2 4 7 3" xfId="13306"/>
    <cellStyle name="Normal 10 2 4 7 4" xfId="8049"/>
    <cellStyle name="Normal 10 2 4 8" xfId="5610"/>
    <cellStyle name="Normal 10 2 4 8 2" xfId="14696"/>
    <cellStyle name="Normal 10 2 4 9" xfId="9503"/>
    <cellStyle name="Normal 10 2 4 9 2" xfId="18330"/>
    <cellStyle name="Normal 10 2 4_Degree data" xfId="1211"/>
    <cellStyle name="Normal 10 2 5" xfId="304"/>
    <cellStyle name="Normal 10 2 5 2" xfId="594"/>
    <cellStyle name="Normal 10 2 5 2 2" xfId="2324"/>
    <cellStyle name="Normal 10 2 5 2 2 2" xfId="16213"/>
    <cellStyle name="Normal 10 2 5 2 2 3" xfId="12635"/>
    <cellStyle name="Normal 10 2 5 2 2 4" xfId="7344"/>
    <cellStyle name="Normal 10 2 5 2 3" xfId="3592"/>
    <cellStyle name="Normal 10 2 5 2 3 2" xfId="17237"/>
    <cellStyle name="Normal 10 2 5 2 3 3" xfId="13658"/>
    <cellStyle name="Normal 10 2 5 2 3 4" xfId="8401"/>
    <cellStyle name="Normal 10 2 5 2 4" xfId="6460"/>
    <cellStyle name="Normal 10 2 5 2 4 2" xfId="15544"/>
    <cellStyle name="Normal 10 2 5 2 5" xfId="9855"/>
    <cellStyle name="Normal 10 2 5 2 5 2" xfId="18682"/>
    <cellStyle name="Normal 10 2 5 2 6" xfId="11299"/>
    <cellStyle name="Normal 10 2 5 2 7" xfId="4938"/>
    <cellStyle name="Normal 10 2 5 3" xfId="952"/>
    <cellStyle name="Normal 10 2 5 3 2" xfId="2672"/>
    <cellStyle name="Normal 10 2 5 3 2 2" xfId="16664"/>
    <cellStyle name="Normal 10 2 5 3 2 3" xfId="13085"/>
    <cellStyle name="Normal 10 2 5 3 2 4" xfId="7796"/>
    <cellStyle name="Normal 10 2 5 3 3" xfId="3940"/>
    <cellStyle name="Normal 10 2 5 3 3 2" xfId="17585"/>
    <cellStyle name="Normal 10 2 5 3 3 3" xfId="14006"/>
    <cellStyle name="Normal 10 2 5 3 3 4" xfId="8749"/>
    <cellStyle name="Normal 10 2 5 3 4" xfId="6203"/>
    <cellStyle name="Normal 10 2 5 3 4 2" xfId="15287"/>
    <cellStyle name="Normal 10 2 5 3 5" xfId="10203"/>
    <cellStyle name="Normal 10 2 5 3 5 2" xfId="19030"/>
    <cellStyle name="Normal 10 2 5 3 6" xfId="11649"/>
    <cellStyle name="Normal 10 2 5 3 7" xfId="5390"/>
    <cellStyle name="Normal 10 2 5 4" xfId="1516"/>
    <cellStyle name="Normal 10 2 5 4 2" xfId="3115"/>
    <cellStyle name="Normal 10 2 5 4 2 2" xfId="18028"/>
    <cellStyle name="Normal 10 2 5 4 2 3" xfId="14449"/>
    <cellStyle name="Normal 10 2 5 4 2 4" xfId="9192"/>
    <cellStyle name="Normal 10 2 5 4 3" xfId="10646"/>
    <cellStyle name="Normal 10 2 5 4 3 2" xfId="19473"/>
    <cellStyle name="Normal 10 2 5 4 4" xfId="12092"/>
    <cellStyle name="Normal 10 2 5 4 5" xfId="7087"/>
    <cellStyle name="Normal 10 2 5 5" xfId="2072"/>
    <cellStyle name="Normal 10 2 5 5 2" xfId="16985"/>
    <cellStyle name="Normal 10 2 5 5 3" xfId="13406"/>
    <cellStyle name="Normal 10 2 5 5 4" xfId="8149"/>
    <cellStyle name="Normal 10 2 5 6" xfId="5710"/>
    <cellStyle name="Normal 10 2 5 6 2" xfId="14796"/>
    <cellStyle name="Normal 10 2 5 7" xfId="9603"/>
    <cellStyle name="Normal 10 2 5 7 2" xfId="18430"/>
    <cellStyle name="Normal 10 2 5 8" xfId="11047"/>
    <cellStyle name="Normal 10 2 5 9" xfId="4681"/>
    <cellStyle name="Normal 10 2 5_Degree data" xfId="1260"/>
    <cellStyle name="Normal 10 2 6" xfId="481"/>
    <cellStyle name="Normal 10 2 6 2" xfId="595"/>
    <cellStyle name="Normal 10 2 6 2 2" xfId="2325"/>
    <cellStyle name="Normal 10 2 6 2 2 2" xfId="16214"/>
    <cellStyle name="Normal 10 2 6 2 2 3" xfId="12636"/>
    <cellStyle name="Normal 10 2 6 2 2 4" xfId="7345"/>
    <cellStyle name="Normal 10 2 6 2 3" xfId="3593"/>
    <cellStyle name="Normal 10 2 6 2 3 2" xfId="17238"/>
    <cellStyle name="Normal 10 2 6 2 3 3" xfId="13659"/>
    <cellStyle name="Normal 10 2 6 2 3 4" xfId="8402"/>
    <cellStyle name="Normal 10 2 6 2 4" xfId="6461"/>
    <cellStyle name="Normal 10 2 6 2 4 2" xfId="15545"/>
    <cellStyle name="Normal 10 2 6 2 5" xfId="9856"/>
    <cellStyle name="Normal 10 2 6 2 5 2" xfId="18683"/>
    <cellStyle name="Normal 10 2 6 2 6" xfId="11300"/>
    <cellStyle name="Normal 10 2 6 2 7" xfId="4939"/>
    <cellStyle name="Normal 10 2 6 3" xfId="953"/>
    <cellStyle name="Normal 10 2 6 3 2" xfId="2673"/>
    <cellStyle name="Normal 10 2 6 3 2 2" xfId="16519"/>
    <cellStyle name="Normal 10 2 6 3 2 3" xfId="12941"/>
    <cellStyle name="Normal 10 2 6 3 2 4" xfId="7651"/>
    <cellStyle name="Normal 10 2 6 3 3" xfId="3941"/>
    <cellStyle name="Normal 10 2 6 3 3 2" xfId="17586"/>
    <cellStyle name="Normal 10 2 6 3 3 3" xfId="14007"/>
    <cellStyle name="Normal 10 2 6 3 3 4" xfId="8750"/>
    <cellStyle name="Normal 10 2 6 3 4" xfId="6739"/>
    <cellStyle name="Normal 10 2 6 3 4 2" xfId="15822"/>
    <cellStyle name="Normal 10 2 6 3 5" xfId="10204"/>
    <cellStyle name="Normal 10 2 6 3 5 2" xfId="19031"/>
    <cellStyle name="Normal 10 2 6 3 6" xfId="11650"/>
    <cellStyle name="Normal 10 2 6 3 7" xfId="5245"/>
    <cellStyle name="Normal 10 2 6 4" xfId="1357"/>
    <cellStyle name="Normal 10 2 6 4 2" xfId="2970"/>
    <cellStyle name="Normal 10 2 6 4 2 2" xfId="17883"/>
    <cellStyle name="Normal 10 2 6 4 2 3" xfId="14304"/>
    <cellStyle name="Normal 10 2 6 4 2 4" xfId="9047"/>
    <cellStyle name="Normal 10 2 6 4 3" xfId="10501"/>
    <cellStyle name="Normal 10 2 6 4 3 2" xfId="19328"/>
    <cellStyle name="Normal 10 2 6 4 4" xfId="11947"/>
    <cellStyle name="Normal 10 2 6 4 5" xfId="6942"/>
    <cellStyle name="Normal 10 2 6 5" xfId="1927"/>
    <cellStyle name="Normal 10 2 6 5 2" xfId="16838"/>
    <cellStyle name="Normal 10 2 6 5 3" xfId="13259"/>
    <cellStyle name="Normal 10 2 6 5 4" xfId="8002"/>
    <cellStyle name="Normal 10 2 6 6" xfId="6058"/>
    <cellStyle name="Normal 10 2 6 6 2" xfId="15142"/>
    <cellStyle name="Normal 10 2 6 7" xfId="9458"/>
    <cellStyle name="Normal 10 2 6 7 2" xfId="18285"/>
    <cellStyle name="Normal 10 2 6 8" xfId="10902"/>
    <cellStyle name="Normal 10 2 6 9" xfId="4536"/>
    <cellStyle name="Normal 10 2 6_Degree data" xfId="1255"/>
    <cellStyle name="Normal 10 2 7" xfId="583"/>
    <cellStyle name="Normal 10 2 7 2" xfId="2313"/>
    <cellStyle name="Normal 10 2 7 2 2" xfId="16202"/>
    <cellStyle name="Normal 10 2 7 2 3" xfId="12624"/>
    <cellStyle name="Normal 10 2 7 2 4" xfId="7333"/>
    <cellStyle name="Normal 10 2 7 3" xfId="3581"/>
    <cellStyle name="Normal 10 2 7 3 2" xfId="17226"/>
    <cellStyle name="Normal 10 2 7 3 3" xfId="13647"/>
    <cellStyle name="Normal 10 2 7 3 4" xfId="8390"/>
    <cellStyle name="Normal 10 2 7 4" xfId="6449"/>
    <cellStyle name="Normal 10 2 7 4 2" xfId="15533"/>
    <cellStyle name="Normal 10 2 7 5" xfId="9844"/>
    <cellStyle name="Normal 10 2 7 5 2" xfId="18671"/>
    <cellStyle name="Normal 10 2 7 6" xfId="11288"/>
    <cellStyle name="Normal 10 2 7 7" xfId="4927"/>
    <cellStyle name="Normal 10 2 8" xfId="941"/>
    <cellStyle name="Normal 10 2 8 2" xfId="2661"/>
    <cellStyle name="Normal 10 2 8 2 2" xfId="16499"/>
    <cellStyle name="Normal 10 2 8 2 3" xfId="12921"/>
    <cellStyle name="Normal 10 2 8 2 4" xfId="7631"/>
    <cellStyle name="Normal 10 2 8 3" xfId="3929"/>
    <cellStyle name="Normal 10 2 8 3 2" xfId="17574"/>
    <cellStyle name="Normal 10 2 8 3 3" xfId="13995"/>
    <cellStyle name="Normal 10 2 8 3 4" xfId="8738"/>
    <cellStyle name="Normal 10 2 8 4" xfId="5883"/>
    <cellStyle name="Normal 10 2 8 4 2" xfId="14969"/>
    <cellStyle name="Normal 10 2 8 5" xfId="10192"/>
    <cellStyle name="Normal 10 2 8 5 2" xfId="19019"/>
    <cellStyle name="Normal 10 2 8 6" xfId="11638"/>
    <cellStyle name="Normal 10 2 8 7" xfId="5225"/>
    <cellStyle name="Normal 10 2 9" xfId="1337"/>
    <cellStyle name="Normal 10 2 9 2" xfId="2950"/>
    <cellStyle name="Normal 10 2 9 2 2" xfId="17863"/>
    <cellStyle name="Normal 10 2 9 2 3" xfId="14284"/>
    <cellStyle name="Normal 10 2 9 2 4" xfId="9027"/>
    <cellStyle name="Normal 10 2 9 3" xfId="10481"/>
    <cellStyle name="Normal 10 2 9 3 2" xfId="19308"/>
    <cellStyle name="Normal 10 2 9 4" xfId="11927"/>
    <cellStyle name="Normal 10 2 9 5" xfId="6769"/>
    <cellStyle name="Normal 10 2_Degree data" xfId="1308"/>
    <cellStyle name="Normal 10 3" xfId="118"/>
    <cellStyle name="Normal 10 3 2" xfId="154"/>
    <cellStyle name="Normal 10 3 2 10" xfId="10918"/>
    <cellStyle name="Normal 10 3 2 2" xfId="225"/>
    <cellStyle name="Normal 10 3 2 3" xfId="394"/>
    <cellStyle name="Normal 10 3 2 3 10" xfId="4453"/>
    <cellStyle name="Normal 10 3 2 3 2" xfId="597"/>
    <cellStyle name="Normal 10 3 2 3 2 2" xfId="2327"/>
    <cellStyle name="Normal 10 3 2 3 2 2 2" xfId="16090"/>
    <cellStyle name="Normal 10 3 2 3 2 2 3" xfId="12253"/>
    <cellStyle name="Normal 10 3 2 3 2 2 4" xfId="7176"/>
    <cellStyle name="Normal 10 3 2 3 2 3" xfId="3595"/>
    <cellStyle name="Normal 10 3 2 3 2 3 2" xfId="17240"/>
    <cellStyle name="Normal 10 3 2 3 2 3 3" xfId="13661"/>
    <cellStyle name="Normal 10 3 2 3 2 3 4" xfId="8404"/>
    <cellStyle name="Normal 10 3 2 3 2 4" xfId="6292"/>
    <cellStyle name="Normal 10 3 2 3 2 4 2" xfId="15376"/>
    <cellStyle name="Normal 10 3 2 3 2 5" xfId="9858"/>
    <cellStyle name="Normal 10 3 2 3 2 5 2" xfId="18685"/>
    <cellStyle name="Normal 10 3 2 3 2 6" xfId="11302"/>
    <cellStyle name="Normal 10 3 2 3 2 7" xfId="4770"/>
    <cellStyle name="Normal 10 3 2 3 3" xfId="955"/>
    <cellStyle name="Normal 10 3 2 3 3 2" xfId="2675"/>
    <cellStyle name="Normal 10 3 2 3 3 2 2" xfId="16216"/>
    <cellStyle name="Normal 10 3 2 3 3 2 3" xfId="12638"/>
    <cellStyle name="Normal 10 3 2 3 3 2 4" xfId="7347"/>
    <cellStyle name="Normal 10 3 2 3 3 3" xfId="3943"/>
    <cellStyle name="Normal 10 3 2 3 3 3 2" xfId="17588"/>
    <cellStyle name="Normal 10 3 2 3 3 3 3" xfId="14009"/>
    <cellStyle name="Normal 10 3 2 3 3 3 4" xfId="8752"/>
    <cellStyle name="Normal 10 3 2 3 3 4" xfId="6463"/>
    <cellStyle name="Normal 10 3 2 3 3 4 2" xfId="15547"/>
    <cellStyle name="Normal 10 3 2 3 3 5" xfId="10206"/>
    <cellStyle name="Normal 10 3 2 3 3 5 2" xfId="19033"/>
    <cellStyle name="Normal 10 3 2 3 3 6" xfId="11652"/>
    <cellStyle name="Normal 10 3 2 3 3 7" xfId="4941"/>
    <cellStyle name="Normal 10 3 2 3 4" xfId="1608"/>
    <cellStyle name="Normal 10 3 2 3 4 2" xfId="3204"/>
    <cellStyle name="Normal 10 3 2 3 4 2 2" xfId="16753"/>
    <cellStyle name="Normal 10 3 2 3 4 2 3" xfId="13174"/>
    <cellStyle name="Normal 10 3 2 3 4 2 4" xfId="7885"/>
    <cellStyle name="Normal 10 3 2 3 4 3" xfId="4312"/>
    <cellStyle name="Normal 10 3 2 3 4 3 2" xfId="18117"/>
    <cellStyle name="Normal 10 3 2 3 4 3 3" xfId="14538"/>
    <cellStyle name="Normal 10 3 2 3 4 3 4" xfId="9281"/>
    <cellStyle name="Normal 10 3 2 3 4 4" xfId="5973"/>
    <cellStyle name="Normal 10 3 2 3 4 4 2" xfId="15059"/>
    <cellStyle name="Normal 10 3 2 3 4 5" xfId="10735"/>
    <cellStyle name="Normal 10 3 2 3 4 5 2" xfId="19562"/>
    <cellStyle name="Normal 10 3 2 3 4 6" xfId="12181"/>
    <cellStyle name="Normal 10 3 2 3 4 7" xfId="5479"/>
    <cellStyle name="Normal 10 3 2 3 5" xfId="2161"/>
    <cellStyle name="Normal 10 3 2 3 5 2" xfId="15902"/>
    <cellStyle name="Normal 10 3 2 3 5 3" xfId="12454"/>
    <cellStyle name="Normal 10 3 2 3 5 4" xfId="6859"/>
    <cellStyle name="Normal 10 3 2 3 6" xfId="3474"/>
    <cellStyle name="Normal 10 3 2 3 6 2" xfId="17074"/>
    <cellStyle name="Normal 10 3 2 3 6 3" xfId="13495"/>
    <cellStyle name="Normal 10 3 2 3 6 4" xfId="8238"/>
    <cellStyle name="Normal 10 3 2 3 7" xfId="5799"/>
    <cellStyle name="Normal 10 3 2 3 7 2" xfId="14885"/>
    <cellStyle name="Normal 10 3 2 3 8" xfId="9692"/>
    <cellStyle name="Normal 10 3 2 3 8 2" xfId="18519"/>
    <cellStyle name="Normal 10 3 2 3 9" xfId="11136"/>
    <cellStyle name="Normal 10 3 2 3_Degree data" xfId="1259"/>
    <cellStyle name="Normal 10 3 2 4" xfId="596"/>
    <cellStyle name="Normal 10 3 2 4 2" xfId="2326"/>
    <cellStyle name="Normal 10 3 2 4 2 2" xfId="15984"/>
    <cellStyle name="Normal 10 3 2 4 2 3" xfId="12406"/>
    <cellStyle name="Normal 10 3 2 4 2 4" xfId="6958"/>
    <cellStyle name="Normal 10 3 2 4 3" xfId="3594"/>
    <cellStyle name="Normal 10 3 2 4 3 2" xfId="17239"/>
    <cellStyle name="Normal 10 3 2 4 3 3" xfId="13660"/>
    <cellStyle name="Normal 10 3 2 4 3 4" xfId="8403"/>
    <cellStyle name="Normal 10 3 2 4 4" xfId="6074"/>
    <cellStyle name="Normal 10 3 2 4 4 2" xfId="15158"/>
    <cellStyle name="Normal 10 3 2 4 5" xfId="9857"/>
    <cellStyle name="Normal 10 3 2 4 5 2" xfId="18684"/>
    <cellStyle name="Normal 10 3 2 4 6" xfId="11301"/>
    <cellStyle name="Normal 10 3 2 4 7" xfId="4552"/>
    <cellStyle name="Normal 10 3 2 5" xfId="954"/>
    <cellStyle name="Normal 10 3 2 5 2" xfId="2674"/>
    <cellStyle name="Normal 10 3 2 5 2 2" xfId="16215"/>
    <cellStyle name="Normal 10 3 2 5 2 3" xfId="12637"/>
    <cellStyle name="Normal 10 3 2 5 2 4" xfId="7346"/>
    <cellStyle name="Normal 10 3 2 5 3" xfId="3942"/>
    <cellStyle name="Normal 10 3 2 5 3 2" xfId="17587"/>
    <cellStyle name="Normal 10 3 2 5 3 3" xfId="14008"/>
    <cellStyle name="Normal 10 3 2 5 3 4" xfId="8751"/>
    <cellStyle name="Normal 10 3 2 5 4" xfId="6462"/>
    <cellStyle name="Normal 10 3 2 5 4 2" xfId="15546"/>
    <cellStyle name="Normal 10 3 2 5 5" xfId="10205"/>
    <cellStyle name="Normal 10 3 2 5 5 2" xfId="19032"/>
    <cellStyle name="Normal 10 3 2 5 6" xfId="11651"/>
    <cellStyle name="Normal 10 3 2 5 7" xfId="4940"/>
    <cellStyle name="Normal 10 3 2 6" xfId="1376"/>
    <cellStyle name="Normal 10 3 2 6 2" xfId="2986"/>
    <cellStyle name="Normal 10 3 2 6 2 2" xfId="17899"/>
    <cellStyle name="Normal 10 3 2 6 2 3" xfId="14320"/>
    <cellStyle name="Normal 10 3 2 6 2 4" xfId="9063"/>
    <cellStyle name="Normal 10 3 2 6 3" xfId="7667"/>
    <cellStyle name="Normal 10 3 2 6 3 2" xfId="16535"/>
    <cellStyle name="Normal 10 3 2 6 4" xfId="10517"/>
    <cellStyle name="Normal 10 3 2 6 4 2" xfId="19344"/>
    <cellStyle name="Normal 10 3 2 6 5" xfId="11963"/>
    <cellStyle name="Normal 10 3 2 6 6" xfId="5261"/>
    <cellStyle name="Normal 10 3 2 7" xfId="1943"/>
    <cellStyle name="Normal 10 3 2 7 2" xfId="16854"/>
    <cellStyle name="Normal 10 3 2 7 3" xfId="13275"/>
    <cellStyle name="Normal 10 3 2 7 4" xfId="8018"/>
    <cellStyle name="Normal 10 3 2 8" xfId="5581"/>
    <cellStyle name="Normal 10 3 2 8 2" xfId="14667"/>
    <cellStyle name="Normal 10 3 2 9" xfId="9474"/>
    <cellStyle name="Normal 10 3 2 9 2" xfId="18301"/>
    <cellStyle name="Normal 10 3 2_Degree data" xfId="1210"/>
    <cellStyle name="Normal 10 3 3" xfId="189"/>
    <cellStyle name="Normal 10 3 3 10" xfId="10943"/>
    <cellStyle name="Normal 10 3 3 11" xfId="4465"/>
    <cellStyle name="Normal 10 3 3 2" xfId="406"/>
    <cellStyle name="Normal 10 3 3 2 2" xfId="599"/>
    <cellStyle name="Normal 10 3 3 2 2 2" xfId="2329"/>
    <cellStyle name="Normal 10 3 3 2 2 2 2" xfId="16218"/>
    <cellStyle name="Normal 10 3 3 2 2 2 3" xfId="12640"/>
    <cellStyle name="Normal 10 3 3 2 2 2 4" xfId="7349"/>
    <cellStyle name="Normal 10 3 3 2 2 3" xfId="3597"/>
    <cellStyle name="Normal 10 3 3 2 2 3 2" xfId="17242"/>
    <cellStyle name="Normal 10 3 3 2 2 3 3" xfId="13663"/>
    <cellStyle name="Normal 10 3 3 2 2 3 4" xfId="8406"/>
    <cellStyle name="Normal 10 3 3 2 2 4" xfId="6465"/>
    <cellStyle name="Normal 10 3 3 2 2 4 2" xfId="15549"/>
    <cellStyle name="Normal 10 3 3 2 2 5" xfId="9860"/>
    <cellStyle name="Normal 10 3 3 2 2 5 2" xfId="18687"/>
    <cellStyle name="Normal 10 3 3 2 2 6" xfId="11304"/>
    <cellStyle name="Normal 10 3 3 2 2 7" xfId="4943"/>
    <cellStyle name="Normal 10 3 3 2 3" xfId="957"/>
    <cellStyle name="Normal 10 3 3 2 3 2" xfId="2677"/>
    <cellStyle name="Normal 10 3 3 2 3 2 2" xfId="16765"/>
    <cellStyle name="Normal 10 3 3 2 3 2 3" xfId="13186"/>
    <cellStyle name="Normal 10 3 3 2 3 2 4" xfId="7897"/>
    <cellStyle name="Normal 10 3 3 2 3 3" xfId="3945"/>
    <cellStyle name="Normal 10 3 3 2 3 3 2" xfId="17590"/>
    <cellStyle name="Normal 10 3 3 2 3 3 3" xfId="14011"/>
    <cellStyle name="Normal 10 3 3 2 3 3 4" xfId="8754"/>
    <cellStyle name="Normal 10 3 3 2 3 4" xfId="6304"/>
    <cellStyle name="Normal 10 3 3 2 3 4 2" xfId="15388"/>
    <cellStyle name="Normal 10 3 3 2 3 5" xfId="10208"/>
    <cellStyle name="Normal 10 3 3 2 3 5 2" xfId="19035"/>
    <cellStyle name="Normal 10 3 3 2 3 6" xfId="11654"/>
    <cellStyle name="Normal 10 3 3 2 3 7" xfId="5491"/>
    <cellStyle name="Normal 10 3 3 2 4" xfId="1620"/>
    <cellStyle name="Normal 10 3 3 2 4 2" xfId="3216"/>
    <cellStyle name="Normal 10 3 3 2 4 2 2" xfId="18129"/>
    <cellStyle name="Normal 10 3 3 2 4 2 3" xfId="14550"/>
    <cellStyle name="Normal 10 3 3 2 4 2 4" xfId="9293"/>
    <cellStyle name="Normal 10 3 3 2 4 3" xfId="10747"/>
    <cellStyle name="Normal 10 3 3 2 4 3 2" xfId="19574"/>
    <cellStyle name="Normal 10 3 3 2 4 4" xfId="12193"/>
    <cellStyle name="Normal 10 3 3 2 4 5" xfId="7188"/>
    <cellStyle name="Normal 10 3 3 2 5" xfId="2173"/>
    <cellStyle name="Normal 10 3 3 2 5 2" xfId="17086"/>
    <cellStyle name="Normal 10 3 3 2 5 3" xfId="13507"/>
    <cellStyle name="Normal 10 3 3 2 5 4" xfId="8250"/>
    <cellStyle name="Normal 10 3 3 2 6" xfId="5811"/>
    <cellStyle name="Normal 10 3 3 2 6 2" xfId="14897"/>
    <cellStyle name="Normal 10 3 3 2 7" xfId="9704"/>
    <cellStyle name="Normal 10 3 3 2 7 2" xfId="18531"/>
    <cellStyle name="Normal 10 3 3 2 8" xfId="11148"/>
    <cellStyle name="Normal 10 3 3 2 9" xfId="4782"/>
    <cellStyle name="Normal 10 3 3 2_Degree data" xfId="1296"/>
    <cellStyle name="Normal 10 3 3 3" xfId="598"/>
    <cellStyle name="Normal 10 3 3 3 2" xfId="2328"/>
    <cellStyle name="Normal 10 3 3 3 2 2" xfId="15997"/>
    <cellStyle name="Normal 10 3 3 3 2 3" xfId="12339"/>
    <cellStyle name="Normal 10 3 3 3 2 4" xfId="6983"/>
    <cellStyle name="Normal 10 3 3 3 3" xfId="3596"/>
    <cellStyle name="Normal 10 3 3 3 3 2" xfId="17241"/>
    <cellStyle name="Normal 10 3 3 3 3 3" xfId="13662"/>
    <cellStyle name="Normal 10 3 3 3 3 4" xfId="8405"/>
    <cellStyle name="Normal 10 3 3 3 4" xfId="6099"/>
    <cellStyle name="Normal 10 3 3 3 4 2" xfId="15183"/>
    <cellStyle name="Normal 10 3 3 3 5" xfId="9859"/>
    <cellStyle name="Normal 10 3 3 3 5 2" xfId="18686"/>
    <cellStyle name="Normal 10 3 3 3 6" xfId="11303"/>
    <cellStyle name="Normal 10 3 3 3 7" xfId="4577"/>
    <cellStyle name="Normal 10 3 3 4" xfId="956"/>
    <cellStyle name="Normal 10 3 3 4 2" xfId="2676"/>
    <cellStyle name="Normal 10 3 3 4 2 2" xfId="16217"/>
    <cellStyle name="Normal 10 3 3 4 2 3" xfId="12639"/>
    <cellStyle name="Normal 10 3 3 4 2 4" xfId="7348"/>
    <cellStyle name="Normal 10 3 3 4 3" xfId="3944"/>
    <cellStyle name="Normal 10 3 3 4 3 2" xfId="17589"/>
    <cellStyle name="Normal 10 3 3 4 3 3" xfId="14010"/>
    <cellStyle name="Normal 10 3 3 4 3 4" xfId="8753"/>
    <cellStyle name="Normal 10 3 3 4 4" xfId="6464"/>
    <cellStyle name="Normal 10 3 3 4 4 2" xfId="15548"/>
    <cellStyle name="Normal 10 3 3 4 5" xfId="10207"/>
    <cellStyle name="Normal 10 3 3 4 5 2" xfId="19034"/>
    <cellStyle name="Normal 10 3 3 4 6" xfId="11653"/>
    <cellStyle name="Normal 10 3 3 4 7" xfId="4942"/>
    <cellStyle name="Normal 10 3 3 5" xfId="1406"/>
    <cellStyle name="Normal 10 3 3 5 2" xfId="3011"/>
    <cellStyle name="Normal 10 3 3 5 2 2" xfId="16560"/>
    <cellStyle name="Normal 10 3 3 5 2 3" xfId="12981"/>
    <cellStyle name="Normal 10 3 3 5 2 4" xfId="7692"/>
    <cellStyle name="Normal 10 3 3 5 3" xfId="4219"/>
    <cellStyle name="Normal 10 3 3 5 3 2" xfId="17924"/>
    <cellStyle name="Normal 10 3 3 5 3 3" xfId="14345"/>
    <cellStyle name="Normal 10 3 3 5 3 4" xfId="9088"/>
    <cellStyle name="Normal 10 3 3 5 4" xfId="5985"/>
    <cellStyle name="Normal 10 3 3 5 4 2" xfId="15071"/>
    <cellStyle name="Normal 10 3 3 5 5" xfId="10542"/>
    <cellStyle name="Normal 10 3 3 5 5 2" xfId="19369"/>
    <cellStyle name="Normal 10 3 3 5 6" xfId="11988"/>
    <cellStyle name="Normal 10 3 3 5 7" xfId="5286"/>
    <cellStyle name="Normal 10 3 3 6" xfId="1968"/>
    <cellStyle name="Normal 10 3 3 6 2" xfId="15914"/>
    <cellStyle name="Normal 10 3 3 6 3" xfId="12424"/>
    <cellStyle name="Normal 10 3 3 6 4" xfId="6871"/>
    <cellStyle name="Normal 10 3 3 7" xfId="3382"/>
    <cellStyle name="Normal 10 3 3 7 2" xfId="16881"/>
    <cellStyle name="Normal 10 3 3 7 3" xfId="13302"/>
    <cellStyle name="Normal 10 3 3 7 4" xfId="8045"/>
    <cellStyle name="Normal 10 3 3 8" xfId="5606"/>
    <cellStyle name="Normal 10 3 3 8 2" xfId="14692"/>
    <cellStyle name="Normal 10 3 3 9" xfId="9499"/>
    <cellStyle name="Normal 10 3 3 9 2" xfId="18326"/>
    <cellStyle name="Normal 10 3 3_Degree data" xfId="1209"/>
    <cellStyle name="Normal 10 3 4" xfId="300"/>
    <cellStyle name="Normal 10 3 4 2" xfId="600"/>
    <cellStyle name="Normal 10 3 4 2 2" xfId="2330"/>
    <cellStyle name="Normal 10 3 4 2 2 2" xfId="16219"/>
    <cellStyle name="Normal 10 3 4 2 2 3" xfId="12641"/>
    <cellStyle name="Normal 10 3 4 2 2 4" xfId="7350"/>
    <cellStyle name="Normal 10 3 4 2 3" xfId="3598"/>
    <cellStyle name="Normal 10 3 4 2 3 2" xfId="17243"/>
    <cellStyle name="Normal 10 3 4 2 3 3" xfId="13664"/>
    <cellStyle name="Normal 10 3 4 2 3 4" xfId="8407"/>
    <cellStyle name="Normal 10 3 4 2 4" xfId="6466"/>
    <cellStyle name="Normal 10 3 4 2 4 2" xfId="15550"/>
    <cellStyle name="Normal 10 3 4 2 5" xfId="9861"/>
    <cellStyle name="Normal 10 3 4 2 5 2" xfId="18688"/>
    <cellStyle name="Normal 10 3 4 2 6" xfId="11305"/>
    <cellStyle name="Normal 10 3 4 2 7" xfId="4944"/>
    <cellStyle name="Normal 10 3 4 3" xfId="958"/>
    <cellStyle name="Normal 10 3 4 3 2" xfId="2678"/>
    <cellStyle name="Normal 10 3 4 3 2 2" xfId="16660"/>
    <cellStyle name="Normal 10 3 4 3 2 3" xfId="13081"/>
    <cellStyle name="Normal 10 3 4 3 2 4" xfId="7792"/>
    <cellStyle name="Normal 10 3 4 3 3" xfId="3946"/>
    <cellStyle name="Normal 10 3 4 3 3 2" xfId="17591"/>
    <cellStyle name="Normal 10 3 4 3 3 3" xfId="14012"/>
    <cellStyle name="Normal 10 3 4 3 3 4" xfId="8755"/>
    <cellStyle name="Normal 10 3 4 3 4" xfId="6199"/>
    <cellStyle name="Normal 10 3 4 3 4 2" xfId="15283"/>
    <cellStyle name="Normal 10 3 4 3 5" xfId="10209"/>
    <cellStyle name="Normal 10 3 4 3 5 2" xfId="19036"/>
    <cellStyle name="Normal 10 3 4 3 6" xfId="11655"/>
    <cellStyle name="Normal 10 3 4 3 7" xfId="5386"/>
    <cellStyle name="Normal 10 3 4 4" xfId="1512"/>
    <cellStyle name="Normal 10 3 4 4 2" xfId="3111"/>
    <cellStyle name="Normal 10 3 4 4 2 2" xfId="18024"/>
    <cellStyle name="Normal 10 3 4 4 2 3" xfId="14445"/>
    <cellStyle name="Normal 10 3 4 4 2 4" xfId="9188"/>
    <cellStyle name="Normal 10 3 4 4 3" xfId="10642"/>
    <cellStyle name="Normal 10 3 4 4 3 2" xfId="19469"/>
    <cellStyle name="Normal 10 3 4 4 4" xfId="12088"/>
    <cellStyle name="Normal 10 3 4 4 5" xfId="7083"/>
    <cellStyle name="Normal 10 3 4 5" xfId="2068"/>
    <cellStyle name="Normal 10 3 4 5 2" xfId="16981"/>
    <cellStyle name="Normal 10 3 4 5 3" xfId="13402"/>
    <cellStyle name="Normal 10 3 4 5 4" xfId="8145"/>
    <cellStyle name="Normal 10 3 4 6" xfId="5706"/>
    <cellStyle name="Normal 10 3 4 6 2" xfId="14792"/>
    <cellStyle name="Normal 10 3 4 7" xfId="9599"/>
    <cellStyle name="Normal 10 3 4 7 2" xfId="18426"/>
    <cellStyle name="Normal 10 3 4 8" xfId="11043"/>
    <cellStyle name="Normal 10 3 4 9" xfId="4677"/>
    <cellStyle name="Normal 10 3 4_Degree data" xfId="1318"/>
    <cellStyle name="Normal 10 3 5" xfId="3293"/>
    <cellStyle name="Normal 10 3 5 2" xfId="14965"/>
    <cellStyle name="Normal 10 3 5 3" xfId="12510"/>
    <cellStyle name="Normal 10 3 5 4" xfId="5879"/>
    <cellStyle name="Normal 10 3 6" xfId="3287"/>
    <cellStyle name="Normal 10 3 6 2" xfId="15840"/>
    <cellStyle name="Normal 10 3 6 3" xfId="12376"/>
    <cellStyle name="Normal 10 3 6 4" xfId="6765"/>
    <cellStyle name="Normal 10 3 7" xfId="14622"/>
    <cellStyle name="Normal 10 3 8" xfId="4360"/>
    <cellStyle name="Normal 10 4" xfId="145"/>
    <cellStyle name="Normal 10 4 10" xfId="5569"/>
    <cellStyle name="Normal 10 4 10 2" xfId="14655"/>
    <cellStyle name="Normal 10 4 11" xfId="9389"/>
    <cellStyle name="Normal 10 4 11 2" xfId="18216"/>
    <cellStyle name="Normal 10 4 12" xfId="10829"/>
    <cellStyle name="Normal 10 4 13" xfId="4382"/>
    <cellStyle name="Normal 10 4 2" xfId="257"/>
    <cellStyle name="Normal 10 4 2 10" xfId="11008"/>
    <cellStyle name="Normal 10 4 2 11" xfId="4425"/>
    <cellStyle name="Normal 10 4 2 2" xfId="365"/>
    <cellStyle name="Normal 10 4 2 2 2" xfId="603"/>
    <cellStyle name="Normal 10 4 2 2 2 2" xfId="2333"/>
    <cellStyle name="Normal 10 4 2 2 2 2 2" xfId="16222"/>
    <cellStyle name="Normal 10 4 2 2 2 2 3" xfId="12644"/>
    <cellStyle name="Normal 10 4 2 2 2 2 4" xfId="7353"/>
    <cellStyle name="Normal 10 4 2 2 2 3" xfId="3601"/>
    <cellStyle name="Normal 10 4 2 2 2 3 2" xfId="17246"/>
    <cellStyle name="Normal 10 4 2 2 2 3 3" xfId="13667"/>
    <cellStyle name="Normal 10 4 2 2 2 3 4" xfId="8410"/>
    <cellStyle name="Normal 10 4 2 2 2 4" xfId="6469"/>
    <cellStyle name="Normal 10 4 2 2 2 4 2" xfId="15553"/>
    <cellStyle name="Normal 10 4 2 2 2 5" xfId="9864"/>
    <cellStyle name="Normal 10 4 2 2 2 5 2" xfId="18691"/>
    <cellStyle name="Normal 10 4 2 2 2 6" xfId="11308"/>
    <cellStyle name="Normal 10 4 2 2 2 7" xfId="4947"/>
    <cellStyle name="Normal 10 4 2 2 3" xfId="961"/>
    <cellStyle name="Normal 10 4 2 2 3 2" xfId="2681"/>
    <cellStyle name="Normal 10 4 2 2 3 2 2" xfId="16725"/>
    <cellStyle name="Normal 10 4 2 2 3 2 3" xfId="13146"/>
    <cellStyle name="Normal 10 4 2 2 3 2 4" xfId="7857"/>
    <cellStyle name="Normal 10 4 2 2 3 3" xfId="3949"/>
    <cellStyle name="Normal 10 4 2 2 3 3 2" xfId="17594"/>
    <cellStyle name="Normal 10 4 2 2 3 3 3" xfId="14015"/>
    <cellStyle name="Normal 10 4 2 2 3 3 4" xfId="8758"/>
    <cellStyle name="Normal 10 4 2 2 3 4" xfId="6264"/>
    <cellStyle name="Normal 10 4 2 2 3 4 2" xfId="15348"/>
    <cellStyle name="Normal 10 4 2 2 3 5" xfId="10212"/>
    <cellStyle name="Normal 10 4 2 2 3 5 2" xfId="19039"/>
    <cellStyle name="Normal 10 4 2 2 3 6" xfId="11658"/>
    <cellStyle name="Normal 10 4 2 2 3 7" xfId="5451"/>
    <cellStyle name="Normal 10 4 2 2 4" xfId="1578"/>
    <cellStyle name="Normal 10 4 2 2 4 2" xfId="3176"/>
    <cellStyle name="Normal 10 4 2 2 4 2 2" xfId="18089"/>
    <cellStyle name="Normal 10 4 2 2 4 2 3" xfId="14510"/>
    <cellStyle name="Normal 10 4 2 2 4 2 4" xfId="9253"/>
    <cellStyle name="Normal 10 4 2 2 4 3" xfId="10707"/>
    <cellStyle name="Normal 10 4 2 2 4 3 2" xfId="19534"/>
    <cellStyle name="Normal 10 4 2 2 4 4" xfId="12153"/>
    <cellStyle name="Normal 10 4 2 2 4 5" xfId="7148"/>
    <cellStyle name="Normal 10 4 2 2 5" xfId="2133"/>
    <cellStyle name="Normal 10 4 2 2 5 2" xfId="17046"/>
    <cellStyle name="Normal 10 4 2 2 5 3" xfId="13467"/>
    <cellStyle name="Normal 10 4 2 2 5 4" xfId="8210"/>
    <cellStyle name="Normal 10 4 2 2 6" xfId="5771"/>
    <cellStyle name="Normal 10 4 2 2 6 2" xfId="14857"/>
    <cellStyle name="Normal 10 4 2 2 7" xfId="9664"/>
    <cellStyle name="Normal 10 4 2 2 7 2" xfId="18491"/>
    <cellStyle name="Normal 10 4 2 2 8" xfId="11108"/>
    <cellStyle name="Normal 10 4 2 2 9" xfId="4742"/>
    <cellStyle name="Normal 10 4 2 2_Degree data" xfId="1293"/>
    <cellStyle name="Normal 10 4 2 3" xfId="602"/>
    <cellStyle name="Normal 10 4 2 3 2" xfId="2332"/>
    <cellStyle name="Normal 10 4 2 3 2 2" xfId="16062"/>
    <cellStyle name="Normal 10 4 2 3 2 3" xfId="12463"/>
    <cellStyle name="Normal 10 4 2 3 2 4" xfId="7048"/>
    <cellStyle name="Normal 10 4 2 3 3" xfId="3600"/>
    <cellStyle name="Normal 10 4 2 3 3 2" xfId="17245"/>
    <cellStyle name="Normal 10 4 2 3 3 3" xfId="13666"/>
    <cellStyle name="Normal 10 4 2 3 3 4" xfId="8409"/>
    <cellStyle name="Normal 10 4 2 3 4" xfId="6164"/>
    <cellStyle name="Normal 10 4 2 3 4 2" xfId="15248"/>
    <cellStyle name="Normal 10 4 2 3 5" xfId="9863"/>
    <cellStyle name="Normal 10 4 2 3 5 2" xfId="18690"/>
    <cellStyle name="Normal 10 4 2 3 6" xfId="11307"/>
    <cellStyle name="Normal 10 4 2 3 7" xfId="4642"/>
    <cellStyle name="Normal 10 4 2 4" xfId="960"/>
    <cellStyle name="Normal 10 4 2 4 2" xfId="2680"/>
    <cellStyle name="Normal 10 4 2 4 2 2" xfId="16221"/>
    <cellStyle name="Normal 10 4 2 4 2 3" xfId="12643"/>
    <cellStyle name="Normal 10 4 2 4 2 4" xfId="7352"/>
    <cellStyle name="Normal 10 4 2 4 3" xfId="3948"/>
    <cellStyle name="Normal 10 4 2 4 3 2" xfId="17593"/>
    <cellStyle name="Normal 10 4 2 4 3 3" xfId="14014"/>
    <cellStyle name="Normal 10 4 2 4 3 4" xfId="8757"/>
    <cellStyle name="Normal 10 4 2 4 4" xfId="6468"/>
    <cellStyle name="Normal 10 4 2 4 4 2" xfId="15552"/>
    <cellStyle name="Normal 10 4 2 4 5" xfId="10211"/>
    <cellStyle name="Normal 10 4 2 4 5 2" xfId="19038"/>
    <cellStyle name="Normal 10 4 2 4 6" xfId="11657"/>
    <cellStyle name="Normal 10 4 2 4 7" xfId="4946"/>
    <cellStyle name="Normal 10 4 2 5" xfId="1476"/>
    <cellStyle name="Normal 10 4 2 5 2" xfId="3076"/>
    <cellStyle name="Normal 10 4 2 5 2 2" xfId="16625"/>
    <cellStyle name="Normal 10 4 2 5 2 3" xfId="13046"/>
    <cellStyle name="Normal 10 4 2 5 2 4" xfId="7757"/>
    <cellStyle name="Normal 10 4 2 5 3" xfId="4284"/>
    <cellStyle name="Normal 10 4 2 5 3 2" xfId="17989"/>
    <cellStyle name="Normal 10 4 2 5 3 3" xfId="14410"/>
    <cellStyle name="Normal 10 4 2 5 3 4" xfId="9153"/>
    <cellStyle name="Normal 10 4 2 5 4" xfId="5945"/>
    <cellStyle name="Normal 10 4 2 5 4 2" xfId="15031"/>
    <cellStyle name="Normal 10 4 2 5 5" xfId="10607"/>
    <cellStyle name="Normal 10 4 2 5 5 2" xfId="19434"/>
    <cellStyle name="Normal 10 4 2 5 6" xfId="12053"/>
    <cellStyle name="Normal 10 4 2 5 7" xfId="5351"/>
    <cellStyle name="Normal 10 4 2 6" xfId="2033"/>
    <cellStyle name="Normal 10 4 2 6 2" xfId="15874"/>
    <cellStyle name="Normal 10 4 2 6 3" xfId="12443"/>
    <cellStyle name="Normal 10 4 2 6 4" xfId="6831"/>
    <cellStyle name="Normal 10 4 2 7" xfId="3446"/>
    <cellStyle name="Normal 10 4 2 7 2" xfId="16946"/>
    <cellStyle name="Normal 10 4 2 7 3" xfId="13367"/>
    <cellStyle name="Normal 10 4 2 7 4" xfId="8110"/>
    <cellStyle name="Normal 10 4 2 8" xfId="5671"/>
    <cellStyle name="Normal 10 4 2 8 2" xfId="14757"/>
    <cellStyle name="Normal 10 4 2 9" xfId="9564"/>
    <cellStyle name="Normal 10 4 2 9 2" xfId="18391"/>
    <cellStyle name="Normal 10 4 2_Degree data" xfId="1294"/>
    <cellStyle name="Normal 10 4 3" xfId="214"/>
    <cellStyle name="Normal 10 4 3 10" xfId="10965"/>
    <cellStyle name="Normal 10 4 3 11" xfId="4487"/>
    <cellStyle name="Normal 10 4 3 2" xfId="428"/>
    <cellStyle name="Normal 10 4 3 2 2" xfId="605"/>
    <cellStyle name="Normal 10 4 3 2 2 2" xfId="2335"/>
    <cellStyle name="Normal 10 4 3 2 2 2 2" xfId="16224"/>
    <cellStyle name="Normal 10 4 3 2 2 2 3" xfId="12646"/>
    <cellStyle name="Normal 10 4 3 2 2 2 4" xfId="7355"/>
    <cellStyle name="Normal 10 4 3 2 2 3" xfId="3603"/>
    <cellStyle name="Normal 10 4 3 2 2 3 2" xfId="17248"/>
    <cellStyle name="Normal 10 4 3 2 2 3 3" xfId="13669"/>
    <cellStyle name="Normal 10 4 3 2 2 3 4" xfId="8412"/>
    <cellStyle name="Normal 10 4 3 2 2 4" xfId="6471"/>
    <cellStyle name="Normal 10 4 3 2 2 4 2" xfId="15555"/>
    <cellStyle name="Normal 10 4 3 2 2 5" xfId="9866"/>
    <cellStyle name="Normal 10 4 3 2 2 5 2" xfId="18693"/>
    <cellStyle name="Normal 10 4 3 2 2 6" xfId="11310"/>
    <cellStyle name="Normal 10 4 3 2 2 7" xfId="4949"/>
    <cellStyle name="Normal 10 4 3 2 3" xfId="963"/>
    <cellStyle name="Normal 10 4 3 2 3 2" xfId="2683"/>
    <cellStyle name="Normal 10 4 3 2 3 2 2" xfId="16787"/>
    <cellStyle name="Normal 10 4 3 2 3 2 3" xfId="13208"/>
    <cellStyle name="Normal 10 4 3 2 3 2 4" xfId="7919"/>
    <cellStyle name="Normal 10 4 3 2 3 3" xfId="3951"/>
    <cellStyle name="Normal 10 4 3 2 3 3 2" xfId="17596"/>
    <cellStyle name="Normal 10 4 3 2 3 3 3" xfId="14017"/>
    <cellStyle name="Normal 10 4 3 2 3 3 4" xfId="8760"/>
    <cellStyle name="Normal 10 4 3 2 3 4" xfId="6326"/>
    <cellStyle name="Normal 10 4 3 2 3 4 2" xfId="15410"/>
    <cellStyle name="Normal 10 4 3 2 3 5" xfId="10214"/>
    <cellStyle name="Normal 10 4 3 2 3 5 2" xfId="19041"/>
    <cellStyle name="Normal 10 4 3 2 3 6" xfId="11660"/>
    <cellStyle name="Normal 10 4 3 2 3 7" xfId="5513"/>
    <cellStyle name="Normal 10 4 3 2 4" xfId="1642"/>
    <cellStyle name="Normal 10 4 3 2 4 2" xfId="3238"/>
    <cellStyle name="Normal 10 4 3 2 4 2 2" xfId="18151"/>
    <cellStyle name="Normal 10 4 3 2 4 2 3" xfId="14572"/>
    <cellStyle name="Normal 10 4 3 2 4 2 4" xfId="9315"/>
    <cellStyle name="Normal 10 4 3 2 4 3" xfId="10769"/>
    <cellStyle name="Normal 10 4 3 2 4 3 2" xfId="19596"/>
    <cellStyle name="Normal 10 4 3 2 4 4" xfId="12215"/>
    <cellStyle name="Normal 10 4 3 2 4 5" xfId="7210"/>
    <cellStyle name="Normal 10 4 3 2 5" xfId="2195"/>
    <cellStyle name="Normal 10 4 3 2 5 2" xfId="17108"/>
    <cellStyle name="Normal 10 4 3 2 5 3" xfId="13529"/>
    <cellStyle name="Normal 10 4 3 2 5 4" xfId="8272"/>
    <cellStyle name="Normal 10 4 3 2 6" xfId="5833"/>
    <cellStyle name="Normal 10 4 3 2 6 2" xfId="14919"/>
    <cellStyle name="Normal 10 4 3 2 7" xfId="9726"/>
    <cellStyle name="Normal 10 4 3 2 7 2" xfId="18553"/>
    <cellStyle name="Normal 10 4 3 2 8" xfId="11170"/>
    <cellStyle name="Normal 10 4 3 2 9" xfId="4804"/>
    <cellStyle name="Normal 10 4 3 2_Degree data" xfId="1326"/>
    <cellStyle name="Normal 10 4 3 3" xfId="604"/>
    <cellStyle name="Normal 10 4 3 3 2" xfId="2334"/>
    <cellStyle name="Normal 10 4 3 3 2 2" xfId="16019"/>
    <cellStyle name="Normal 10 4 3 3 2 3" xfId="12288"/>
    <cellStyle name="Normal 10 4 3 3 2 4" xfId="7005"/>
    <cellStyle name="Normal 10 4 3 3 3" xfId="3602"/>
    <cellStyle name="Normal 10 4 3 3 3 2" xfId="17247"/>
    <cellStyle name="Normal 10 4 3 3 3 3" xfId="13668"/>
    <cellStyle name="Normal 10 4 3 3 3 4" xfId="8411"/>
    <cellStyle name="Normal 10 4 3 3 4" xfId="6121"/>
    <cellStyle name="Normal 10 4 3 3 4 2" xfId="15205"/>
    <cellStyle name="Normal 10 4 3 3 5" xfId="9865"/>
    <cellStyle name="Normal 10 4 3 3 5 2" xfId="18692"/>
    <cellStyle name="Normal 10 4 3 3 6" xfId="11309"/>
    <cellStyle name="Normal 10 4 3 3 7" xfId="4599"/>
    <cellStyle name="Normal 10 4 3 4" xfId="962"/>
    <cellStyle name="Normal 10 4 3 4 2" xfId="2682"/>
    <cellStyle name="Normal 10 4 3 4 2 2" xfId="16223"/>
    <cellStyle name="Normal 10 4 3 4 2 3" xfId="12645"/>
    <cellStyle name="Normal 10 4 3 4 2 4" xfId="7354"/>
    <cellStyle name="Normal 10 4 3 4 3" xfId="3950"/>
    <cellStyle name="Normal 10 4 3 4 3 2" xfId="17595"/>
    <cellStyle name="Normal 10 4 3 4 3 3" xfId="14016"/>
    <cellStyle name="Normal 10 4 3 4 3 4" xfId="8759"/>
    <cellStyle name="Normal 10 4 3 4 4" xfId="6470"/>
    <cellStyle name="Normal 10 4 3 4 4 2" xfId="15554"/>
    <cellStyle name="Normal 10 4 3 4 5" xfId="10213"/>
    <cellStyle name="Normal 10 4 3 4 5 2" xfId="19040"/>
    <cellStyle name="Normal 10 4 3 4 6" xfId="11659"/>
    <cellStyle name="Normal 10 4 3 4 7" xfId="4948"/>
    <cellStyle name="Normal 10 4 3 5" xfId="1431"/>
    <cellStyle name="Normal 10 4 3 5 2" xfId="3033"/>
    <cellStyle name="Normal 10 4 3 5 2 2" xfId="16582"/>
    <cellStyle name="Normal 10 4 3 5 2 3" xfId="13003"/>
    <cellStyle name="Normal 10 4 3 5 2 4" xfId="7714"/>
    <cellStyle name="Normal 10 4 3 5 3" xfId="4241"/>
    <cellStyle name="Normal 10 4 3 5 3 2" xfId="17946"/>
    <cellStyle name="Normal 10 4 3 5 3 3" xfId="14367"/>
    <cellStyle name="Normal 10 4 3 5 3 4" xfId="9110"/>
    <cellStyle name="Normal 10 4 3 5 4" xfId="6007"/>
    <cellStyle name="Normal 10 4 3 5 4 2" xfId="15093"/>
    <cellStyle name="Normal 10 4 3 5 5" xfId="10564"/>
    <cellStyle name="Normal 10 4 3 5 5 2" xfId="19391"/>
    <cellStyle name="Normal 10 4 3 5 6" xfId="12010"/>
    <cellStyle name="Normal 10 4 3 5 7" xfId="5308"/>
    <cellStyle name="Normal 10 4 3 6" xfId="1990"/>
    <cellStyle name="Normal 10 4 3 6 2" xfId="15936"/>
    <cellStyle name="Normal 10 4 3 6 3" xfId="12303"/>
    <cellStyle name="Normal 10 4 3 6 4" xfId="6893"/>
    <cellStyle name="Normal 10 4 3 7" xfId="3404"/>
    <cellStyle name="Normal 10 4 3 7 2" xfId="16903"/>
    <cellStyle name="Normal 10 4 3 7 3" xfId="13324"/>
    <cellStyle name="Normal 10 4 3 7 4" xfId="8067"/>
    <cellStyle name="Normal 10 4 3 8" xfId="5628"/>
    <cellStyle name="Normal 10 4 3 8 2" xfId="14714"/>
    <cellStyle name="Normal 10 4 3 9" xfId="9521"/>
    <cellStyle name="Normal 10 4 3 9 2" xfId="18348"/>
    <cellStyle name="Normal 10 4 3_Degree data" xfId="1317"/>
    <cellStyle name="Normal 10 4 4" xfId="322"/>
    <cellStyle name="Normal 10 4 4 2" xfId="606"/>
    <cellStyle name="Normal 10 4 4 2 2" xfId="2336"/>
    <cellStyle name="Normal 10 4 4 2 2 2" xfId="16225"/>
    <cellStyle name="Normal 10 4 4 2 2 3" xfId="12647"/>
    <cellStyle name="Normal 10 4 4 2 2 4" xfId="7356"/>
    <cellStyle name="Normal 10 4 4 2 3" xfId="3604"/>
    <cellStyle name="Normal 10 4 4 2 3 2" xfId="17249"/>
    <cellStyle name="Normal 10 4 4 2 3 3" xfId="13670"/>
    <cellStyle name="Normal 10 4 4 2 3 4" xfId="8413"/>
    <cellStyle name="Normal 10 4 4 2 4" xfId="6472"/>
    <cellStyle name="Normal 10 4 4 2 4 2" xfId="15556"/>
    <cellStyle name="Normal 10 4 4 2 5" xfId="9867"/>
    <cellStyle name="Normal 10 4 4 2 5 2" xfId="18694"/>
    <cellStyle name="Normal 10 4 4 2 6" xfId="11311"/>
    <cellStyle name="Normal 10 4 4 2 7" xfId="4950"/>
    <cellStyle name="Normal 10 4 4 3" xfId="964"/>
    <cellStyle name="Normal 10 4 4 3 2" xfId="2684"/>
    <cellStyle name="Normal 10 4 4 3 2 2" xfId="16682"/>
    <cellStyle name="Normal 10 4 4 3 2 3" xfId="13103"/>
    <cellStyle name="Normal 10 4 4 3 2 4" xfId="7814"/>
    <cellStyle name="Normal 10 4 4 3 3" xfId="3952"/>
    <cellStyle name="Normal 10 4 4 3 3 2" xfId="17597"/>
    <cellStyle name="Normal 10 4 4 3 3 3" xfId="14018"/>
    <cellStyle name="Normal 10 4 4 3 3 4" xfId="8761"/>
    <cellStyle name="Normal 10 4 4 3 4" xfId="6221"/>
    <cellStyle name="Normal 10 4 4 3 4 2" xfId="15305"/>
    <cellStyle name="Normal 10 4 4 3 5" xfId="10215"/>
    <cellStyle name="Normal 10 4 4 3 5 2" xfId="19042"/>
    <cellStyle name="Normal 10 4 4 3 6" xfId="11661"/>
    <cellStyle name="Normal 10 4 4 3 7" xfId="5408"/>
    <cellStyle name="Normal 10 4 4 4" xfId="1534"/>
    <cellStyle name="Normal 10 4 4 4 2" xfId="3133"/>
    <cellStyle name="Normal 10 4 4 4 2 2" xfId="18046"/>
    <cellStyle name="Normal 10 4 4 4 2 3" xfId="14467"/>
    <cellStyle name="Normal 10 4 4 4 2 4" xfId="9210"/>
    <cellStyle name="Normal 10 4 4 4 3" xfId="10664"/>
    <cellStyle name="Normal 10 4 4 4 3 2" xfId="19491"/>
    <cellStyle name="Normal 10 4 4 4 4" xfId="12110"/>
    <cellStyle name="Normal 10 4 4 4 5" xfId="7105"/>
    <cellStyle name="Normal 10 4 4 5" xfId="2090"/>
    <cellStyle name="Normal 10 4 4 5 2" xfId="17003"/>
    <cellStyle name="Normal 10 4 4 5 3" xfId="13424"/>
    <cellStyle name="Normal 10 4 4 5 4" xfId="8167"/>
    <cellStyle name="Normal 10 4 4 6" xfId="5728"/>
    <cellStyle name="Normal 10 4 4 6 2" xfId="14814"/>
    <cellStyle name="Normal 10 4 4 7" xfId="9621"/>
    <cellStyle name="Normal 10 4 4 7 2" xfId="18448"/>
    <cellStyle name="Normal 10 4 4 8" xfId="11065"/>
    <cellStyle name="Normal 10 4 4 9" xfId="4699"/>
    <cellStyle name="Normal 10 4 4_Degree data" xfId="1271"/>
    <cellStyle name="Normal 10 4 5" xfId="601"/>
    <cellStyle name="Normal 10 4 5 2" xfId="2331"/>
    <cellStyle name="Normal 10 4 5 2 2" xfId="15976"/>
    <cellStyle name="Normal 10 4 5 2 3" xfId="12407"/>
    <cellStyle name="Normal 10 4 5 2 4" xfId="6946"/>
    <cellStyle name="Normal 10 4 5 3" xfId="3599"/>
    <cellStyle name="Normal 10 4 5 3 2" xfId="17244"/>
    <cellStyle name="Normal 10 4 5 3 3" xfId="13665"/>
    <cellStyle name="Normal 10 4 5 3 4" xfId="8408"/>
    <cellStyle name="Normal 10 4 5 4" xfId="6062"/>
    <cellStyle name="Normal 10 4 5 4 2" xfId="15146"/>
    <cellStyle name="Normal 10 4 5 5" xfId="9862"/>
    <cellStyle name="Normal 10 4 5 5 2" xfId="18689"/>
    <cellStyle name="Normal 10 4 5 6" xfId="11306"/>
    <cellStyle name="Normal 10 4 5 7" xfId="4540"/>
    <cellStyle name="Normal 10 4 6" xfId="959"/>
    <cellStyle name="Normal 10 4 6 2" xfId="2679"/>
    <cellStyle name="Normal 10 4 6 2 2" xfId="16220"/>
    <cellStyle name="Normal 10 4 6 2 3" xfId="12642"/>
    <cellStyle name="Normal 10 4 6 2 4" xfId="7351"/>
    <cellStyle name="Normal 10 4 6 3" xfId="3947"/>
    <cellStyle name="Normal 10 4 6 3 2" xfId="17592"/>
    <cellStyle name="Normal 10 4 6 3 3" xfId="14013"/>
    <cellStyle name="Normal 10 4 6 3 4" xfId="8756"/>
    <cellStyle name="Normal 10 4 6 4" xfId="6467"/>
    <cellStyle name="Normal 10 4 6 4 2" xfId="15551"/>
    <cellStyle name="Normal 10 4 6 5" xfId="10210"/>
    <cellStyle name="Normal 10 4 6 5 2" xfId="19037"/>
    <cellStyle name="Normal 10 4 6 6" xfId="11656"/>
    <cellStyle name="Normal 10 4 6 7" xfId="4945"/>
    <cellStyle name="Normal 10 4 7" xfId="1363"/>
    <cellStyle name="Normal 10 4 7 2" xfId="2974"/>
    <cellStyle name="Normal 10 4 7 2 2" xfId="16523"/>
    <cellStyle name="Normal 10 4 7 2 3" xfId="12945"/>
    <cellStyle name="Normal 10 4 7 2 4" xfId="7655"/>
    <cellStyle name="Normal 10 4 7 3" xfId="4199"/>
    <cellStyle name="Normal 10 4 7 3 2" xfId="17887"/>
    <cellStyle name="Normal 10 4 7 3 3" xfId="14308"/>
    <cellStyle name="Normal 10 4 7 3 4" xfId="9051"/>
    <cellStyle name="Normal 10 4 7 4" xfId="5901"/>
    <cellStyle name="Normal 10 4 7 4 2" xfId="14987"/>
    <cellStyle name="Normal 10 4 7 5" xfId="10505"/>
    <cellStyle name="Normal 10 4 7 5 2" xfId="19332"/>
    <cellStyle name="Normal 10 4 7 6" xfId="11951"/>
    <cellStyle name="Normal 10 4 7 7" xfId="5249"/>
    <cellStyle name="Normal 10 4 8" xfId="1931"/>
    <cellStyle name="Normal 10 4 8 2" xfId="9462"/>
    <cellStyle name="Normal 10 4 8 2 2" xfId="18289"/>
    <cellStyle name="Normal 10 4 8 3" xfId="10906"/>
    <cellStyle name="Normal 10 4 8 4" xfId="6788"/>
    <cellStyle name="Normal 10 4 9" xfId="1855"/>
    <cellStyle name="Normal 10 4 9 2" xfId="16842"/>
    <cellStyle name="Normal 10 4 9 3" xfId="13263"/>
    <cellStyle name="Normal 10 4 9 4" xfId="8006"/>
    <cellStyle name="Normal 10 4_Degree data" xfId="1295"/>
    <cellStyle name="Normal 10 5" xfId="248"/>
    <cellStyle name="Normal 10 5 10" xfId="10999"/>
    <cellStyle name="Normal 10 5 11" xfId="4416"/>
    <cellStyle name="Normal 10 5 2" xfId="356"/>
    <cellStyle name="Normal 10 5 2 2" xfId="608"/>
    <cellStyle name="Normal 10 5 2 2 2" xfId="2338"/>
    <cellStyle name="Normal 10 5 2 2 2 2" xfId="16227"/>
    <cellStyle name="Normal 10 5 2 2 2 3" xfId="12649"/>
    <cellStyle name="Normal 10 5 2 2 2 4" xfId="7358"/>
    <cellStyle name="Normal 10 5 2 2 3" xfId="3606"/>
    <cellStyle name="Normal 10 5 2 2 3 2" xfId="17251"/>
    <cellStyle name="Normal 10 5 2 2 3 3" xfId="13672"/>
    <cellStyle name="Normal 10 5 2 2 3 4" xfId="8415"/>
    <cellStyle name="Normal 10 5 2 2 4" xfId="6474"/>
    <cellStyle name="Normal 10 5 2 2 4 2" xfId="15558"/>
    <cellStyle name="Normal 10 5 2 2 5" xfId="9869"/>
    <cellStyle name="Normal 10 5 2 2 5 2" xfId="18696"/>
    <cellStyle name="Normal 10 5 2 2 6" xfId="11313"/>
    <cellStyle name="Normal 10 5 2 2 7" xfId="4952"/>
    <cellStyle name="Normal 10 5 2 3" xfId="966"/>
    <cellStyle name="Normal 10 5 2 3 2" xfId="2686"/>
    <cellStyle name="Normal 10 5 2 3 2 2" xfId="16716"/>
    <cellStyle name="Normal 10 5 2 3 2 3" xfId="13137"/>
    <cellStyle name="Normal 10 5 2 3 2 4" xfId="7848"/>
    <cellStyle name="Normal 10 5 2 3 3" xfId="3954"/>
    <cellStyle name="Normal 10 5 2 3 3 2" xfId="17599"/>
    <cellStyle name="Normal 10 5 2 3 3 3" xfId="14020"/>
    <cellStyle name="Normal 10 5 2 3 3 4" xfId="8763"/>
    <cellStyle name="Normal 10 5 2 3 4" xfId="6255"/>
    <cellStyle name="Normal 10 5 2 3 4 2" xfId="15339"/>
    <cellStyle name="Normal 10 5 2 3 5" xfId="10217"/>
    <cellStyle name="Normal 10 5 2 3 5 2" xfId="19044"/>
    <cellStyle name="Normal 10 5 2 3 6" xfId="11663"/>
    <cellStyle name="Normal 10 5 2 3 7" xfId="5442"/>
    <cellStyle name="Normal 10 5 2 4" xfId="1569"/>
    <cellStyle name="Normal 10 5 2 4 2" xfId="3167"/>
    <cellStyle name="Normal 10 5 2 4 2 2" xfId="18080"/>
    <cellStyle name="Normal 10 5 2 4 2 3" xfId="14501"/>
    <cellStyle name="Normal 10 5 2 4 2 4" xfId="9244"/>
    <cellStyle name="Normal 10 5 2 4 3" xfId="10698"/>
    <cellStyle name="Normal 10 5 2 4 3 2" xfId="19525"/>
    <cellStyle name="Normal 10 5 2 4 4" xfId="12144"/>
    <cellStyle name="Normal 10 5 2 4 5" xfId="7139"/>
    <cellStyle name="Normal 10 5 2 5" xfId="2124"/>
    <cellStyle name="Normal 10 5 2 5 2" xfId="17037"/>
    <cellStyle name="Normal 10 5 2 5 3" xfId="13458"/>
    <cellStyle name="Normal 10 5 2 5 4" xfId="8201"/>
    <cellStyle name="Normal 10 5 2 6" xfId="5762"/>
    <cellStyle name="Normal 10 5 2 6 2" xfId="14848"/>
    <cellStyle name="Normal 10 5 2 7" xfId="9655"/>
    <cellStyle name="Normal 10 5 2 7 2" xfId="18482"/>
    <cellStyle name="Normal 10 5 2 8" xfId="11099"/>
    <cellStyle name="Normal 10 5 2 9" xfId="4733"/>
    <cellStyle name="Normal 10 5 2_Degree data" xfId="1291"/>
    <cellStyle name="Normal 10 5 3" xfId="607"/>
    <cellStyle name="Normal 10 5 3 2" xfId="2337"/>
    <cellStyle name="Normal 10 5 3 2 2" xfId="16053"/>
    <cellStyle name="Normal 10 5 3 2 3" xfId="12259"/>
    <cellStyle name="Normal 10 5 3 2 4" xfId="7039"/>
    <cellStyle name="Normal 10 5 3 3" xfId="3605"/>
    <cellStyle name="Normal 10 5 3 3 2" xfId="17250"/>
    <cellStyle name="Normal 10 5 3 3 3" xfId="13671"/>
    <cellStyle name="Normal 10 5 3 3 4" xfId="8414"/>
    <cellStyle name="Normal 10 5 3 4" xfId="6155"/>
    <cellStyle name="Normal 10 5 3 4 2" xfId="15239"/>
    <cellStyle name="Normal 10 5 3 5" xfId="9868"/>
    <cellStyle name="Normal 10 5 3 5 2" xfId="18695"/>
    <cellStyle name="Normal 10 5 3 6" xfId="11312"/>
    <cellStyle name="Normal 10 5 3 7" xfId="4633"/>
    <cellStyle name="Normal 10 5 4" xfId="965"/>
    <cellStyle name="Normal 10 5 4 2" xfId="2685"/>
    <cellStyle name="Normal 10 5 4 2 2" xfId="16226"/>
    <cellStyle name="Normal 10 5 4 2 3" xfId="12648"/>
    <cellStyle name="Normal 10 5 4 2 4" xfId="7357"/>
    <cellStyle name="Normal 10 5 4 3" xfId="3953"/>
    <cellStyle name="Normal 10 5 4 3 2" xfId="17598"/>
    <cellStyle name="Normal 10 5 4 3 3" xfId="14019"/>
    <cellStyle name="Normal 10 5 4 3 4" xfId="8762"/>
    <cellStyle name="Normal 10 5 4 4" xfId="6473"/>
    <cellStyle name="Normal 10 5 4 4 2" xfId="15557"/>
    <cellStyle name="Normal 10 5 4 5" xfId="10216"/>
    <cellStyle name="Normal 10 5 4 5 2" xfId="19043"/>
    <cellStyle name="Normal 10 5 4 6" xfId="11662"/>
    <cellStyle name="Normal 10 5 4 7" xfId="4951"/>
    <cellStyle name="Normal 10 5 5" xfId="1467"/>
    <cellStyle name="Normal 10 5 5 2" xfId="3067"/>
    <cellStyle name="Normal 10 5 5 2 2" xfId="16616"/>
    <cellStyle name="Normal 10 5 5 2 3" xfId="13037"/>
    <cellStyle name="Normal 10 5 5 2 4" xfId="7748"/>
    <cellStyle name="Normal 10 5 5 3" xfId="4275"/>
    <cellStyle name="Normal 10 5 5 3 2" xfId="17980"/>
    <cellStyle name="Normal 10 5 5 3 3" xfId="14401"/>
    <cellStyle name="Normal 10 5 5 3 4" xfId="9144"/>
    <cellStyle name="Normal 10 5 5 4" xfId="5936"/>
    <cellStyle name="Normal 10 5 5 4 2" xfId="15022"/>
    <cellStyle name="Normal 10 5 5 5" xfId="10598"/>
    <cellStyle name="Normal 10 5 5 5 2" xfId="19425"/>
    <cellStyle name="Normal 10 5 5 6" xfId="12044"/>
    <cellStyle name="Normal 10 5 5 7" xfId="5342"/>
    <cellStyle name="Normal 10 5 6" xfId="2024"/>
    <cellStyle name="Normal 10 5 6 2" xfId="15865"/>
    <cellStyle name="Normal 10 5 6 3" xfId="12265"/>
    <cellStyle name="Normal 10 5 6 4" xfId="6822"/>
    <cellStyle name="Normal 10 5 7" xfId="3437"/>
    <cellStyle name="Normal 10 5 7 2" xfId="16937"/>
    <cellStyle name="Normal 10 5 7 3" xfId="13358"/>
    <cellStyle name="Normal 10 5 7 4" xfId="8101"/>
    <cellStyle name="Normal 10 5 8" xfId="5662"/>
    <cellStyle name="Normal 10 5 8 2" xfId="14748"/>
    <cellStyle name="Normal 10 5 9" xfId="9555"/>
    <cellStyle name="Normal 10 5 9 2" xfId="18382"/>
    <cellStyle name="Normal 10 5_Degree data" xfId="1292"/>
    <cellStyle name="Normal 10 6" xfId="582"/>
    <cellStyle name="Normal 10 6 2" xfId="2312"/>
    <cellStyle name="Normal 10 6 2 2" xfId="16201"/>
    <cellStyle name="Normal 10 6 2 3" xfId="12623"/>
    <cellStyle name="Normal 10 6 2 4" xfId="7332"/>
    <cellStyle name="Normal 10 6 3" xfId="3580"/>
    <cellStyle name="Normal 10 6 3 2" xfId="17225"/>
    <cellStyle name="Normal 10 6 3 3" xfId="13646"/>
    <cellStyle name="Normal 10 6 3 4" xfId="8389"/>
    <cellStyle name="Normal 10 6 4" xfId="6448"/>
    <cellStyle name="Normal 10 6 4 2" xfId="15532"/>
    <cellStyle name="Normal 10 6 5" xfId="9843"/>
    <cellStyle name="Normal 10 6 5 2" xfId="18670"/>
    <cellStyle name="Normal 10 6 6" xfId="11287"/>
    <cellStyle name="Normal 10 6 7" xfId="4926"/>
    <cellStyle name="Normal 10 7" xfId="940"/>
    <cellStyle name="Normal 10 7 2" xfId="2660"/>
    <cellStyle name="Normal 10 7 2 2" xfId="16480"/>
    <cellStyle name="Normal 10 7 2 3" xfId="12902"/>
    <cellStyle name="Normal 10 7 2 4" xfId="7612"/>
    <cellStyle name="Normal 10 7 3" xfId="3928"/>
    <cellStyle name="Normal 10 7 3 2" xfId="17573"/>
    <cellStyle name="Normal 10 7 3 3" xfId="13994"/>
    <cellStyle name="Normal 10 7 3 4" xfId="8737"/>
    <cellStyle name="Normal 10 7 4" xfId="6738"/>
    <cellStyle name="Normal 10 7 4 2" xfId="15821"/>
    <cellStyle name="Normal 10 7 5" xfId="10191"/>
    <cellStyle name="Normal 10 7 5 2" xfId="19018"/>
    <cellStyle name="Normal 10 7 6" xfId="11637"/>
    <cellStyle name="Normal 10 7 7" xfId="5206"/>
    <cellStyle name="Normal 10 8" xfId="1264"/>
    <cellStyle name="Normal 10 8 2" xfId="2931"/>
    <cellStyle name="Normal 10 8 2 2" xfId="17844"/>
    <cellStyle name="Normal 10 8 2 3" xfId="14265"/>
    <cellStyle name="Normal 10 8 2 4" xfId="9008"/>
    <cellStyle name="Normal 10 8 3" xfId="10462"/>
    <cellStyle name="Normal 10 8 3 2" xfId="19289"/>
    <cellStyle name="Normal 10 8 4" xfId="11908"/>
    <cellStyle name="Normal 10 8 5" xfId="7958"/>
    <cellStyle name="Normal 10 9" xfId="1888"/>
    <cellStyle name="Normal 10 9 2" xfId="9419"/>
    <cellStyle name="Normal 10 9 2 2" xfId="18246"/>
    <cellStyle name="Normal 10 9 3" xfId="10863"/>
    <cellStyle name="Normal 10 9 4" xfId="7962"/>
    <cellStyle name="Normal 10_Degree data" xfId="1213"/>
    <cellStyle name="Normal 100" xfId="9371"/>
    <cellStyle name="Normal 100 2" xfId="19646"/>
    <cellStyle name="Normal 101" xfId="10807"/>
    <cellStyle name="Normal 101 2" xfId="14621"/>
    <cellStyle name="Normal 102" xfId="10809"/>
    <cellStyle name="Normal 102 2" xfId="14638"/>
    <cellStyle name="Normal 103" xfId="19634"/>
    <cellStyle name="Normal 104" xfId="10808"/>
    <cellStyle name="Normal 105" xfId="10844"/>
    <cellStyle name="Normal 106" xfId="4350"/>
    <cellStyle name="Normal 107" xfId="468"/>
    <cellStyle name="Normal 108" xfId="19635"/>
    <cellStyle name="Normal 109" xfId="19637"/>
    <cellStyle name="Normal 11" xfId="119"/>
    <cellStyle name="Normal 110" xfId="19638"/>
    <cellStyle name="Normal 12" xfId="29"/>
    <cellStyle name="Normal 12 2" xfId="127"/>
    <cellStyle name="Normal 12 3" xfId="110"/>
    <cellStyle name="Normal 13" xfId="54"/>
    <cellStyle name="Normal 13 2" xfId="30"/>
    <cellStyle name="Normal 13 3" xfId="121"/>
    <cellStyle name="Normal 13 3 2" xfId="141"/>
    <cellStyle name="Normal 13 3 3" xfId="168"/>
    <cellStyle name="Normal 14" xfId="28"/>
    <cellStyle name="Normal 14 2" xfId="126"/>
    <cellStyle name="Normal 14 3" xfId="108"/>
    <cellStyle name="Normal 143" xfId="19670"/>
    <cellStyle name="Normal 144" xfId="19671"/>
    <cellStyle name="Normal 148" xfId="19658"/>
    <cellStyle name="Normal 149" xfId="19659"/>
    <cellStyle name="Normal 15" xfId="109"/>
    <cellStyle name="Normal 15 2" xfId="609"/>
    <cellStyle name="Normal 15 2 2" xfId="967"/>
    <cellStyle name="Normal 15 2 2 2" xfId="2687"/>
    <cellStyle name="Normal 15 2 2 2 2" xfId="16824"/>
    <cellStyle name="Normal 15 2 2 2 3" xfId="13245"/>
    <cellStyle name="Normal 15 2 2 2 4" xfId="7956"/>
    <cellStyle name="Normal 15 2 2 3" xfId="3955"/>
    <cellStyle name="Normal 15 2 2 3 2" xfId="17600"/>
    <cellStyle name="Normal 15 2 2 3 3" xfId="14021"/>
    <cellStyle name="Normal 15 2 2 3 4" xfId="8764"/>
    <cellStyle name="Normal 15 2 2 4" xfId="6735"/>
    <cellStyle name="Normal 15 2 2 4 2" xfId="15818"/>
    <cellStyle name="Normal 15 2 2 5" xfId="10218"/>
    <cellStyle name="Normal 15 2 2 5 2" xfId="19045"/>
    <cellStyle name="Normal 15 2 2 6" xfId="11664"/>
    <cellStyle name="Normal 15 2 2 7" xfId="5550"/>
    <cellStyle name="Normal 15 2 3" xfId="1682"/>
    <cellStyle name="Normal 15 2 3 2" xfId="3275"/>
    <cellStyle name="Normal 15 2 3 2 2" xfId="18188"/>
    <cellStyle name="Normal 15 2 3 2 3" xfId="14609"/>
    <cellStyle name="Normal 15 2 3 2 4" xfId="9352"/>
    <cellStyle name="Normal 15 2 3 3" xfId="10806"/>
    <cellStyle name="Normal 15 2 3 3 2" xfId="19633"/>
    <cellStyle name="Normal 15 2 3 4" xfId="12252"/>
    <cellStyle name="Normal 15 2 3 5" xfId="7359"/>
    <cellStyle name="Normal 15 2 4" xfId="2339"/>
    <cellStyle name="Normal 15 2 4 2" xfId="17252"/>
    <cellStyle name="Normal 15 2 4 3" xfId="13673"/>
    <cellStyle name="Normal 15 2 4 4" xfId="8416"/>
    <cellStyle name="Normal 15 2 5" xfId="6475"/>
    <cellStyle name="Normal 15 2 5 2" xfId="15559"/>
    <cellStyle name="Normal 15 2 6" xfId="9870"/>
    <cellStyle name="Normal 15 2 6 2" xfId="18697"/>
    <cellStyle name="Normal 15 2 7" xfId="11314"/>
    <cellStyle name="Normal 15 2 8" xfId="4953"/>
    <cellStyle name="Normal 15 2_Degree data" xfId="1590"/>
    <cellStyle name="Normal 150" xfId="19660"/>
    <cellStyle name="Normal 151" xfId="19661"/>
    <cellStyle name="Normal 152" xfId="19662"/>
    <cellStyle name="Normal 153" xfId="19663"/>
    <cellStyle name="Normal 154" xfId="19664"/>
    <cellStyle name="Normal 16" xfId="55"/>
    <cellStyle name="Normal 17" xfId="17"/>
    <cellStyle name="Normal 17 2" xfId="56"/>
    <cellStyle name="Normal 18" xfId="16"/>
    <cellStyle name="Normal 18 2" xfId="57"/>
    <cellStyle name="Normal 19" xfId="80"/>
    <cellStyle name="Normal 19 2" xfId="134"/>
    <cellStyle name="Normal 19 3" xfId="103"/>
    <cellStyle name="Normal 2" xfId="10"/>
    <cellStyle name="Normal 2 2" xfId="22"/>
    <cellStyle name="Normal 2 2 2" xfId="41"/>
    <cellStyle name="Normal 2 3" xfId="40"/>
    <cellStyle name="Normal 2 3 2" xfId="42"/>
    <cellStyle name="Normal 2 4" xfId="96"/>
    <cellStyle name="Normal 2 4 2" xfId="285"/>
    <cellStyle name="Normal 2 5" xfId="43"/>
    <cellStyle name="Normal 2 5 10" xfId="472"/>
    <cellStyle name="Normal 2 5 10 2" xfId="611"/>
    <cellStyle name="Normal 2 5 10 2 2" xfId="2341"/>
    <cellStyle name="Normal 2 5 10 2 2 2" xfId="16229"/>
    <cellStyle name="Normal 2 5 10 2 2 3" xfId="12651"/>
    <cellStyle name="Normal 2 5 10 2 2 4" xfId="7361"/>
    <cellStyle name="Normal 2 5 10 2 3" xfId="3608"/>
    <cellStyle name="Normal 2 5 10 2 3 2" xfId="17254"/>
    <cellStyle name="Normal 2 5 10 2 3 3" xfId="13675"/>
    <cellStyle name="Normal 2 5 10 2 3 4" xfId="8418"/>
    <cellStyle name="Normal 2 5 10 2 4" xfId="6477"/>
    <cellStyle name="Normal 2 5 10 2 4 2" xfId="15561"/>
    <cellStyle name="Normal 2 5 10 2 5" xfId="9872"/>
    <cellStyle name="Normal 2 5 10 2 5 2" xfId="18699"/>
    <cellStyle name="Normal 2 5 10 2 6" xfId="11316"/>
    <cellStyle name="Normal 2 5 10 2 7" xfId="4955"/>
    <cellStyle name="Normal 2 5 10 3" xfId="969"/>
    <cellStyle name="Normal 2 5 10 3 2" xfId="2689"/>
    <cellStyle name="Normal 2 5 10 3 2 2" xfId="16510"/>
    <cellStyle name="Normal 2 5 10 3 2 3" xfId="12932"/>
    <cellStyle name="Normal 2 5 10 3 2 4" xfId="7642"/>
    <cellStyle name="Normal 2 5 10 3 3" xfId="3957"/>
    <cellStyle name="Normal 2 5 10 3 3 2" xfId="17602"/>
    <cellStyle name="Normal 2 5 10 3 3 3" xfId="14023"/>
    <cellStyle name="Normal 2 5 10 3 3 4" xfId="8766"/>
    <cellStyle name="Normal 2 5 10 3 4" xfId="6729"/>
    <cellStyle name="Normal 2 5 10 3 4 2" xfId="15812"/>
    <cellStyle name="Normal 2 5 10 3 5" xfId="10220"/>
    <cellStyle name="Normal 2 5 10 3 5 2" xfId="19047"/>
    <cellStyle name="Normal 2 5 10 3 6" xfId="11666"/>
    <cellStyle name="Normal 2 5 10 3 7" xfId="5236"/>
    <cellStyle name="Normal 2 5 10 4" xfId="1348"/>
    <cellStyle name="Normal 2 5 10 4 2" xfId="2961"/>
    <cellStyle name="Normal 2 5 10 4 2 2" xfId="17874"/>
    <cellStyle name="Normal 2 5 10 4 2 3" xfId="14295"/>
    <cellStyle name="Normal 2 5 10 4 2 4" xfId="9038"/>
    <cellStyle name="Normal 2 5 10 4 3" xfId="10492"/>
    <cellStyle name="Normal 2 5 10 4 3 2" xfId="19319"/>
    <cellStyle name="Normal 2 5 10 4 4" xfId="11938"/>
    <cellStyle name="Normal 2 5 10 4 5" xfId="6933"/>
    <cellStyle name="Normal 2 5 10 5" xfId="1918"/>
    <cellStyle name="Normal 2 5 10 5 2" xfId="16829"/>
    <cellStyle name="Normal 2 5 10 5 3" xfId="13250"/>
    <cellStyle name="Normal 2 5 10 5 4" xfId="7993"/>
    <cellStyle name="Normal 2 5 10 6" xfId="6049"/>
    <cellStyle name="Normal 2 5 10 6 2" xfId="15133"/>
    <cellStyle name="Normal 2 5 10 7" xfId="9449"/>
    <cellStyle name="Normal 2 5 10 7 2" xfId="18276"/>
    <cellStyle name="Normal 2 5 10 8" xfId="10893"/>
    <cellStyle name="Normal 2 5 10 9" xfId="4527"/>
    <cellStyle name="Normal 2 5 10_Degree data" xfId="1459"/>
    <cellStyle name="Normal 2 5 11" xfId="610"/>
    <cellStyle name="Normal 2 5 11 2" xfId="2340"/>
    <cellStyle name="Normal 2 5 11 2 2" xfId="16228"/>
    <cellStyle name="Normal 2 5 11 2 3" xfId="12650"/>
    <cellStyle name="Normal 2 5 11 2 4" xfId="7360"/>
    <cellStyle name="Normal 2 5 11 3" xfId="3607"/>
    <cellStyle name="Normal 2 5 11 3 2" xfId="17253"/>
    <cellStyle name="Normal 2 5 11 3 3" xfId="13674"/>
    <cellStyle name="Normal 2 5 11 3 4" xfId="8417"/>
    <cellStyle name="Normal 2 5 11 4" xfId="6476"/>
    <cellStyle name="Normal 2 5 11 4 2" xfId="15560"/>
    <cellStyle name="Normal 2 5 11 5" xfId="9871"/>
    <cellStyle name="Normal 2 5 11 5 2" xfId="18698"/>
    <cellStyle name="Normal 2 5 11 6" xfId="11315"/>
    <cellStyle name="Normal 2 5 11 7" xfId="4954"/>
    <cellStyle name="Normal 2 5 12" xfId="968"/>
    <cellStyle name="Normal 2 5 12 2" xfId="2688"/>
    <cellStyle name="Normal 2 5 12 2 2" xfId="16478"/>
    <cellStyle name="Normal 2 5 12 2 3" xfId="12900"/>
    <cellStyle name="Normal 2 5 12 2 4" xfId="7610"/>
    <cellStyle name="Normal 2 5 12 3" xfId="3956"/>
    <cellStyle name="Normal 2 5 12 3 2" xfId="17601"/>
    <cellStyle name="Normal 2 5 12 3 3" xfId="14022"/>
    <cellStyle name="Normal 2 5 12 3 4" xfId="8765"/>
    <cellStyle name="Normal 2 5 12 4" xfId="5876"/>
    <cellStyle name="Normal 2 5 12 4 2" xfId="14962"/>
    <cellStyle name="Normal 2 5 12 5" xfId="10219"/>
    <cellStyle name="Normal 2 5 12 5 2" xfId="19046"/>
    <cellStyle name="Normal 2 5 12 6" xfId="11665"/>
    <cellStyle name="Normal 2 5 12 7" xfId="5204"/>
    <cellStyle name="Normal 2 5 13" xfId="1261"/>
    <cellStyle name="Normal 2 5 13 2" xfId="2929"/>
    <cellStyle name="Normal 2 5 13 2 2" xfId="17842"/>
    <cellStyle name="Normal 2 5 13 2 3" xfId="14263"/>
    <cellStyle name="Normal 2 5 13 2 4" xfId="9006"/>
    <cellStyle name="Normal 2 5 13 3" xfId="10460"/>
    <cellStyle name="Normal 2 5 13 3 2" xfId="19287"/>
    <cellStyle name="Normal 2 5 13 4" xfId="11906"/>
    <cellStyle name="Normal 2 5 13 5" xfId="6762"/>
    <cellStyle name="Normal 2 5 14" xfId="1886"/>
    <cellStyle name="Normal 2 5 14 2" xfId="9417"/>
    <cellStyle name="Normal 2 5 14 2 2" xfId="18244"/>
    <cellStyle name="Normal 2 5 14 3" xfId="10861"/>
    <cellStyle name="Normal 2 5 14 4" xfId="7960"/>
    <cellStyle name="Normal 2 5 15" xfId="1841"/>
    <cellStyle name="Normal 2 5 15 2" xfId="14642"/>
    <cellStyle name="Normal 2 5 15 3" xfId="5556"/>
    <cellStyle name="Normal 2 5 16" xfId="9377"/>
    <cellStyle name="Normal 2 5 16 2" xfId="18204"/>
    <cellStyle name="Normal 2 5 17" xfId="10816"/>
    <cellStyle name="Normal 2 5 18" xfId="4357"/>
    <cellStyle name="Normal 2 5 2" xfId="95"/>
    <cellStyle name="Normal 2 5 2 10" xfId="1290"/>
    <cellStyle name="Normal 2 5 2 10 2" xfId="2937"/>
    <cellStyle name="Normal 2 5 2 10 2 2" xfId="17850"/>
    <cellStyle name="Normal 2 5 2 10 2 3" xfId="14271"/>
    <cellStyle name="Normal 2 5 2 10 2 4" xfId="9014"/>
    <cellStyle name="Normal 2 5 2 10 3" xfId="10468"/>
    <cellStyle name="Normal 2 5 2 10 3 2" xfId="19295"/>
    <cellStyle name="Normal 2 5 2 10 4" xfId="11914"/>
    <cellStyle name="Normal 2 5 2 10 5" xfId="6775"/>
    <cellStyle name="Normal 2 5 2 11" xfId="1894"/>
    <cellStyle name="Normal 2 5 2 11 2" xfId="9425"/>
    <cellStyle name="Normal 2 5 2 11 2 2" xfId="18252"/>
    <cellStyle name="Normal 2 5 2 11 3" xfId="10869"/>
    <cellStyle name="Normal 2 5 2 11 4" xfId="7969"/>
    <cellStyle name="Normal 2 5 2 12" xfId="1851"/>
    <cellStyle name="Normal 2 5 2 12 2" xfId="14650"/>
    <cellStyle name="Normal 2 5 2 12 3" xfId="5564"/>
    <cellStyle name="Normal 2 5 2 13" xfId="9385"/>
    <cellStyle name="Normal 2 5 2 13 2" xfId="18212"/>
    <cellStyle name="Normal 2 5 2 14" xfId="10825"/>
    <cellStyle name="Normal 2 5 2 15" xfId="4370"/>
    <cellStyle name="Normal 2 5 2 2" xfId="132"/>
    <cellStyle name="Normal 2 5 2 2 10" xfId="1876"/>
    <cellStyle name="Normal 2 5 2 2 10 2" xfId="14675"/>
    <cellStyle name="Normal 2 5 2 2 10 3" xfId="5589"/>
    <cellStyle name="Normal 2 5 2 2 11" xfId="9407"/>
    <cellStyle name="Normal 2 5 2 2 11 2" xfId="18234"/>
    <cellStyle name="Normal 2 5 2 2 12" xfId="10851"/>
    <cellStyle name="Normal 2 5 2 2 13" xfId="4400"/>
    <cellStyle name="Normal 2 5 2 2 2" xfId="275"/>
    <cellStyle name="Normal 2 5 2 2 2 10" xfId="11026"/>
    <cellStyle name="Normal 2 5 2 2 2 11" xfId="4443"/>
    <cellStyle name="Normal 2 5 2 2 2 2" xfId="383"/>
    <cellStyle name="Normal 2 5 2 2 2 2 2" xfId="615"/>
    <cellStyle name="Normal 2 5 2 2 2 2 2 2" xfId="2345"/>
    <cellStyle name="Normal 2 5 2 2 2 2 2 2 2" xfId="16233"/>
    <cellStyle name="Normal 2 5 2 2 2 2 2 2 3" xfId="12655"/>
    <cellStyle name="Normal 2 5 2 2 2 2 2 2 4" xfId="7365"/>
    <cellStyle name="Normal 2 5 2 2 2 2 2 3" xfId="3612"/>
    <cellStyle name="Normal 2 5 2 2 2 2 2 3 2" xfId="17258"/>
    <cellStyle name="Normal 2 5 2 2 2 2 2 3 3" xfId="13679"/>
    <cellStyle name="Normal 2 5 2 2 2 2 2 3 4" xfId="8422"/>
    <cellStyle name="Normal 2 5 2 2 2 2 2 4" xfId="6481"/>
    <cellStyle name="Normal 2 5 2 2 2 2 2 4 2" xfId="15565"/>
    <cellStyle name="Normal 2 5 2 2 2 2 2 5" xfId="9876"/>
    <cellStyle name="Normal 2 5 2 2 2 2 2 5 2" xfId="18703"/>
    <cellStyle name="Normal 2 5 2 2 2 2 2 6" xfId="11320"/>
    <cellStyle name="Normal 2 5 2 2 2 2 2 7" xfId="4959"/>
    <cellStyle name="Normal 2 5 2 2 2 2 3" xfId="973"/>
    <cellStyle name="Normal 2 5 2 2 2 2 3 2" xfId="2693"/>
    <cellStyle name="Normal 2 5 2 2 2 2 3 2 2" xfId="16743"/>
    <cellStyle name="Normal 2 5 2 2 2 2 3 2 3" xfId="13164"/>
    <cellStyle name="Normal 2 5 2 2 2 2 3 2 4" xfId="7875"/>
    <cellStyle name="Normal 2 5 2 2 2 2 3 3" xfId="3961"/>
    <cellStyle name="Normal 2 5 2 2 2 2 3 3 2" xfId="17606"/>
    <cellStyle name="Normal 2 5 2 2 2 2 3 3 3" xfId="14027"/>
    <cellStyle name="Normal 2 5 2 2 2 2 3 3 4" xfId="8770"/>
    <cellStyle name="Normal 2 5 2 2 2 2 3 4" xfId="6282"/>
    <cellStyle name="Normal 2 5 2 2 2 2 3 4 2" xfId="15366"/>
    <cellStyle name="Normal 2 5 2 2 2 2 3 5" xfId="10224"/>
    <cellStyle name="Normal 2 5 2 2 2 2 3 5 2" xfId="19051"/>
    <cellStyle name="Normal 2 5 2 2 2 2 3 6" xfId="11670"/>
    <cellStyle name="Normal 2 5 2 2 2 2 3 7" xfId="5469"/>
    <cellStyle name="Normal 2 5 2 2 2 2 4" xfId="1597"/>
    <cellStyle name="Normal 2 5 2 2 2 2 4 2" xfId="3194"/>
    <cellStyle name="Normal 2 5 2 2 2 2 4 2 2" xfId="18107"/>
    <cellStyle name="Normal 2 5 2 2 2 2 4 2 3" xfId="14528"/>
    <cellStyle name="Normal 2 5 2 2 2 2 4 2 4" xfId="9271"/>
    <cellStyle name="Normal 2 5 2 2 2 2 4 3" xfId="10725"/>
    <cellStyle name="Normal 2 5 2 2 2 2 4 3 2" xfId="19552"/>
    <cellStyle name="Normal 2 5 2 2 2 2 4 4" xfId="12171"/>
    <cellStyle name="Normal 2 5 2 2 2 2 4 5" xfId="7166"/>
    <cellStyle name="Normal 2 5 2 2 2 2 5" xfId="2151"/>
    <cellStyle name="Normal 2 5 2 2 2 2 5 2" xfId="17064"/>
    <cellStyle name="Normal 2 5 2 2 2 2 5 3" xfId="13485"/>
    <cellStyle name="Normal 2 5 2 2 2 2 5 4" xfId="8228"/>
    <cellStyle name="Normal 2 5 2 2 2 2 6" xfId="5789"/>
    <cellStyle name="Normal 2 5 2 2 2 2 6 2" xfId="14875"/>
    <cellStyle name="Normal 2 5 2 2 2 2 7" xfId="9682"/>
    <cellStyle name="Normal 2 5 2 2 2 2 7 2" xfId="18509"/>
    <cellStyle name="Normal 2 5 2 2 2 2 8" xfId="11126"/>
    <cellStyle name="Normal 2 5 2 2 2 2 9" xfId="4760"/>
    <cellStyle name="Normal 2 5 2 2 2 2_Degree data" xfId="1358"/>
    <cellStyle name="Normal 2 5 2 2 2 3" xfId="614"/>
    <cellStyle name="Normal 2 5 2 2 2 3 2" xfId="2344"/>
    <cellStyle name="Normal 2 5 2 2 2 3 2 2" xfId="16080"/>
    <cellStyle name="Normal 2 5 2 2 2 3 2 3" xfId="12381"/>
    <cellStyle name="Normal 2 5 2 2 2 3 2 4" xfId="7066"/>
    <cellStyle name="Normal 2 5 2 2 2 3 3" xfId="3611"/>
    <cellStyle name="Normal 2 5 2 2 2 3 3 2" xfId="17257"/>
    <cellStyle name="Normal 2 5 2 2 2 3 3 3" xfId="13678"/>
    <cellStyle name="Normal 2 5 2 2 2 3 3 4" xfId="8421"/>
    <cellStyle name="Normal 2 5 2 2 2 3 4" xfId="6182"/>
    <cellStyle name="Normal 2 5 2 2 2 3 4 2" xfId="15266"/>
    <cellStyle name="Normal 2 5 2 2 2 3 5" xfId="9875"/>
    <cellStyle name="Normal 2 5 2 2 2 3 5 2" xfId="18702"/>
    <cellStyle name="Normal 2 5 2 2 2 3 6" xfId="11319"/>
    <cellStyle name="Normal 2 5 2 2 2 3 7" xfId="4660"/>
    <cellStyle name="Normal 2 5 2 2 2 4" xfId="972"/>
    <cellStyle name="Normal 2 5 2 2 2 4 2" xfId="2692"/>
    <cellStyle name="Normal 2 5 2 2 2 4 2 2" xfId="16232"/>
    <cellStyle name="Normal 2 5 2 2 2 4 2 3" xfId="12654"/>
    <cellStyle name="Normal 2 5 2 2 2 4 2 4" xfId="7364"/>
    <cellStyle name="Normal 2 5 2 2 2 4 3" xfId="3960"/>
    <cellStyle name="Normal 2 5 2 2 2 4 3 2" xfId="17605"/>
    <cellStyle name="Normal 2 5 2 2 2 4 3 3" xfId="14026"/>
    <cellStyle name="Normal 2 5 2 2 2 4 3 4" xfId="8769"/>
    <cellStyle name="Normal 2 5 2 2 2 4 4" xfId="6480"/>
    <cellStyle name="Normal 2 5 2 2 2 4 4 2" xfId="15564"/>
    <cellStyle name="Normal 2 5 2 2 2 4 5" xfId="10223"/>
    <cellStyle name="Normal 2 5 2 2 2 4 5 2" xfId="19050"/>
    <cellStyle name="Normal 2 5 2 2 2 4 6" xfId="11669"/>
    <cellStyle name="Normal 2 5 2 2 2 4 7" xfId="4958"/>
    <cellStyle name="Normal 2 5 2 2 2 5" xfId="1495"/>
    <cellStyle name="Normal 2 5 2 2 2 5 2" xfId="3094"/>
    <cellStyle name="Normal 2 5 2 2 2 5 2 2" xfId="16643"/>
    <cellStyle name="Normal 2 5 2 2 2 5 2 3" xfId="13064"/>
    <cellStyle name="Normal 2 5 2 2 2 5 2 4" xfId="7775"/>
    <cellStyle name="Normal 2 5 2 2 2 5 3" xfId="4302"/>
    <cellStyle name="Normal 2 5 2 2 2 5 3 2" xfId="18007"/>
    <cellStyle name="Normal 2 5 2 2 2 5 3 3" xfId="14428"/>
    <cellStyle name="Normal 2 5 2 2 2 5 3 4" xfId="9171"/>
    <cellStyle name="Normal 2 5 2 2 2 5 4" xfId="5963"/>
    <cellStyle name="Normal 2 5 2 2 2 5 4 2" xfId="15049"/>
    <cellStyle name="Normal 2 5 2 2 2 5 5" xfId="10625"/>
    <cellStyle name="Normal 2 5 2 2 2 5 5 2" xfId="19452"/>
    <cellStyle name="Normal 2 5 2 2 2 5 6" xfId="12071"/>
    <cellStyle name="Normal 2 5 2 2 2 5 7" xfId="5369"/>
    <cellStyle name="Normal 2 5 2 2 2 6" xfId="2051"/>
    <cellStyle name="Normal 2 5 2 2 2 6 2" xfId="15892"/>
    <cellStyle name="Normal 2 5 2 2 2 6 3" xfId="12301"/>
    <cellStyle name="Normal 2 5 2 2 2 6 4" xfId="6849"/>
    <cellStyle name="Normal 2 5 2 2 2 7" xfId="3464"/>
    <cellStyle name="Normal 2 5 2 2 2 7 2" xfId="16964"/>
    <cellStyle name="Normal 2 5 2 2 2 7 3" xfId="13385"/>
    <cellStyle name="Normal 2 5 2 2 2 7 4" xfId="8128"/>
    <cellStyle name="Normal 2 5 2 2 2 8" xfId="5689"/>
    <cellStyle name="Normal 2 5 2 2 2 8 2" xfId="14775"/>
    <cellStyle name="Normal 2 5 2 2 2 9" xfId="9582"/>
    <cellStyle name="Normal 2 5 2 2 2 9 2" xfId="18409"/>
    <cellStyle name="Normal 2 5 2 2 2_Degree data" xfId="1425"/>
    <cellStyle name="Normal 2 5 2 2 3" xfId="232"/>
    <cellStyle name="Normal 2 5 2 2 3 10" xfId="10983"/>
    <cellStyle name="Normal 2 5 2 2 3 11" xfId="4504"/>
    <cellStyle name="Normal 2 5 2 2 3 2" xfId="445"/>
    <cellStyle name="Normal 2 5 2 2 3 2 2" xfId="617"/>
    <cellStyle name="Normal 2 5 2 2 3 2 2 2" xfId="2347"/>
    <cellStyle name="Normal 2 5 2 2 3 2 2 2 2" xfId="16235"/>
    <cellStyle name="Normal 2 5 2 2 3 2 2 2 3" xfId="12657"/>
    <cellStyle name="Normal 2 5 2 2 3 2 2 2 4" xfId="7367"/>
    <cellStyle name="Normal 2 5 2 2 3 2 2 3" xfId="3614"/>
    <cellStyle name="Normal 2 5 2 2 3 2 2 3 2" xfId="17260"/>
    <cellStyle name="Normal 2 5 2 2 3 2 2 3 3" xfId="13681"/>
    <cellStyle name="Normal 2 5 2 2 3 2 2 3 4" xfId="8424"/>
    <cellStyle name="Normal 2 5 2 2 3 2 2 4" xfId="6483"/>
    <cellStyle name="Normal 2 5 2 2 3 2 2 4 2" xfId="15567"/>
    <cellStyle name="Normal 2 5 2 2 3 2 2 5" xfId="9878"/>
    <cellStyle name="Normal 2 5 2 2 3 2 2 5 2" xfId="18705"/>
    <cellStyle name="Normal 2 5 2 2 3 2 2 6" xfId="11322"/>
    <cellStyle name="Normal 2 5 2 2 3 2 2 7" xfId="4961"/>
    <cellStyle name="Normal 2 5 2 2 3 2 3" xfId="975"/>
    <cellStyle name="Normal 2 5 2 2 3 2 3 2" xfId="2695"/>
    <cellStyle name="Normal 2 5 2 2 3 2 3 2 2" xfId="16804"/>
    <cellStyle name="Normal 2 5 2 2 3 2 3 2 3" xfId="13225"/>
    <cellStyle name="Normal 2 5 2 2 3 2 3 2 4" xfId="7936"/>
    <cellStyle name="Normal 2 5 2 2 3 2 3 3" xfId="3963"/>
    <cellStyle name="Normal 2 5 2 2 3 2 3 3 2" xfId="17608"/>
    <cellStyle name="Normal 2 5 2 2 3 2 3 3 3" xfId="14029"/>
    <cellStyle name="Normal 2 5 2 2 3 2 3 3 4" xfId="8772"/>
    <cellStyle name="Normal 2 5 2 2 3 2 3 4" xfId="6343"/>
    <cellStyle name="Normal 2 5 2 2 3 2 3 4 2" xfId="15427"/>
    <cellStyle name="Normal 2 5 2 2 3 2 3 5" xfId="10226"/>
    <cellStyle name="Normal 2 5 2 2 3 2 3 5 2" xfId="19053"/>
    <cellStyle name="Normal 2 5 2 2 3 2 3 6" xfId="11672"/>
    <cellStyle name="Normal 2 5 2 2 3 2 3 7" xfId="5530"/>
    <cellStyle name="Normal 2 5 2 2 3 2 4" xfId="1659"/>
    <cellStyle name="Normal 2 5 2 2 3 2 4 2" xfId="3255"/>
    <cellStyle name="Normal 2 5 2 2 3 2 4 2 2" xfId="18168"/>
    <cellStyle name="Normal 2 5 2 2 3 2 4 2 3" xfId="14589"/>
    <cellStyle name="Normal 2 5 2 2 3 2 4 2 4" xfId="9332"/>
    <cellStyle name="Normal 2 5 2 2 3 2 4 3" xfId="10786"/>
    <cellStyle name="Normal 2 5 2 2 3 2 4 3 2" xfId="19613"/>
    <cellStyle name="Normal 2 5 2 2 3 2 4 4" xfId="12232"/>
    <cellStyle name="Normal 2 5 2 2 3 2 4 5" xfId="7227"/>
    <cellStyle name="Normal 2 5 2 2 3 2 5" xfId="2212"/>
    <cellStyle name="Normal 2 5 2 2 3 2 5 2" xfId="17125"/>
    <cellStyle name="Normal 2 5 2 2 3 2 5 3" xfId="13546"/>
    <cellStyle name="Normal 2 5 2 2 3 2 5 4" xfId="8289"/>
    <cellStyle name="Normal 2 5 2 2 3 2 6" xfId="5850"/>
    <cellStyle name="Normal 2 5 2 2 3 2 6 2" xfId="14936"/>
    <cellStyle name="Normal 2 5 2 2 3 2 7" xfId="9743"/>
    <cellStyle name="Normal 2 5 2 2 3 2 7 2" xfId="18570"/>
    <cellStyle name="Normal 2 5 2 2 3 2 8" xfId="11187"/>
    <cellStyle name="Normal 2 5 2 2 3 2 9" xfId="4821"/>
    <cellStyle name="Normal 2 5 2 2 3 2_Degree data" xfId="1396"/>
    <cellStyle name="Normal 2 5 2 2 3 3" xfId="616"/>
    <cellStyle name="Normal 2 5 2 2 3 3 2" xfId="2346"/>
    <cellStyle name="Normal 2 5 2 2 3 3 2 2" xfId="16037"/>
    <cellStyle name="Normal 2 5 2 2 3 3 2 3" xfId="12392"/>
    <cellStyle name="Normal 2 5 2 2 3 3 2 4" xfId="7023"/>
    <cellStyle name="Normal 2 5 2 2 3 3 3" xfId="3613"/>
    <cellStyle name="Normal 2 5 2 2 3 3 3 2" xfId="17259"/>
    <cellStyle name="Normal 2 5 2 2 3 3 3 3" xfId="13680"/>
    <cellStyle name="Normal 2 5 2 2 3 3 3 4" xfId="8423"/>
    <cellStyle name="Normal 2 5 2 2 3 3 4" xfId="6139"/>
    <cellStyle name="Normal 2 5 2 2 3 3 4 2" xfId="15223"/>
    <cellStyle name="Normal 2 5 2 2 3 3 5" xfId="9877"/>
    <cellStyle name="Normal 2 5 2 2 3 3 5 2" xfId="18704"/>
    <cellStyle name="Normal 2 5 2 2 3 3 6" xfId="11321"/>
    <cellStyle name="Normal 2 5 2 2 3 3 7" xfId="4617"/>
    <cellStyle name="Normal 2 5 2 2 3 4" xfId="974"/>
    <cellStyle name="Normal 2 5 2 2 3 4 2" xfId="2694"/>
    <cellStyle name="Normal 2 5 2 2 3 4 2 2" xfId="16234"/>
    <cellStyle name="Normal 2 5 2 2 3 4 2 3" xfId="12656"/>
    <cellStyle name="Normal 2 5 2 2 3 4 2 4" xfId="7366"/>
    <cellStyle name="Normal 2 5 2 2 3 4 3" xfId="3962"/>
    <cellStyle name="Normal 2 5 2 2 3 4 3 2" xfId="17607"/>
    <cellStyle name="Normal 2 5 2 2 3 4 3 3" xfId="14028"/>
    <cellStyle name="Normal 2 5 2 2 3 4 3 4" xfId="8771"/>
    <cellStyle name="Normal 2 5 2 2 3 4 4" xfId="6482"/>
    <cellStyle name="Normal 2 5 2 2 3 4 4 2" xfId="15566"/>
    <cellStyle name="Normal 2 5 2 2 3 4 5" xfId="10225"/>
    <cellStyle name="Normal 2 5 2 2 3 4 5 2" xfId="19052"/>
    <cellStyle name="Normal 2 5 2 2 3 4 6" xfId="11671"/>
    <cellStyle name="Normal 2 5 2 2 3 4 7" xfId="4960"/>
    <cellStyle name="Normal 2 5 2 2 3 5" xfId="1450"/>
    <cellStyle name="Normal 2 5 2 2 3 5 2" xfId="3051"/>
    <cellStyle name="Normal 2 5 2 2 3 5 2 2" xfId="16600"/>
    <cellStyle name="Normal 2 5 2 2 3 5 2 3" xfId="13021"/>
    <cellStyle name="Normal 2 5 2 2 3 5 2 4" xfId="7732"/>
    <cellStyle name="Normal 2 5 2 2 3 5 3" xfId="4259"/>
    <cellStyle name="Normal 2 5 2 2 3 5 3 2" xfId="17964"/>
    <cellStyle name="Normal 2 5 2 2 3 5 3 3" xfId="14385"/>
    <cellStyle name="Normal 2 5 2 2 3 5 3 4" xfId="9128"/>
    <cellStyle name="Normal 2 5 2 2 3 5 4" xfId="6024"/>
    <cellStyle name="Normal 2 5 2 2 3 5 4 2" xfId="15110"/>
    <cellStyle name="Normal 2 5 2 2 3 5 5" xfId="10582"/>
    <cellStyle name="Normal 2 5 2 2 3 5 5 2" xfId="19409"/>
    <cellStyle name="Normal 2 5 2 2 3 5 6" xfId="12028"/>
    <cellStyle name="Normal 2 5 2 2 3 5 7" xfId="5326"/>
    <cellStyle name="Normal 2 5 2 2 3 6" xfId="2008"/>
    <cellStyle name="Normal 2 5 2 2 3 6 2" xfId="15953"/>
    <cellStyle name="Normal 2 5 2 2 3 6 3" xfId="12413"/>
    <cellStyle name="Normal 2 5 2 2 3 6 4" xfId="6910"/>
    <cellStyle name="Normal 2 5 2 2 3 7" xfId="3421"/>
    <cellStyle name="Normal 2 5 2 2 3 7 2" xfId="16921"/>
    <cellStyle name="Normal 2 5 2 2 3 7 3" xfId="13342"/>
    <cellStyle name="Normal 2 5 2 2 3 7 4" xfId="8085"/>
    <cellStyle name="Normal 2 5 2 2 3 8" xfId="5646"/>
    <cellStyle name="Normal 2 5 2 2 3 8 2" xfId="14732"/>
    <cellStyle name="Normal 2 5 2 2 3 9" xfId="9539"/>
    <cellStyle name="Normal 2 5 2 2 3 9 2" xfId="18366"/>
    <cellStyle name="Normal 2 5 2 2 3_Degree data" xfId="1394"/>
    <cellStyle name="Normal 2 5 2 2 4" xfId="340"/>
    <cellStyle name="Normal 2 5 2 2 4 2" xfId="618"/>
    <cellStyle name="Normal 2 5 2 2 4 2 2" xfId="2348"/>
    <cellStyle name="Normal 2 5 2 2 4 2 2 2" xfId="16236"/>
    <cellStyle name="Normal 2 5 2 2 4 2 2 3" xfId="12658"/>
    <cellStyle name="Normal 2 5 2 2 4 2 2 4" xfId="7368"/>
    <cellStyle name="Normal 2 5 2 2 4 2 3" xfId="3615"/>
    <cellStyle name="Normal 2 5 2 2 4 2 3 2" xfId="17261"/>
    <cellStyle name="Normal 2 5 2 2 4 2 3 3" xfId="13682"/>
    <cellStyle name="Normal 2 5 2 2 4 2 3 4" xfId="8425"/>
    <cellStyle name="Normal 2 5 2 2 4 2 4" xfId="6484"/>
    <cellStyle name="Normal 2 5 2 2 4 2 4 2" xfId="15568"/>
    <cellStyle name="Normal 2 5 2 2 4 2 5" xfId="9879"/>
    <cellStyle name="Normal 2 5 2 2 4 2 5 2" xfId="18706"/>
    <cellStyle name="Normal 2 5 2 2 4 2 6" xfId="11323"/>
    <cellStyle name="Normal 2 5 2 2 4 2 7" xfId="4962"/>
    <cellStyle name="Normal 2 5 2 2 4 3" xfId="976"/>
    <cellStyle name="Normal 2 5 2 2 4 3 2" xfId="2696"/>
    <cellStyle name="Normal 2 5 2 2 4 3 2 2" xfId="16700"/>
    <cellStyle name="Normal 2 5 2 2 4 3 2 3" xfId="13121"/>
    <cellStyle name="Normal 2 5 2 2 4 3 2 4" xfId="7832"/>
    <cellStyle name="Normal 2 5 2 2 4 3 3" xfId="3964"/>
    <cellStyle name="Normal 2 5 2 2 4 3 3 2" xfId="17609"/>
    <cellStyle name="Normal 2 5 2 2 4 3 3 3" xfId="14030"/>
    <cellStyle name="Normal 2 5 2 2 4 3 3 4" xfId="8773"/>
    <cellStyle name="Normal 2 5 2 2 4 3 4" xfId="6239"/>
    <cellStyle name="Normal 2 5 2 2 4 3 4 2" xfId="15323"/>
    <cellStyle name="Normal 2 5 2 2 4 3 5" xfId="10227"/>
    <cellStyle name="Normal 2 5 2 2 4 3 5 2" xfId="19054"/>
    <cellStyle name="Normal 2 5 2 2 4 3 6" xfId="11673"/>
    <cellStyle name="Normal 2 5 2 2 4 3 7" xfId="5426"/>
    <cellStyle name="Normal 2 5 2 2 4 4" xfId="1552"/>
    <cellStyle name="Normal 2 5 2 2 4 4 2" xfId="3151"/>
    <cellStyle name="Normal 2 5 2 2 4 4 2 2" xfId="18064"/>
    <cellStyle name="Normal 2 5 2 2 4 4 2 3" xfId="14485"/>
    <cellStyle name="Normal 2 5 2 2 4 4 2 4" xfId="9228"/>
    <cellStyle name="Normal 2 5 2 2 4 4 3" xfId="10682"/>
    <cellStyle name="Normal 2 5 2 2 4 4 3 2" xfId="19509"/>
    <cellStyle name="Normal 2 5 2 2 4 4 4" xfId="12128"/>
    <cellStyle name="Normal 2 5 2 2 4 4 5" xfId="7123"/>
    <cellStyle name="Normal 2 5 2 2 4 5" xfId="2108"/>
    <cellStyle name="Normal 2 5 2 2 4 5 2" xfId="17021"/>
    <cellStyle name="Normal 2 5 2 2 4 5 3" xfId="13442"/>
    <cellStyle name="Normal 2 5 2 2 4 5 4" xfId="8185"/>
    <cellStyle name="Normal 2 5 2 2 4 6" xfId="5746"/>
    <cellStyle name="Normal 2 5 2 2 4 6 2" xfId="14832"/>
    <cellStyle name="Normal 2 5 2 2 4 7" xfId="9639"/>
    <cellStyle name="Normal 2 5 2 2 4 7 2" xfId="18466"/>
    <cellStyle name="Normal 2 5 2 2 4 8" xfId="11083"/>
    <cellStyle name="Normal 2 5 2 2 4 9" xfId="4717"/>
    <cellStyle name="Normal 2 5 2 2 4_Degree data" xfId="1275"/>
    <cellStyle name="Normal 2 5 2 2 5" xfId="490"/>
    <cellStyle name="Normal 2 5 2 2 5 2" xfId="619"/>
    <cellStyle name="Normal 2 5 2 2 5 2 2" xfId="2349"/>
    <cellStyle name="Normal 2 5 2 2 5 2 2 2" xfId="16237"/>
    <cellStyle name="Normal 2 5 2 2 5 2 2 3" xfId="12659"/>
    <cellStyle name="Normal 2 5 2 2 5 2 2 4" xfId="7369"/>
    <cellStyle name="Normal 2 5 2 2 5 2 3" xfId="3616"/>
    <cellStyle name="Normal 2 5 2 2 5 2 3 2" xfId="17262"/>
    <cellStyle name="Normal 2 5 2 2 5 2 3 3" xfId="13683"/>
    <cellStyle name="Normal 2 5 2 2 5 2 3 4" xfId="8426"/>
    <cellStyle name="Normal 2 5 2 2 5 2 4" xfId="6485"/>
    <cellStyle name="Normal 2 5 2 2 5 2 4 2" xfId="15569"/>
    <cellStyle name="Normal 2 5 2 2 5 2 5" xfId="9880"/>
    <cellStyle name="Normal 2 5 2 2 5 2 5 2" xfId="18707"/>
    <cellStyle name="Normal 2 5 2 2 5 2 6" xfId="11324"/>
    <cellStyle name="Normal 2 5 2 2 5 2 7" xfId="4963"/>
    <cellStyle name="Normal 2 5 2 2 5 3" xfId="977"/>
    <cellStyle name="Normal 2 5 2 2 5 3 2" xfId="2697"/>
    <cellStyle name="Normal 2 5 2 2 5 3 2 2" xfId="16543"/>
    <cellStyle name="Normal 2 5 2 2 5 3 2 3" xfId="12964"/>
    <cellStyle name="Normal 2 5 2 2 5 3 2 4" xfId="7675"/>
    <cellStyle name="Normal 2 5 2 2 5 3 3" xfId="3965"/>
    <cellStyle name="Normal 2 5 2 2 5 3 3 2" xfId="17610"/>
    <cellStyle name="Normal 2 5 2 2 5 3 3 3" xfId="14031"/>
    <cellStyle name="Normal 2 5 2 2 5 3 3 4" xfId="8774"/>
    <cellStyle name="Normal 2 5 2 2 5 3 4" xfId="6740"/>
    <cellStyle name="Normal 2 5 2 2 5 3 4 2" xfId="15823"/>
    <cellStyle name="Normal 2 5 2 2 5 3 5" xfId="10228"/>
    <cellStyle name="Normal 2 5 2 2 5 3 5 2" xfId="19055"/>
    <cellStyle name="Normal 2 5 2 2 5 3 6" xfId="11674"/>
    <cellStyle name="Normal 2 5 2 2 5 3 7" xfId="5269"/>
    <cellStyle name="Normal 2 5 2 2 5 4" xfId="1385"/>
    <cellStyle name="Normal 2 5 2 2 5 4 2" xfId="2994"/>
    <cellStyle name="Normal 2 5 2 2 5 4 2 2" xfId="17907"/>
    <cellStyle name="Normal 2 5 2 2 5 4 2 3" xfId="14328"/>
    <cellStyle name="Normal 2 5 2 2 5 4 2 4" xfId="9071"/>
    <cellStyle name="Normal 2 5 2 2 5 4 3" xfId="10525"/>
    <cellStyle name="Normal 2 5 2 2 5 4 3 2" xfId="19352"/>
    <cellStyle name="Normal 2 5 2 2 5 4 4" xfId="11971"/>
    <cellStyle name="Normal 2 5 2 2 5 4 5" xfId="6966"/>
    <cellStyle name="Normal 2 5 2 2 5 5" xfId="1951"/>
    <cellStyle name="Normal 2 5 2 2 5 5 2" xfId="16862"/>
    <cellStyle name="Normal 2 5 2 2 5 5 3" xfId="13283"/>
    <cellStyle name="Normal 2 5 2 2 5 5 4" xfId="8026"/>
    <cellStyle name="Normal 2 5 2 2 5 6" xfId="6082"/>
    <cellStyle name="Normal 2 5 2 2 5 6 2" xfId="15166"/>
    <cellStyle name="Normal 2 5 2 2 5 7" xfId="9482"/>
    <cellStyle name="Normal 2 5 2 2 5 7 2" xfId="18309"/>
    <cellStyle name="Normal 2 5 2 2 5 8" xfId="10926"/>
    <cellStyle name="Normal 2 5 2 2 5 9" xfId="4560"/>
    <cellStyle name="Normal 2 5 2 2 5_Degree data" xfId="1286"/>
    <cellStyle name="Normal 2 5 2 2 6" xfId="613"/>
    <cellStyle name="Normal 2 5 2 2 6 2" xfId="2343"/>
    <cellStyle name="Normal 2 5 2 2 6 2 2" xfId="16231"/>
    <cellStyle name="Normal 2 5 2 2 6 2 3" xfId="12653"/>
    <cellStyle name="Normal 2 5 2 2 6 2 4" xfId="7363"/>
    <cellStyle name="Normal 2 5 2 2 6 3" xfId="3610"/>
    <cellStyle name="Normal 2 5 2 2 6 3 2" xfId="17256"/>
    <cellStyle name="Normal 2 5 2 2 6 3 3" xfId="13677"/>
    <cellStyle name="Normal 2 5 2 2 6 3 4" xfId="8420"/>
    <cellStyle name="Normal 2 5 2 2 6 4" xfId="6479"/>
    <cellStyle name="Normal 2 5 2 2 6 4 2" xfId="15563"/>
    <cellStyle name="Normal 2 5 2 2 6 5" xfId="9874"/>
    <cellStyle name="Normal 2 5 2 2 6 5 2" xfId="18701"/>
    <cellStyle name="Normal 2 5 2 2 6 6" xfId="11318"/>
    <cellStyle name="Normal 2 5 2 2 6 7" xfId="4957"/>
    <cellStyle name="Normal 2 5 2 2 7" xfId="971"/>
    <cellStyle name="Normal 2 5 2 2 7 2" xfId="2691"/>
    <cellStyle name="Normal 2 5 2 2 7 2 2" xfId="16498"/>
    <cellStyle name="Normal 2 5 2 2 7 2 3" xfId="12920"/>
    <cellStyle name="Normal 2 5 2 2 7 2 4" xfId="7630"/>
    <cellStyle name="Normal 2 5 2 2 7 3" xfId="3959"/>
    <cellStyle name="Normal 2 5 2 2 7 3 2" xfId="17604"/>
    <cellStyle name="Normal 2 5 2 2 7 3 3" xfId="14025"/>
    <cellStyle name="Normal 2 5 2 2 7 3 4" xfId="8768"/>
    <cellStyle name="Normal 2 5 2 2 7 4" xfId="5920"/>
    <cellStyle name="Normal 2 5 2 2 7 4 2" xfId="15006"/>
    <cellStyle name="Normal 2 5 2 2 7 5" xfId="10222"/>
    <cellStyle name="Normal 2 5 2 2 7 5 2" xfId="19049"/>
    <cellStyle name="Normal 2 5 2 2 7 6" xfId="11668"/>
    <cellStyle name="Normal 2 5 2 2 7 7" xfId="5224"/>
    <cellStyle name="Normal 2 5 2 2 8" xfId="1334"/>
    <cellStyle name="Normal 2 5 2 2 8 2" xfId="2949"/>
    <cellStyle name="Normal 2 5 2 2 8 2 2" xfId="17862"/>
    <cellStyle name="Normal 2 5 2 2 8 2 3" xfId="14283"/>
    <cellStyle name="Normal 2 5 2 2 8 2 4" xfId="9026"/>
    <cellStyle name="Normal 2 5 2 2 8 3" xfId="10480"/>
    <cellStyle name="Normal 2 5 2 2 8 3 2" xfId="19307"/>
    <cellStyle name="Normal 2 5 2 2 8 4" xfId="11926"/>
    <cellStyle name="Normal 2 5 2 2 8 5" xfId="6806"/>
    <cellStyle name="Normal 2 5 2 2 9" xfId="1906"/>
    <cellStyle name="Normal 2 5 2 2 9 2" xfId="9437"/>
    <cellStyle name="Normal 2 5 2 2 9 2 2" xfId="18264"/>
    <cellStyle name="Normal 2 5 2 2 9 3" xfId="10881"/>
    <cellStyle name="Normal 2 5 2 2 9 4" xfId="7981"/>
    <cellStyle name="Normal 2 5 2 2_Degree data" xfId="1427"/>
    <cellStyle name="Normal 2 5 2 3" xfId="151"/>
    <cellStyle name="Normal 2 5 2 3 10" xfId="5575"/>
    <cellStyle name="Normal 2 5 2 3 10 2" xfId="14661"/>
    <cellStyle name="Normal 2 5 2 3 11" xfId="9395"/>
    <cellStyle name="Normal 2 5 2 3 11 2" xfId="18222"/>
    <cellStyle name="Normal 2 5 2 3 12" xfId="10835"/>
    <cellStyle name="Normal 2 5 2 3 13" xfId="4388"/>
    <cellStyle name="Normal 2 5 2 3 2" xfId="263"/>
    <cellStyle name="Normal 2 5 2 3 2 10" xfId="11014"/>
    <cellStyle name="Normal 2 5 2 3 2 11" xfId="4431"/>
    <cellStyle name="Normal 2 5 2 3 2 2" xfId="371"/>
    <cellStyle name="Normal 2 5 2 3 2 2 2" xfId="622"/>
    <cellStyle name="Normal 2 5 2 3 2 2 2 2" xfId="2352"/>
    <cellStyle name="Normal 2 5 2 3 2 2 2 2 2" xfId="16240"/>
    <cellStyle name="Normal 2 5 2 3 2 2 2 2 3" xfId="12662"/>
    <cellStyle name="Normal 2 5 2 3 2 2 2 2 4" xfId="7372"/>
    <cellStyle name="Normal 2 5 2 3 2 2 2 3" xfId="3619"/>
    <cellStyle name="Normal 2 5 2 3 2 2 2 3 2" xfId="17265"/>
    <cellStyle name="Normal 2 5 2 3 2 2 2 3 3" xfId="13686"/>
    <cellStyle name="Normal 2 5 2 3 2 2 2 3 4" xfId="8429"/>
    <cellStyle name="Normal 2 5 2 3 2 2 2 4" xfId="6488"/>
    <cellStyle name="Normal 2 5 2 3 2 2 2 4 2" xfId="15572"/>
    <cellStyle name="Normal 2 5 2 3 2 2 2 5" xfId="9883"/>
    <cellStyle name="Normal 2 5 2 3 2 2 2 5 2" xfId="18710"/>
    <cellStyle name="Normal 2 5 2 3 2 2 2 6" xfId="11327"/>
    <cellStyle name="Normal 2 5 2 3 2 2 2 7" xfId="4966"/>
    <cellStyle name="Normal 2 5 2 3 2 2 3" xfId="980"/>
    <cellStyle name="Normal 2 5 2 3 2 2 3 2" xfId="2700"/>
    <cellStyle name="Normal 2 5 2 3 2 2 3 2 2" xfId="16731"/>
    <cellStyle name="Normal 2 5 2 3 2 2 3 2 3" xfId="13152"/>
    <cellStyle name="Normal 2 5 2 3 2 2 3 2 4" xfId="7863"/>
    <cellStyle name="Normal 2 5 2 3 2 2 3 3" xfId="3968"/>
    <cellStyle name="Normal 2 5 2 3 2 2 3 3 2" xfId="17613"/>
    <cellStyle name="Normal 2 5 2 3 2 2 3 3 3" xfId="14034"/>
    <cellStyle name="Normal 2 5 2 3 2 2 3 3 4" xfId="8777"/>
    <cellStyle name="Normal 2 5 2 3 2 2 3 4" xfId="6270"/>
    <cellStyle name="Normal 2 5 2 3 2 2 3 4 2" xfId="15354"/>
    <cellStyle name="Normal 2 5 2 3 2 2 3 5" xfId="10231"/>
    <cellStyle name="Normal 2 5 2 3 2 2 3 5 2" xfId="19058"/>
    <cellStyle name="Normal 2 5 2 3 2 2 3 6" xfId="11677"/>
    <cellStyle name="Normal 2 5 2 3 2 2 3 7" xfId="5457"/>
    <cellStyle name="Normal 2 5 2 3 2 2 4" xfId="1584"/>
    <cellStyle name="Normal 2 5 2 3 2 2 4 2" xfId="3182"/>
    <cellStyle name="Normal 2 5 2 3 2 2 4 2 2" xfId="18095"/>
    <cellStyle name="Normal 2 5 2 3 2 2 4 2 3" xfId="14516"/>
    <cellStyle name="Normal 2 5 2 3 2 2 4 2 4" xfId="9259"/>
    <cellStyle name="Normal 2 5 2 3 2 2 4 3" xfId="10713"/>
    <cellStyle name="Normal 2 5 2 3 2 2 4 3 2" xfId="19540"/>
    <cellStyle name="Normal 2 5 2 3 2 2 4 4" xfId="12159"/>
    <cellStyle name="Normal 2 5 2 3 2 2 4 5" xfId="7154"/>
    <cellStyle name="Normal 2 5 2 3 2 2 5" xfId="2139"/>
    <cellStyle name="Normal 2 5 2 3 2 2 5 2" xfId="17052"/>
    <cellStyle name="Normal 2 5 2 3 2 2 5 3" xfId="13473"/>
    <cellStyle name="Normal 2 5 2 3 2 2 5 4" xfId="8216"/>
    <cellStyle name="Normal 2 5 2 3 2 2 6" xfId="5777"/>
    <cellStyle name="Normal 2 5 2 3 2 2 6 2" xfId="14863"/>
    <cellStyle name="Normal 2 5 2 3 2 2 7" xfId="9670"/>
    <cellStyle name="Normal 2 5 2 3 2 2 7 2" xfId="18497"/>
    <cellStyle name="Normal 2 5 2 3 2 2 8" xfId="11114"/>
    <cellStyle name="Normal 2 5 2 3 2 2 9" xfId="4748"/>
    <cellStyle name="Normal 2 5 2 3 2 2_Degree data" xfId="1278"/>
    <cellStyle name="Normal 2 5 2 3 2 3" xfId="621"/>
    <cellStyle name="Normal 2 5 2 3 2 3 2" xfId="2351"/>
    <cellStyle name="Normal 2 5 2 3 2 3 2 2" xfId="16068"/>
    <cellStyle name="Normal 2 5 2 3 2 3 2 3" xfId="12305"/>
    <cellStyle name="Normal 2 5 2 3 2 3 2 4" xfId="7054"/>
    <cellStyle name="Normal 2 5 2 3 2 3 3" xfId="3618"/>
    <cellStyle name="Normal 2 5 2 3 2 3 3 2" xfId="17264"/>
    <cellStyle name="Normal 2 5 2 3 2 3 3 3" xfId="13685"/>
    <cellStyle name="Normal 2 5 2 3 2 3 3 4" xfId="8428"/>
    <cellStyle name="Normal 2 5 2 3 2 3 4" xfId="6170"/>
    <cellStyle name="Normal 2 5 2 3 2 3 4 2" xfId="15254"/>
    <cellStyle name="Normal 2 5 2 3 2 3 5" xfId="9882"/>
    <cellStyle name="Normal 2 5 2 3 2 3 5 2" xfId="18709"/>
    <cellStyle name="Normal 2 5 2 3 2 3 6" xfId="11326"/>
    <cellStyle name="Normal 2 5 2 3 2 3 7" xfId="4648"/>
    <cellStyle name="Normal 2 5 2 3 2 4" xfId="979"/>
    <cellStyle name="Normal 2 5 2 3 2 4 2" xfId="2699"/>
    <cellStyle name="Normal 2 5 2 3 2 4 2 2" xfId="16239"/>
    <cellStyle name="Normal 2 5 2 3 2 4 2 3" xfId="12661"/>
    <cellStyle name="Normal 2 5 2 3 2 4 2 4" xfId="7371"/>
    <cellStyle name="Normal 2 5 2 3 2 4 3" xfId="3967"/>
    <cellStyle name="Normal 2 5 2 3 2 4 3 2" xfId="17612"/>
    <cellStyle name="Normal 2 5 2 3 2 4 3 3" xfId="14033"/>
    <cellStyle name="Normal 2 5 2 3 2 4 3 4" xfId="8776"/>
    <cellStyle name="Normal 2 5 2 3 2 4 4" xfId="6487"/>
    <cellStyle name="Normal 2 5 2 3 2 4 4 2" xfId="15571"/>
    <cellStyle name="Normal 2 5 2 3 2 4 5" xfId="10230"/>
    <cellStyle name="Normal 2 5 2 3 2 4 5 2" xfId="19057"/>
    <cellStyle name="Normal 2 5 2 3 2 4 6" xfId="11676"/>
    <cellStyle name="Normal 2 5 2 3 2 4 7" xfId="4965"/>
    <cellStyle name="Normal 2 5 2 3 2 5" xfId="1482"/>
    <cellStyle name="Normal 2 5 2 3 2 5 2" xfId="3082"/>
    <cellStyle name="Normal 2 5 2 3 2 5 2 2" xfId="16631"/>
    <cellStyle name="Normal 2 5 2 3 2 5 2 3" xfId="13052"/>
    <cellStyle name="Normal 2 5 2 3 2 5 2 4" xfId="7763"/>
    <cellStyle name="Normal 2 5 2 3 2 5 3" xfId="4290"/>
    <cellStyle name="Normal 2 5 2 3 2 5 3 2" xfId="17995"/>
    <cellStyle name="Normal 2 5 2 3 2 5 3 3" xfId="14416"/>
    <cellStyle name="Normal 2 5 2 3 2 5 3 4" xfId="9159"/>
    <cellStyle name="Normal 2 5 2 3 2 5 4" xfId="5951"/>
    <cellStyle name="Normal 2 5 2 3 2 5 4 2" xfId="15037"/>
    <cellStyle name="Normal 2 5 2 3 2 5 5" xfId="10613"/>
    <cellStyle name="Normal 2 5 2 3 2 5 5 2" xfId="19440"/>
    <cellStyle name="Normal 2 5 2 3 2 5 6" xfId="12059"/>
    <cellStyle name="Normal 2 5 2 3 2 5 7" xfId="5357"/>
    <cellStyle name="Normal 2 5 2 3 2 6" xfId="2039"/>
    <cellStyle name="Normal 2 5 2 3 2 6 2" xfId="15880"/>
    <cellStyle name="Normal 2 5 2 3 2 6 3" xfId="12431"/>
    <cellStyle name="Normal 2 5 2 3 2 6 4" xfId="6837"/>
    <cellStyle name="Normal 2 5 2 3 2 7" xfId="3452"/>
    <cellStyle name="Normal 2 5 2 3 2 7 2" xfId="16952"/>
    <cellStyle name="Normal 2 5 2 3 2 7 3" xfId="13373"/>
    <cellStyle name="Normal 2 5 2 3 2 7 4" xfId="8116"/>
    <cellStyle name="Normal 2 5 2 3 2 8" xfId="5677"/>
    <cellStyle name="Normal 2 5 2 3 2 8 2" xfId="14763"/>
    <cellStyle name="Normal 2 5 2 3 2 9" xfId="9570"/>
    <cellStyle name="Normal 2 5 2 3 2 9 2" xfId="18397"/>
    <cellStyle name="Normal 2 5 2 3 2_Degree data" xfId="1287"/>
    <cellStyle name="Normal 2 5 2 3 3" xfId="220"/>
    <cellStyle name="Normal 2 5 2 3 3 10" xfId="10971"/>
    <cellStyle name="Normal 2 5 2 3 3 11" xfId="4493"/>
    <cellStyle name="Normal 2 5 2 3 3 2" xfId="434"/>
    <cellStyle name="Normal 2 5 2 3 3 2 2" xfId="624"/>
    <cellStyle name="Normal 2 5 2 3 3 2 2 2" xfId="2354"/>
    <cellStyle name="Normal 2 5 2 3 3 2 2 2 2" xfId="16242"/>
    <cellStyle name="Normal 2 5 2 3 3 2 2 2 3" xfId="12664"/>
    <cellStyle name="Normal 2 5 2 3 3 2 2 2 4" xfId="7374"/>
    <cellStyle name="Normal 2 5 2 3 3 2 2 3" xfId="3621"/>
    <cellStyle name="Normal 2 5 2 3 3 2 2 3 2" xfId="17267"/>
    <cellStyle name="Normal 2 5 2 3 3 2 2 3 3" xfId="13688"/>
    <cellStyle name="Normal 2 5 2 3 3 2 2 3 4" xfId="8431"/>
    <cellStyle name="Normal 2 5 2 3 3 2 2 4" xfId="6490"/>
    <cellStyle name="Normal 2 5 2 3 3 2 2 4 2" xfId="15574"/>
    <cellStyle name="Normal 2 5 2 3 3 2 2 5" xfId="9885"/>
    <cellStyle name="Normal 2 5 2 3 3 2 2 5 2" xfId="18712"/>
    <cellStyle name="Normal 2 5 2 3 3 2 2 6" xfId="11329"/>
    <cellStyle name="Normal 2 5 2 3 3 2 2 7" xfId="4968"/>
    <cellStyle name="Normal 2 5 2 3 3 2 3" xfId="982"/>
    <cellStyle name="Normal 2 5 2 3 3 2 3 2" xfId="2702"/>
    <cellStyle name="Normal 2 5 2 3 3 2 3 2 2" xfId="16793"/>
    <cellStyle name="Normal 2 5 2 3 3 2 3 2 3" xfId="13214"/>
    <cellStyle name="Normal 2 5 2 3 3 2 3 2 4" xfId="7925"/>
    <cellStyle name="Normal 2 5 2 3 3 2 3 3" xfId="3970"/>
    <cellStyle name="Normal 2 5 2 3 3 2 3 3 2" xfId="17615"/>
    <cellStyle name="Normal 2 5 2 3 3 2 3 3 3" xfId="14036"/>
    <cellStyle name="Normal 2 5 2 3 3 2 3 3 4" xfId="8779"/>
    <cellStyle name="Normal 2 5 2 3 3 2 3 4" xfId="6332"/>
    <cellStyle name="Normal 2 5 2 3 3 2 3 4 2" xfId="15416"/>
    <cellStyle name="Normal 2 5 2 3 3 2 3 5" xfId="10233"/>
    <cellStyle name="Normal 2 5 2 3 3 2 3 5 2" xfId="19060"/>
    <cellStyle name="Normal 2 5 2 3 3 2 3 6" xfId="11679"/>
    <cellStyle name="Normal 2 5 2 3 3 2 3 7" xfId="5519"/>
    <cellStyle name="Normal 2 5 2 3 3 2 4" xfId="1648"/>
    <cellStyle name="Normal 2 5 2 3 3 2 4 2" xfId="3244"/>
    <cellStyle name="Normal 2 5 2 3 3 2 4 2 2" xfId="18157"/>
    <cellStyle name="Normal 2 5 2 3 3 2 4 2 3" xfId="14578"/>
    <cellStyle name="Normal 2 5 2 3 3 2 4 2 4" xfId="9321"/>
    <cellStyle name="Normal 2 5 2 3 3 2 4 3" xfId="10775"/>
    <cellStyle name="Normal 2 5 2 3 3 2 4 3 2" xfId="19602"/>
    <cellStyle name="Normal 2 5 2 3 3 2 4 4" xfId="12221"/>
    <cellStyle name="Normal 2 5 2 3 3 2 4 5" xfId="7216"/>
    <cellStyle name="Normal 2 5 2 3 3 2 5" xfId="2201"/>
    <cellStyle name="Normal 2 5 2 3 3 2 5 2" xfId="17114"/>
    <cellStyle name="Normal 2 5 2 3 3 2 5 3" xfId="13535"/>
    <cellStyle name="Normal 2 5 2 3 3 2 5 4" xfId="8278"/>
    <cellStyle name="Normal 2 5 2 3 3 2 6" xfId="5839"/>
    <cellStyle name="Normal 2 5 2 3 3 2 6 2" xfId="14925"/>
    <cellStyle name="Normal 2 5 2 3 3 2 7" xfId="9732"/>
    <cellStyle name="Normal 2 5 2 3 3 2 7 2" xfId="18559"/>
    <cellStyle name="Normal 2 5 2 3 3 2 8" xfId="11176"/>
    <cellStyle name="Normal 2 5 2 3 3 2 9" xfId="4810"/>
    <cellStyle name="Normal 2 5 2 3 3 2_Degree data" xfId="1285"/>
    <cellStyle name="Normal 2 5 2 3 3 3" xfId="623"/>
    <cellStyle name="Normal 2 5 2 3 3 3 2" xfId="2353"/>
    <cellStyle name="Normal 2 5 2 3 3 3 2 2" xfId="16025"/>
    <cellStyle name="Normal 2 5 2 3 3 3 2 3" xfId="12336"/>
    <cellStyle name="Normal 2 5 2 3 3 3 2 4" xfId="7011"/>
    <cellStyle name="Normal 2 5 2 3 3 3 3" xfId="3620"/>
    <cellStyle name="Normal 2 5 2 3 3 3 3 2" xfId="17266"/>
    <cellStyle name="Normal 2 5 2 3 3 3 3 3" xfId="13687"/>
    <cellStyle name="Normal 2 5 2 3 3 3 3 4" xfId="8430"/>
    <cellStyle name="Normal 2 5 2 3 3 3 4" xfId="6127"/>
    <cellStyle name="Normal 2 5 2 3 3 3 4 2" xfId="15211"/>
    <cellStyle name="Normal 2 5 2 3 3 3 5" xfId="9884"/>
    <cellStyle name="Normal 2 5 2 3 3 3 5 2" xfId="18711"/>
    <cellStyle name="Normal 2 5 2 3 3 3 6" xfId="11328"/>
    <cellStyle name="Normal 2 5 2 3 3 3 7" xfId="4605"/>
    <cellStyle name="Normal 2 5 2 3 3 4" xfId="981"/>
    <cellStyle name="Normal 2 5 2 3 3 4 2" xfId="2701"/>
    <cellStyle name="Normal 2 5 2 3 3 4 2 2" xfId="16241"/>
    <cellStyle name="Normal 2 5 2 3 3 4 2 3" xfId="12663"/>
    <cellStyle name="Normal 2 5 2 3 3 4 2 4" xfId="7373"/>
    <cellStyle name="Normal 2 5 2 3 3 4 3" xfId="3969"/>
    <cellStyle name="Normal 2 5 2 3 3 4 3 2" xfId="17614"/>
    <cellStyle name="Normal 2 5 2 3 3 4 3 3" xfId="14035"/>
    <cellStyle name="Normal 2 5 2 3 3 4 3 4" xfId="8778"/>
    <cellStyle name="Normal 2 5 2 3 3 4 4" xfId="6489"/>
    <cellStyle name="Normal 2 5 2 3 3 4 4 2" xfId="15573"/>
    <cellStyle name="Normal 2 5 2 3 3 4 5" xfId="10232"/>
    <cellStyle name="Normal 2 5 2 3 3 4 5 2" xfId="19059"/>
    <cellStyle name="Normal 2 5 2 3 3 4 6" xfId="11678"/>
    <cellStyle name="Normal 2 5 2 3 3 4 7" xfId="4967"/>
    <cellStyle name="Normal 2 5 2 3 3 5" xfId="1437"/>
    <cellStyle name="Normal 2 5 2 3 3 5 2" xfId="3039"/>
    <cellStyle name="Normal 2 5 2 3 3 5 2 2" xfId="16588"/>
    <cellStyle name="Normal 2 5 2 3 3 5 2 3" xfId="13009"/>
    <cellStyle name="Normal 2 5 2 3 3 5 2 4" xfId="7720"/>
    <cellStyle name="Normal 2 5 2 3 3 5 3" xfId="4247"/>
    <cellStyle name="Normal 2 5 2 3 3 5 3 2" xfId="17952"/>
    <cellStyle name="Normal 2 5 2 3 3 5 3 3" xfId="14373"/>
    <cellStyle name="Normal 2 5 2 3 3 5 3 4" xfId="9116"/>
    <cellStyle name="Normal 2 5 2 3 3 5 4" xfId="6013"/>
    <cellStyle name="Normal 2 5 2 3 3 5 4 2" xfId="15099"/>
    <cellStyle name="Normal 2 5 2 3 3 5 5" xfId="10570"/>
    <cellStyle name="Normal 2 5 2 3 3 5 5 2" xfId="19397"/>
    <cellStyle name="Normal 2 5 2 3 3 5 6" xfId="12016"/>
    <cellStyle name="Normal 2 5 2 3 3 5 7" xfId="5314"/>
    <cellStyle name="Normal 2 5 2 3 3 6" xfId="1996"/>
    <cellStyle name="Normal 2 5 2 3 3 6 2" xfId="15942"/>
    <cellStyle name="Normal 2 5 2 3 3 6 3" xfId="12357"/>
    <cellStyle name="Normal 2 5 2 3 3 6 4" xfId="6899"/>
    <cellStyle name="Normal 2 5 2 3 3 7" xfId="3410"/>
    <cellStyle name="Normal 2 5 2 3 3 7 2" xfId="16909"/>
    <cellStyle name="Normal 2 5 2 3 3 7 3" xfId="13330"/>
    <cellStyle name="Normal 2 5 2 3 3 7 4" xfId="8073"/>
    <cellStyle name="Normal 2 5 2 3 3 8" xfId="5634"/>
    <cellStyle name="Normal 2 5 2 3 3 8 2" xfId="14720"/>
    <cellStyle name="Normal 2 5 2 3 3 9" xfId="9527"/>
    <cellStyle name="Normal 2 5 2 3 3 9 2" xfId="18354"/>
    <cellStyle name="Normal 2 5 2 3 3_Degree data" xfId="1277"/>
    <cellStyle name="Normal 2 5 2 3 4" xfId="328"/>
    <cellStyle name="Normal 2 5 2 3 4 2" xfId="625"/>
    <cellStyle name="Normal 2 5 2 3 4 2 2" xfId="2355"/>
    <cellStyle name="Normal 2 5 2 3 4 2 2 2" xfId="16243"/>
    <cellStyle name="Normal 2 5 2 3 4 2 2 3" xfId="12665"/>
    <cellStyle name="Normal 2 5 2 3 4 2 2 4" xfId="7375"/>
    <cellStyle name="Normal 2 5 2 3 4 2 3" xfId="3622"/>
    <cellStyle name="Normal 2 5 2 3 4 2 3 2" xfId="17268"/>
    <cellStyle name="Normal 2 5 2 3 4 2 3 3" xfId="13689"/>
    <cellStyle name="Normal 2 5 2 3 4 2 3 4" xfId="8432"/>
    <cellStyle name="Normal 2 5 2 3 4 2 4" xfId="6491"/>
    <cellStyle name="Normal 2 5 2 3 4 2 4 2" xfId="15575"/>
    <cellStyle name="Normal 2 5 2 3 4 2 5" xfId="9886"/>
    <cellStyle name="Normal 2 5 2 3 4 2 5 2" xfId="18713"/>
    <cellStyle name="Normal 2 5 2 3 4 2 6" xfId="11330"/>
    <cellStyle name="Normal 2 5 2 3 4 2 7" xfId="4969"/>
    <cellStyle name="Normal 2 5 2 3 4 3" xfId="983"/>
    <cellStyle name="Normal 2 5 2 3 4 3 2" xfId="2703"/>
    <cellStyle name="Normal 2 5 2 3 4 3 2 2" xfId="16688"/>
    <cellStyle name="Normal 2 5 2 3 4 3 2 3" xfId="13109"/>
    <cellStyle name="Normal 2 5 2 3 4 3 2 4" xfId="7820"/>
    <cellStyle name="Normal 2 5 2 3 4 3 3" xfId="3971"/>
    <cellStyle name="Normal 2 5 2 3 4 3 3 2" xfId="17616"/>
    <cellStyle name="Normal 2 5 2 3 4 3 3 3" xfId="14037"/>
    <cellStyle name="Normal 2 5 2 3 4 3 3 4" xfId="8780"/>
    <cellStyle name="Normal 2 5 2 3 4 3 4" xfId="6227"/>
    <cellStyle name="Normal 2 5 2 3 4 3 4 2" xfId="15311"/>
    <cellStyle name="Normal 2 5 2 3 4 3 5" xfId="10234"/>
    <cellStyle name="Normal 2 5 2 3 4 3 5 2" xfId="19061"/>
    <cellStyle name="Normal 2 5 2 3 4 3 6" xfId="11680"/>
    <cellStyle name="Normal 2 5 2 3 4 3 7" xfId="5414"/>
    <cellStyle name="Normal 2 5 2 3 4 4" xfId="1540"/>
    <cellStyle name="Normal 2 5 2 3 4 4 2" xfId="3139"/>
    <cellStyle name="Normal 2 5 2 3 4 4 2 2" xfId="18052"/>
    <cellStyle name="Normal 2 5 2 3 4 4 2 3" xfId="14473"/>
    <cellStyle name="Normal 2 5 2 3 4 4 2 4" xfId="9216"/>
    <cellStyle name="Normal 2 5 2 3 4 4 3" xfId="10670"/>
    <cellStyle name="Normal 2 5 2 3 4 4 3 2" xfId="19497"/>
    <cellStyle name="Normal 2 5 2 3 4 4 4" xfId="12116"/>
    <cellStyle name="Normal 2 5 2 3 4 4 5" xfId="7111"/>
    <cellStyle name="Normal 2 5 2 3 4 5" xfId="2096"/>
    <cellStyle name="Normal 2 5 2 3 4 5 2" xfId="17009"/>
    <cellStyle name="Normal 2 5 2 3 4 5 3" xfId="13430"/>
    <cellStyle name="Normal 2 5 2 3 4 5 4" xfId="8173"/>
    <cellStyle name="Normal 2 5 2 3 4 6" xfId="5734"/>
    <cellStyle name="Normal 2 5 2 3 4 6 2" xfId="14820"/>
    <cellStyle name="Normal 2 5 2 3 4 7" xfId="9627"/>
    <cellStyle name="Normal 2 5 2 3 4 7 2" xfId="18454"/>
    <cellStyle name="Normal 2 5 2 3 4 8" xfId="11071"/>
    <cellStyle name="Normal 2 5 2 3 4 9" xfId="4705"/>
    <cellStyle name="Normal 2 5 2 3 4_Degree data" xfId="1314"/>
    <cellStyle name="Normal 2 5 2 3 5" xfId="620"/>
    <cellStyle name="Normal 2 5 2 3 5 2" xfId="2350"/>
    <cellStyle name="Normal 2 5 2 3 5 2 2" xfId="15982"/>
    <cellStyle name="Normal 2 5 2 3 5 2 3" xfId="12280"/>
    <cellStyle name="Normal 2 5 2 3 5 2 4" xfId="6952"/>
    <cellStyle name="Normal 2 5 2 3 5 3" xfId="3617"/>
    <cellStyle name="Normal 2 5 2 3 5 3 2" xfId="17263"/>
    <cellStyle name="Normal 2 5 2 3 5 3 3" xfId="13684"/>
    <cellStyle name="Normal 2 5 2 3 5 3 4" xfId="8427"/>
    <cellStyle name="Normal 2 5 2 3 5 4" xfId="6068"/>
    <cellStyle name="Normal 2 5 2 3 5 4 2" xfId="15152"/>
    <cellStyle name="Normal 2 5 2 3 5 5" xfId="9881"/>
    <cellStyle name="Normal 2 5 2 3 5 5 2" xfId="18708"/>
    <cellStyle name="Normal 2 5 2 3 5 6" xfId="11325"/>
    <cellStyle name="Normal 2 5 2 3 5 7" xfId="4546"/>
    <cellStyle name="Normal 2 5 2 3 6" xfId="978"/>
    <cellStyle name="Normal 2 5 2 3 6 2" xfId="2698"/>
    <cellStyle name="Normal 2 5 2 3 6 2 2" xfId="16238"/>
    <cellStyle name="Normal 2 5 2 3 6 2 3" xfId="12660"/>
    <cellStyle name="Normal 2 5 2 3 6 2 4" xfId="7370"/>
    <cellStyle name="Normal 2 5 2 3 6 3" xfId="3966"/>
    <cellStyle name="Normal 2 5 2 3 6 3 2" xfId="17611"/>
    <cellStyle name="Normal 2 5 2 3 6 3 3" xfId="14032"/>
    <cellStyle name="Normal 2 5 2 3 6 3 4" xfId="8775"/>
    <cellStyle name="Normal 2 5 2 3 6 4" xfId="6486"/>
    <cellStyle name="Normal 2 5 2 3 6 4 2" xfId="15570"/>
    <cellStyle name="Normal 2 5 2 3 6 5" xfId="10229"/>
    <cellStyle name="Normal 2 5 2 3 6 5 2" xfId="19056"/>
    <cellStyle name="Normal 2 5 2 3 6 6" xfId="11675"/>
    <cellStyle name="Normal 2 5 2 3 6 7" xfId="4964"/>
    <cellStyle name="Normal 2 5 2 3 7" xfId="1369"/>
    <cellStyle name="Normal 2 5 2 3 7 2" xfId="2980"/>
    <cellStyle name="Normal 2 5 2 3 7 2 2" xfId="16529"/>
    <cellStyle name="Normal 2 5 2 3 7 2 3" xfId="12951"/>
    <cellStyle name="Normal 2 5 2 3 7 2 4" xfId="7661"/>
    <cellStyle name="Normal 2 5 2 3 7 3" xfId="4205"/>
    <cellStyle name="Normal 2 5 2 3 7 3 2" xfId="17893"/>
    <cellStyle name="Normal 2 5 2 3 7 3 3" xfId="14314"/>
    <cellStyle name="Normal 2 5 2 3 7 3 4" xfId="9057"/>
    <cellStyle name="Normal 2 5 2 3 7 4" xfId="5907"/>
    <cellStyle name="Normal 2 5 2 3 7 4 2" xfId="14993"/>
    <cellStyle name="Normal 2 5 2 3 7 5" xfId="10511"/>
    <cellStyle name="Normal 2 5 2 3 7 5 2" xfId="19338"/>
    <cellStyle name="Normal 2 5 2 3 7 6" xfId="11957"/>
    <cellStyle name="Normal 2 5 2 3 7 7" xfId="5255"/>
    <cellStyle name="Normal 2 5 2 3 8" xfId="1937"/>
    <cellStyle name="Normal 2 5 2 3 8 2" xfId="9468"/>
    <cellStyle name="Normal 2 5 2 3 8 2 2" xfId="18295"/>
    <cellStyle name="Normal 2 5 2 3 8 3" xfId="10912"/>
    <cellStyle name="Normal 2 5 2 3 8 4" xfId="6794"/>
    <cellStyle name="Normal 2 5 2 3 9" xfId="1861"/>
    <cellStyle name="Normal 2 5 2 3 9 2" xfId="16848"/>
    <cellStyle name="Normal 2 5 2 3 9 3" xfId="13269"/>
    <cellStyle name="Normal 2 5 2 3 9 4" xfId="8012"/>
    <cellStyle name="Normal 2 5 2 3_Degree data" xfId="1268"/>
    <cellStyle name="Normal 2 5 2 4" xfId="253"/>
    <cellStyle name="Normal 2 5 2 4 10" xfId="11004"/>
    <cellStyle name="Normal 2 5 2 4 11" xfId="4421"/>
    <cellStyle name="Normal 2 5 2 4 2" xfId="361"/>
    <cellStyle name="Normal 2 5 2 4 2 2" xfId="627"/>
    <cellStyle name="Normal 2 5 2 4 2 2 2" xfId="2357"/>
    <cellStyle name="Normal 2 5 2 4 2 2 2 2" xfId="16245"/>
    <cellStyle name="Normal 2 5 2 4 2 2 2 3" xfId="12667"/>
    <cellStyle name="Normal 2 5 2 4 2 2 2 4" xfId="7377"/>
    <cellStyle name="Normal 2 5 2 4 2 2 3" xfId="3624"/>
    <cellStyle name="Normal 2 5 2 4 2 2 3 2" xfId="17270"/>
    <cellStyle name="Normal 2 5 2 4 2 2 3 3" xfId="13691"/>
    <cellStyle name="Normal 2 5 2 4 2 2 3 4" xfId="8434"/>
    <cellStyle name="Normal 2 5 2 4 2 2 4" xfId="6493"/>
    <cellStyle name="Normal 2 5 2 4 2 2 4 2" xfId="15577"/>
    <cellStyle name="Normal 2 5 2 4 2 2 5" xfId="9888"/>
    <cellStyle name="Normal 2 5 2 4 2 2 5 2" xfId="18715"/>
    <cellStyle name="Normal 2 5 2 4 2 2 6" xfId="11332"/>
    <cellStyle name="Normal 2 5 2 4 2 2 7" xfId="4971"/>
    <cellStyle name="Normal 2 5 2 4 2 3" xfId="985"/>
    <cellStyle name="Normal 2 5 2 4 2 3 2" xfId="2705"/>
    <cellStyle name="Normal 2 5 2 4 2 3 2 2" xfId="16721"/>
    <cellStyle name="Normal 2 5 2 4 2 3 2 3" xfId="13142"/>
    <cellStyle name="Normal 2 5 2 4 2 3 2 4" xfId="7853"/>
    <cellStyle name="Normal 2 5 2 4 2 3 3" xfId="3973"/>
    <cellStyle name="Normal 2 5 2 4 2 3 3 2" xfId="17618"/>
    <cellStyle name="Normal 2 5 2 4 2 3 3 3" xfId="14039"/>
    <cellStyle name="Normal 2 5 2 4 2 3 3 4" xfId="8782"/>
    <cellStyle name="Normal 2 5 2 4 2 3 4" xfId="6260"/>
    <cellStyle name="Normal 2 5 2 4 2 3 4 2" xfId="15344"/>
    <cellStyle name="Normal 2 5 2 4 2 3 5" xfId="10236"/>
    <cellStyle name="Normal 2 5 2 4 2 3 5 2" xfId="19063"/>
    <cellStyle name="Normal 2 5 2 4 2 3 6" xfId="11682"/>
    <cellStyle name="Normal 2 5 2 4 2 3 7" xfId="5447"/>
    <cellStyle name="Normal 2 5 2 4 2 4" xfId="1574"/>
    <cellStyle name="Normal 2 5 2 4 2 4 2" xfId="3172"/>
    <cellStyle name="Normal 2 5 2 4 2 4 2 2" xfId="18085"/>
    <cellStyle name="Normal 2 5 2 4 2 4 2 3" xfId="14506"/>
    <cellStyle name="Normal 2 5 2 4 2 4 2 4" xfId="9249"/>
    <cellStyle name="Normal 2 5 2 4 2 4 3" xfId="10703"/>
    <cellStyle name="Normal 2 5 2 4 2 4 3 2" xfId="19530"/>
    <cellStyle name="Normal 2 5 2 4 2 4 4" xfId="12149"/>
    <cellStyle name="Normal 2 5 2 4 2 4 5" xfId="7144"/>
    <cellStyle name="Normal 2 5 2 4 2 5" xfId="2129"/>
    <cellStyle name="Normal 2 5 2 4 2 5 2" xfId="17042"/>
    <cellStyle name="Normal 2 5 2 4 2 5 3" xfId="13463"/>
    <cellStyle name="Normal 2 5 2 4 2 5 4" xfId="8206"/>
    <cellStyle name="Normal 2 5 2 4 2 6" xfId="5767"/>
    <cellStyle name="Normal 2 5 2 4 2 6 2" xfId="14853"/>
    <cellStyle name="Normal 2 5 2 4 2 7" xfId="9660"/>
    <cellStyle name="Normal 2 5 2 4 2 7 2" xfId="18487"/>
    <cellStyle name="Normal 2 5 2 4 2 8" xfId="11104"/>
    <cellStyle name="Normal 2 5 2 4 2 9" xfId="4738"/>
    <cellStyle name="Normal 2 5 2 4 2_Degree data" xfId="1312"/>
    <cellStyle name="Normal 2 5 2 4 3" xfId="626"/>
    <cellStyle name="Normal 2 5 2 4 3 2" xfId="2356"/>
    <cellStyle name="Normal 2 5 2 4 3 2 2" xfId="16058"/>
    <cellStyle name="Normal 2 5 2 4 3 2 3" xfId="12515"/>
    <cellStyle name="Normal 2 5 2 4 3 2 4" xfId="7044"/>
    <cellStyle name="Normal 2 5 2 4 3 3" xfId="3623"/>
    <cellStyle name="Normal 2 5 2 4 3 3 2" xfId="17269"/>
    <cellStyle name="Normal 2 5 2 4 3 3 3" xfId="13690"/>
    <cellStyle name="Normal 2 5 2 4 3 3 4" xfId="8433"/>
    <cellStyle name="Normal 2 5 2 4 3 4" xfId="6160"/>
    <cellStyle name="Normal 2 5 2 4 3 4 2" xfId="15244"/>
    <cellStyle name="Normal 2 5 2 4 3 5" xfId="9887"/>
    <cellStyle name="Normal 2 5 2 4 3 5 2" xfId="18714"/>
    <cellStyle name="Normal 2 5 2 4 3 6" xfId="11331"/>
    <cellStyle name="Normal 2 5 2 4 3 7" xfId="4638"/>
    <cellStyle name="Normal 2 5 2 4 4" xfId="984"/>
    <cellStyle name="Normal 2 5 2 4 4 2" xfId="2704"/>
    <cellStyle name="Normal 2 5 2 4 4 2 2" xfId="16244"/>
    <cellStyle name="Normal 2 5 2 4 4 2 3" xfId="12666"/>
    <cellStyle name="Normal 2 5 2 4 4 2 4" xfId="7376"/>
    <cellStyle name="Normal 2 5 2 4 4 3" xfId="3972"/>
    <cellStyle name="Normal 2 5 2 4 4 3 2" xfId="17617"/>
    <cellStyle name="Normal 2 5 2 4 4 3 3" xfId="14038"/>
    <cellStyle name="Normal 2 5 2 4 4 3 4" xfId="8781"/>
    <cellStyle name="Normal 2 5 2 4 4 4" xfId="6492"/>
    <cellStyle name="Normal 2 5 2 4 4 4 2" xfId="15576"/>
    <cellStyle name="Normal 2 5 2 4 4 5" xfId="10235"/>
    <cellStyle name="Normal 2 5 2 4 4 5 2" xfId="19062"/>
    <cellStyle name="Normal 2 5 2 4 4 6" xfId="11681"/>
    <cellStyle name="Normal 2 5 2 4 4 7" xfId="4970"/>
    <cellStyle name="Normal 2 5 2 4 5" xfId="1472"/>
    <cellStyle name="Normal 2 5 2 4 5 2" xfId="3072"/>
    <cellStyle name="Normal 2 5 2 4 5 2 2" xfId="16621"/>
    <cellStyle name="Normal 2 5 2 4 5 2 3" xfId="13042"/>
    <cellStyle name="Normal 2 5 2 4 5 2 4" xfId="7753"/>
    <cellStyle name="Normal 2 5 2 4 5 3" xfId="4280"/>
    <cellStyle name="Normal 2 5 2 4 5 3 2" xfId="17985"/>
    <cellStyle name="Normal 2 5 2 4 5 3 3" xfId="14406"/>
    <cellStyle name="Normal 2 5 2 4 5 3 4" xfId="9149"/>
    <cellStyle name="Normal 2 5 2 4 5 4" xfId="5941"/>
    <cellStyle name="Normal 2 5 2 4 5 4 2" xfId="15027"/>
    <cellStyle name="Normal 2 5 2 4 5 5" xfId="10603"/>
    <cellStyle name="Normal 2 5 2 4 5 5 2" xfId="19430"/>
    <cellStyle name="Normal 2 5 2 4 5 6" xfId="12049"/>
    <cellStyle name="Normal 2 5 2 4 5 7" xfId="5347"/>
    <cellStyle name="Normal 2 5 2 4 6" xfId="2029"/>
    <cellStyle name="Normal 2 5 2 4 6 2" xfId="15870"/>
    <cellStyle name="Normal 2 5 2 4 6 3" xfId="12492"/>
    <cellStyle name="Normal 2 5 2 4 6 4" xfId="6827"/>
    <cellStyle name="Normal 2 5 2 4 7" xfId="3442"/>
    <cellStyle name="Normal 2 5 2 4 7 2" xfId="16942"/>
    <cellStyle name="Normal 2 5 2 4 7 3" xfId="13363"/>
    <cellStyle name="Normal 2 5 2 4 7 4" xfId="8106"/>
    <cellStyle name="Normal 2 5 2 4 8" xfId="5667"/>
    <cellStyle name="Normal 2 5 2 4 8 2" xfId="14753"/>
    <cellStyle name="Normal 2 5 2 4 9" xfId="9560"/>
    <cellStyle name="Normal 2 5 2 4 9 2" xfId="18387"/>
    <cellStyle name="Normal 2 5 2 4_Degree data" xfId="1313"/>
    <cellStyle name="Normal 2 5 2 5" xfId="199"/>
    <cellStyle name="Normal 2 5 2 5 10" xfId="10953"/>
    <cellStyle name="Normal 2 5 2 5 11" xfId="4475"/>
    <cellStyle name="Normal 2 5 2 5 2" xfId="416"/>
    <cellStyle name="Normal 2 5 2 5 2 2" xfId="629"/>
    <cellStyle name="Normal 2 5 2 5 2 2 2" xfId="2359"/>
    <cellStyle name="Normal 2 5 2 5 2 2 2 2" xfId="16247"/>
    <cellStyle name="Normal 2 5 2 5 2 2 2 3" xfId="12669"/>
    <cellStyle name="Normal 2 5 2 5 2 2 2 4" xfId="7379"/>
    <cellStyle name="Normal 2 5 2 5 2 2 3" xfId="3626"/>
    <cellStyle name="Normal 2 5 2 5 2 2 3 2" xfId="17272"/>
    <cellStyle name="Normal 2 5 2 5 2 2 3 3" xfId="13693"/>
    <cellStyle name="Normal 2 5 2 5 2 2 3 4" xfId="8436"/>
    <cellStyle name="Normal 2 5 2 5 2 2 4" xfId="6495"/>
    <cellStyle name="Normal 2 5 2 5 2 2 4 2" xfId="15579"/>
    <cellStyle name="Normal 2 5 2 5 2 2 5" xfId="9890"/>
    <cellStyle name="Normal 2 5 2 5 2 2 5 2" xfId="18717"/>
    <cellStyle name="Normal 2 5 2 5 2 2 6" xfId="11334"/>
    <cellStyle name="Normal 2 5 2 5 2 2 7" xfId="4973"/>
    <cellStyle name="Normal 2 5 2 5 2 3" xfId="987"/>
    <cellStyle name="Normal 2 5 2 5 2 3 2" xfId="2707"/>
    <cellStyle name="Normal 2 5 2 5 2 3 2 2" xfId="16775"/>
    <cellStyle name="Normal 2 5 2 5 2 3 2 3" xfId="13196"/>
    <cellStyle name="Normal 2 5 2 5 2 3 2 4" xfId="7907"/>
    <cellStyle name="Normal 2 5 2 5 2 3 3" xfId="3975"/>
    <cellStyle name="Normal 2 5 2 5 2 3 3 2" xfId="17620"/>
    <cellStyle name="Normal 2 5 2 5 2 3 3 3" xfId="14041"/>
    <cellStyle name="Normal 2 5 2 5 2 3 3 4" xfId="8784"/>
    <cellStyle name="Normal 2 5 2 5 2 3 4" xfId="6314"/>
    <cellStyle name="Normal 2 5 2 5 2 3 4 2" xfId="15398"/>
    <cellStyle name="Normal 2 5 2 5 2 3 5" xfId="10238"/>
    <cellStyle name="Normal 2 5 2 5 2 3 5 2" xfId="19065"/>
    <cellStyle name="Normal 2 5 2 5 2 3 6" xfId="11684"/>
    <cellStyle name="Normal 2 5 2 5 2 3 7" xfId="5501"/>
    <cellStyle name="Normal 2 5 2 5 2 4" xfId="1630"/>
    <cellStyle name="Normal 2 5 2 5 2 4 2" xfId="3226"/>
    <cellStyle name="Normal 2 5 2 5 2 4 2 2" xfId="18139"/>
    <cellStyle name="Normal 2 5 2 5 2 4 2 3" xfId="14560"/>
    <cellStyle name="Normal 2 5 2 5 2 4 2 4" xfId="9303"/>
    <cellStyle name="Normal 2 5 2 5 2 4 3" xfId="10757"/>
    <cellStyle name="Normal 2 5 2 5 2 4 3 2" xfId="19584"/>
    <cellStyle name="Normal 2 5 2 5 2 4 4" xfId="12203"/>
    <cellStyle name="Normal 2 5 2 5 2 4 5" xfId="7198"/>
    <cellStyle name="Normal 2 5 2 5 2 5" xfId="2183"/>
    <cellStyle name="Normal 2 5 2 5 2 5 2" xfId="17096"/>
    <cellStyle name="Normal 2 5 2 5 2 5 3" xfId="13517"/>
    <cellStyle name="Normal 2 5 2 5 2 5 4" xfId="8260"/>
    <cellStyle name="Normal 2 5 2 5 2 6" xfId="5821"/>
    <cellStyle name="Normal 2 5 2 5 2 6 2" xfId="14907"/>
    <cellStyle name="Normal 2 5 2 5 2 7" xfId="9714"/>
    <cellStyle name="Normal 2 5 2 5 2 7 2" xfId="18541"/>
    <cellStyle name="Normal 2 5 2 5 2 8" xfId="11158"/>
    <cellStyle name="Normal 2 5 2 5 2 9" xfId="4792"/>
    <cellStyle name="Normal 2 5 2 5 2_Degree data" xfId="1249"/>
    <cellStyle name="Normal 2 5 2 5 3" xfId="628"/>
    <cellStyle name="Normal 2 5 2 5 3 2" xfId="2358"/>
    <cellStyle name="Normal 2 5 2 5 3 2 2" xfId="16007"/>
    <cellStyle name="Normal 2 5 2 5 3 2 3" xfId="12257"/>
    <cellStyle name="Normal 2 5 2 5 3 2 4" xfId="6993"/>
    <cellStyle name="Normal 2 5 2 5 3 3" xfId="3625"/>
    <cellStyle name="Normal 2 5 2 5 3 3 2" xfId="17271"/>
    <cellStyle name="Normal 2 5 2 5 3 3 3" xfId="13692"/>
    <cellStyle name="Normal 2 5 2 5 3 3 4" xfId="8435"/>
    <cellStyle name="Normal 2 5 2 5 3 4" xfId="6109"/>
    <cellStyle name="Normal 2 5 2 5 3 4 2" xfId="15193"/>
    <cellStyle name="Normal 2 5 2 5 3 5" xfId="9889"/>
    <cellStyle name="Normal 2 5 2 5 3 5 2" xfId="18716"/>
    <cellStyle name="Normal 2 5 2 5 3 6" xfId="11333"/>
    <cellStyle name="Normal 2 5 2 5 3 7" xfId="4587"/>
    <cellStyle name="Normal 2 5 2 5 4" xfId="986"/>
    <cellStyle name="Normal 2 5 2 5 4 2" xfId="2706"/>
    <cellStyle name="Normal 2 5 2 5 4 2 2" xfId="16246"/>
    <cellStyle name="Normal 2 5 2 5 4 2 3" xfId="12668"/>
    <cellStyle name="Normal 2 5 2 5 4 2 4" xfId="7378"/>
    <cellStyle name="Normal 2 5 2 5 4 3" xfId="3974"/>
    <cellStyle name="Normal 2 5 2 5 4 3 2" xfId="17619"/>
    <cellStyle name="Normal 2 5 2 5 4 3 3" xfId="14040"/>
    <cellStyle name="Normal 2 5 2 5 4 3 4" xfId="8783"/>
    <cellStyle name="Normal 2 5 2 5 4 4" xfId="6494"/>
    <cellStyle name="Normal 2 5 2 5 4 4 2" xfId="15578"/>
    <cellStyle name="Normal 2 5 2 5 4 5" xfId="10237"/>
    <cellStyle name="Normal 2 5 2 5 4 5 2" xfId="19064"/>
    <cellStyle name="Normal 2 5 2 5 4 6" xfId="11683"/>
    <cellStyle name="Normal 2 5 2 5 4 7" xfId="4972"/>
    <cellStyle name="Normal 2 5 2 5 5" xfId="1416"/>
    <cellStyle name="Normal 2 5 2 5 5 2" xfId="3021"/>
    <cellStyle name="Normal 2 5 2 5 5 2 2" xfId="16570"/>
    <cellStyle name="Normal 2 5 2 5 5 2 3" xfId="12991"/>
    <cellStyle name="Normal 2 5 2 5 5 2 4" xfId="7702"/>
    <cellStyle name="Normal 2 5 2 5 5 3" xfId="4229"/>
    <cellStyle name="Normal 2 5 2 5 5 3 2" xfId="17934"/>
    <cellStyle name="Normal 2 5 2 5 5 3 3" xfId="14355"/>
    <cellStyle name="Normal 2 5 2 5 5 3 4" xfId="9098"/>
    <cellStyle name="Normal 2 5 2 5 5 4" xfId="5995"/>
    <cellStyle name="Normal 2 5 2 5 5 4 2" xfId="15081"/>
    <cellStyle name="Normal 2 5 2 5 5 5" xfId="10552"/>
    <cellStyle name="Normal 2 5 2 5 5 5 2" xfId="19379"/>
    <cellStyle name="Normal 2 5 2 5 5 6" xfId="11998"/>
    <cellStyle name="Normal 2 5 2 5 5 7" xfId="5296"/>
    <cellStyle name="Normal 2 5 2 5 6" xfId="1978"/>
    <cellStyle name="Normal 2 5 2 5 6 2" xfId="15924"/>
    <cellStyle name="Normal 2 5 2 5 6 3" xfId="12299"/>
    <cellStyle name="Normal 2 5 2 5 6 4" xfId="6881"/>
    <cellStyle name="Normal 2 5 2 5 7" xfId="3392"/>
    <cellStyle name="Normal 2 5 2 5 7 2" xfId="16891"/>
    <cellStyle name="Normal 2 5 2 5 7 3" xfId="13312"/>
    <cellStyle name="Normal 2 5 2 5 7 4" xfId="8055"/>
    <cellStyle name="Normal 2 5 2 5 8" xfId="5616"/>
    <cellStyle name="Normal 2 5 2 5 8 2" xfId="14702"/>
    <cellStyle name="Normal 2 5 2 5 9" xfId="9509"/>
    <cellStyle name="Normal 2 5 2 5 9 2" xfId="18336"/>
    <cellStyle name="Normal 2 5 2 5_Degree data" xfId="1239"/>
    <cellStyle name="Normal 2 5 2 6" xfId="310"/>
    <cellStyle name="Normal 2 5 2 6 2" xfId="630"/>
    <cellStyle name="Normal 2 5 2 6 2 2" xfId="2360"/>
    <cellStyle name="Normal 2 5 2 6 2 2 2" xfId="16248"/>
    <cellStyle name="Normal 2 5 2 6 2 2 3" xfId="12670"/>
    <cellStyle name="Normal 2 5 2 6 2 2 4" xfId="7380"/>
    <cellStyle name="Normal 2 5 2 6 2 3" xfId="3627"/>
    <cellStyle name="Normal 2 5 2 6 2 3 2" xfId="17273"/>
    <cellStyle name="Normal 2 5 2 6 2 3 3" xfId="13694"/>
    <cellStyle name="Normal 2 5 2 6 2 3 4" xfId="8437"/>
    <cellStyle name="Normal 2 5 2 6 2 4" xfId="6496"/>
    <cellStyle name="Normal 2 5 2 6 2 4 2" xfId="15580"/>
    <cellStyle name="Normal 2 5 2 6 2 5" xfId="9891"/>
    <cellStyle name="Normal 2 5 2 6 2 5 2" xfId="18718"/>
    <cellStyle name="Normal 2 5 2 6 2 6" xfId="11335"/>
    <cellStyle name="Normal 2 5 2 6 2 7" xfId="4974"/>
    <cellStyle name="Normal 2 5 2 6 3" xfId="988"/>
    <cellStyle name="Normal 2 5 2 6 3 2" xfId="2708"/>
    <cellStyle name="Normal 2 5 2 6 3 2 2" xfId="16670"/>
    <cellStyle name="Normal 2 5 2 6 3 2 3" xfId="13091"/>
    <cellStyle name="Normal 2 5 2 6 3 2 4" xfId="7802"/>
    <cellStyle name="Normal 2 5 2 6 3 3" xfId="3976"/>
    <cellStyle name="Normal 2 5 2 6 3 3 2" xfId="17621"/>
    <cellStyle name="Normal 2 5 2 6 3 3 3" xfId="14042"/>
    <cellStyle name="Normal 2 5 2 6 3 3 4" xfId="8785"/>
    <cellStyle name="Normal 2 5 2 6 3 4" xfId="6209"/>
    <cellStyle name="Normal 2 5 2 6 3 4 2" xfId="15293"/>
    <cellStyle name="Normal 2 5 2 6 3 5" xfId="10239"/>
    <cellStyle name="Normal 2 5 2 6 3 5 2" xfId="19066"/>
    <cellStyle name="Normal 2 5 2 6 3 6" xfId="11685"/>
    <cellStyle name="Normal 2 5 2 6 3 7" xfId="5396"/>
    <cellStyle name="Normal 2 5 2 6 4" xfId="1522"/>
    <cellStyle name="Normal 2 5 2 6 4 2" xfId="3121"/>
    <cellStyle name="Normal 2 5 2 6 4 2 2" xfId="18034"/>
    <cellStyle name="Normal 2 5 2 6 4 2 3" xfId="14455"/>
    <cellStyle name="Normal 2 5 2 6 4 2 4" xfId="9198"/>
    <cellStyle name="Normal 2 5 2 6 4 3" xfId="10652"/>
    <cellStyle name="Normal 2 5 2 6 4 3 2" xfId="19479"/>
    <cellStyle name="Normal 2 5 2 6 4 4" xfId="12098"/>
    <cellStyle name="Normal 2 5 2 6 4 5" xfId="7093"/>
    <cellStyle name="Normal 2 5 2 6 5" xfId="2078"/>
    <cellStyle name="Normal 2 5 2 6 5 2" xfId="16991"/>
    <cellStyle name="Normal 2 5 2 6 5 3" xfId="13412"/>
    <cellStyle name="Normal 2 5 2 6 5 4" xfId="8155"/>
    <cellStyle name="Normal 2 5 2 6 6" xfId="5716"/>
    <cellStyle name="Normal 2 5 2 6 6 2" xfId="14802"/>
    <cellStyle name="Normal 2 5 2 6 7" xfId="9609"/>
    <cellStyle name="Normal 2 5 2 6 7 2" xfId="18436"/>
    <cellStyle name="Normal 2 5 2 6 8" xfId="11053"/>
    <cellStyle name="Normal 2 5 2 6 9" xfId="4687"/>
    <cellStyle name="Normal 2 5 2 6_Degree data" xfId="1248"/>
    <cellStyle name="Normal 2 5 2 7" xfId="480"/>
    <cellStyle name="Normal 2 5 2 7 2" xfId="631"/>
    <cellStyle name="Normal 2 5 2 7 2 2" xfId="2361"/>
    <cellStyle name="Normal 2 5 2 7 2 2 2" xfId="16249"/>
    <cellStyle name="Normal 2 5 2 7 2 2 3" xfId="12671"/>
    <cellStyle name="Normal 2 5 2 7 2 2 4" xfId="7381"/>
    <cellStyle name="Normal 2 5 2 7 2 3" xfId="3628"/>
    <cellStyle name="Normal 2 5 2 7 2 3 2" xfId="17274"/>
    <cellStyle name="Normal 2 5 2 7 2 3 3" xfId="13695"/>
    <cellStyle name="Normal 2 5 2 7 2 3 4" xfId="8438"/>
    <cellStyle name="Normal 2 5 2 7 2 4" xfId="6497"/>
    <cellStyle name="Normal 2 5 2 7 2 4 2" xfId="15581"/>
    <cellStyle name="Normal 2 5 2 7 2 5" xfId="9892"/>
    <cellStyle name="Normal 2 5 2 7 2 5 2" xfId="18719"/>
    <cellStyle name="Normal 2 5 2 7 2 6" xfId="11336"/>
    <cellStyle name="Normal 2 5 2 7 2 7" xfId="4975"/>
    <cellStyle name="Normal 2 5 2 7 3" xfId="989"/>
    <cellStyle name="Normal 2 5 2 7 3 2" xfId="2709"/>
    <cellStyle name="Normal 2 5 2 7 3 2 2" xfId="16518"/>
    <cellStyle name="Normal 2 5 2 7 3 2 3" xfId="12940"/>
    <cellStyle name="Normal 2 5 2 7 3 2 4" xfId="7650"/>
    <cellStyle name="Normal 2 5 2 7 3 3" xfId="3977"/>
    <cellStyle name="Normal 2 5 2 7 3 3 2" xfId="17622"/>
    <cellStyle name="Normal 2 5 2 7 3 3 3" xfId="14043"/>
    <cellStyle name="Normal 2 5 2 7 3 3 4" xfId="8786"/>
    <cellStyle name="Normal 2 5 2 7 3 4" xfId="5913"/>
    <cellStyle name="Normal 2 5 2 7 3 4 2" xfId="14999"/>
    <cellStyle name="Normal 2 5 2 7 3 5" xfId="10240"/>
    <cellStyle name="Normal 2 5 2 7 3 5 2" xfId="19067"/>
    <cellStyle name="Normal 2 5 2 7 3 6" xfId="11686"/>
    <cellStyle name="Normal 2 5 2 7 3 7" xfId="5244"/>
    <cellStyle name="Normal 2 5 2 7 4" xfId="1356"/>
    <cellStyle name="Normal 2 5 2 7 4 2" xfId="2969"/>
    <cellStyle name="Normal 2 5 2 7 4 2 2" xfId="17882"/>
    <cellStyle name="Normal 2 5 2 7 4 2 3" xfId="14303"/>
    <cellStyle name="Normal 2 5 2 7 4 2 4" xfId="9046"/>
    <cellStyle name="Normal 2 5 2 7 4 3" xfId="10500"/>
    <cellStyle name="Normal 2 5 2 7 4 3 2" xfId="19327"/>
    <cellStyle name="Normal 2 5 2 7 4 4" xfId="11946"/>
    <cellStyle name="Normal 2 5 2 7 4 5" xfId="6941"/>
    <cellStyle name="Normal 2 5 2 7 5" xfId="1926"/>
    <cellStyle name="Normal 2 5 2 7 5 2" xfId="16837"/>
    <cellStyle name="Normal 2 5 2 7 5 3" xfId="13258"/>
    <cellStyle name="Normal 2 5 2 7 5 4" xfId="8001"/>
    <cellStyle name="Normal 2 5 2 7 6" xfId="6057"/>
    <cellStyle name="Normal 2 5 2 7 6 2" xfId="15141"/>
    <cellStyle name="Normal 2 5 2 7 7" xfId="9457"/>
    <cellStyle name="Normal 2 5 2 7 7 2" xfId="18284"/>
    <cellStyle name="Normal 2 5 2 7 8" xfId="10901"/>
    <cellStyle name="Normal 2 5 2 7 9" xfId="4535"/>
    <cellStyle name="Normal 2 5 2 7_Degree data" xfId="1488"/>
    <cellStyle name="Normal 2 5 2 8" xfId="612"/>
    <cellStyle name="Normal 2 5 2 8 2" xfId="2342"/>
    <cellStyle name="Normal 2 5 2 8 2 2" xfId="16230"/>
    <cellStyle name="Normal 2 5 2 8 2 3" xfId="12652"/>
    <cellStyle name="Normal 2 5 2 8 2 4" xfId="7362"/>
    <cellStyle name="Normal 2 5 2 8 3" xfId="3609"/>
    <cellStyle name="Normal 2 5 2 8 3 2" xfId="17255"/>
    <cellStyle name="Normal 2 5 2 8 3 3" xfId="13676"/>
    <cellStyle name="Normal 2 5 2 8 3 4" xfId="8419"/>
    <cellStyle name="Normal 2 5 2 8 4" xfId="6478"/>
    <cellStyle name="Normal 2 5 2 8 4 2" xfId="15562"/>
    <cellStyle name="Normal 2 5 2 8 5" xfId="9873"/>
    <cellStyle name="Normal 2 5 2 8 5 2" xfId="18700"/>
    <cellStyle name="Normal 2 5 2 8 6" xfId="11317"/>
    <cellStyle name="Normal 2 5 2 8 7" xfId="4956"/>
    <cellStyle name="Normal 2 5 2 9" xfId="970"/>
    <cellStyle name="Normal 2 5 2 9 2" xfId="2690"/>
    <cellStyle name="Normal 2 5 2 9 2 2" xfId="16486"/>
    <cellStyle name="Normal 2 5 2 9 2 3" xfId="12908"/>
    <cellStyle name="Normal 2 5 2 9 2 4" xfId="7618"/>
    <cellStyle name="Normal 2 5 2 9 3" xfId="3958"/>
    <cellStyle name="Normal 2 5 2 9 3 2" xfId="17603"/>
    <cellStyle name="Normal 2 5 2 9 3 3" xfId="14024"/>
    <cellStyle name="Normal 2 5 2 9 3 4" xfId="8767"/>
    <cellStyle name="Normal 2 5 2 9 4" xfId="5889"/>
    <cellStyle name="Normal 2 5 2 9 4 2" xfId="14975"/>
    <cellStyle name="Normal 2 5 2 9 5" xfId="10221"/>
    <cellStyle name="Normal 2 5 2 9 5 2" xfId="19048"/>
    <cellStyle name="Normal 2 5 2 9 6" xfId="11667"/>
    <cellStyle name="Normal 2 5 2 9 7" xfId="5212"/>
    <cellStyle name="Normal 2 5 2_Degree data" xfId="1426"/>
    <cellStyle name="Normal 2 5 3" xfId="101"/>
    <cellStyle name="Normal 2 5 3 10" xfId="1898"/>
    <cellStyle name="Normal 2 5 3 10 2" xfId="9429"/>
    <cellStyle name="Normal 2 5 3 10 2 2" xfId="18256"/>
    <cellStyle name="Normal 2 5 3 10 3" xfId="10873"/>
    <cellStyle name="Normal 2 5 3 10 4" xfId="7973"/>
    <cellStyle name="Normal 2 5 3 11" xfId="1865"/>
    <cellStyle name="Normal 2 5 3 11 2" xfId="14665"/>
    <cellStyle name="Normal 2 5 3 11 3" xfId="5579"/>
    <cellStyle name="Normal 2 5 3 12" xfId="9399"/>
    <cellStyle name="Normal 2 5 3 12 2" xfId="18226"/>
    <cellStyle name="Normal 2 5 3 13" xfId="10840"/>
    <cellStyle name="Normal 2 5 3 14" xfId="4362"/>
    <cellStyle name="Normal 2 5 3 2" xfId="223"/>
    <cellStyle name="Normal 2 5 3 2 10" xfId="9531"/>
    <cellStyle name="Normal 2 5 3 2 10 2" xfId="18358"/>
    <cellStyle name="Normal 2 5 3 2 11" xfId="10975"/>
    <cellStyle name="Normal 2 5 3 2 12" xfId="4392"/>
    <cellStyle name="Normal 2 5 3 2 2" xfId="437"/>
    <cellStyle name="Normal 2 5 3 2 2 10" xfId="4496"/>
    <cellStyle name="Normal 2 5 3 2 2 2" xfId="634"/>
    <cellStyle name="Normal 2 5 3 2 2 2 2" xfId="2364"/>
    <cellStyle name="Normal 2 5 3 2 2 2 2 2" xfId="16096"/>
    <cellStyle name="Normal 2 5 3 2 2 2 2 3" xfId="12518"/>
    <cellStyle name="Normal 2 5 3 2 2 2 2 4" xfId="7219"/>
    <cellStyle name="Normal 2 5 3 2 2 2 3" xfId="3631"/>
    <cellStyle name="Normal 2 5 3 2 2 2 3 2" xfId="17277"/>
    <cellStyle name="Normal 2 5 3 2 2 2 3 3" xfId="13698"/>
    <cellStyle name="Normal 2 5 3 2 2 2 3 4" xfId="8441"/>
    <cellStyle name="Normal 2 5 3 2 2 2 4" xfId="6335"/>
    <cellStyle name="Normal 2 5 3 2 2 2 4 2" xfId="15419"/>
    <cellStyle name="Normal 2 5 3 2 2 2 5" xfId="9895"/>
    <cellStyle name="Normal 2 5 3 2 2 2 5 2" xfId="18722"/>
    <cellStyle name="Normal 2 5 3 2 2 2 6" xfId="11339"/>
    <cellStyle name="Normal 2 5 3 2 2 2 7" xfId="4813"/>
    <cellStyle name="Normal 2 5 3 2 2 3" xfId="992"/>
    <cellStyle name="Normal 2 5 3 2 2 3 2" xfId="2712"/>
    <cellStyle name="Normal 2 5 3 2 2 3 2 2" xfId="16252"/>
    <cellStyle name="Normal 2 5 3 2 2 3 2 3" xfId="12674"/>
    <cellStyle name="Normal 2 5 3 2 2 3 2 4" xfId="7384"/>
    <cellStyle name="Normal 2 5 3 2 2 3 3" xfId="3980"/>
    <cellStyle name="Normal 2 5 3 2 2 3 3 2" xfId="17625"/>
    <cellStyle name="Normal 2 5 3 2 2 3 3 3" xfId="14046"/>
    <cellStyle name="Normal 2 5 3 2 2 3 3 4" xfId="8789"/>
    <cellStyle name="Normal 2 5 3 2 2 3 4" xfId="6500"/>
    <cellStyle name="Normal 2 5 3 2 2 3 4 2" xfId="15584"/>
    <cellStyle name="Normal 2 5 3 2 2 3 5" xfId="10243"/>
    <cellStyle name="Normal 2 5 3 2 2 3 5 2" xfId="19070"/>
    <cellStyle name="Normal 2 5 3 2 2 3 6" xfId="11689"/>
    <cellStyle name="Normal 2 5 3 2 2 3 7" xfId="4978"/>
    <cellStyle name="Normal 2 5 3 2 2 4" xfId="1651"/>
    <cellStyle name="Normal 2 5 3 2 2 4 2" xfId="3247"/>
    <cellStyle name="Normal 2 5 3 2 2 4 2 2" xfId="16796"/>
    <cellStyle name="Normal 2 5 3 2 2 4 2 3" xfId="13217"/>
    <cellStyle name="Normal 2 5 3 2 2 4 2 4" xfId="7928"/>
    <cellStyle name="Normal 2 5 3 2 2 4 3" xfId="4318"/>
    <cellStyle name="Normal 2 5 3 2 2 4 3 2" xfId="18160"/>
    <cellStyle name="Normal 2 5 3 2 2 4 3 3" xfId="14581"/>
    <cellStyle name="Normal 2 5 3 2 2 4 3 4" xfId="9324"/>
    <cellStyle name="Normal 2 5 3 2 2 4 4" xfId="6016"/>
    <cellStyle name="Normal 2 5 3 2 2 4 4 2" xfId="15102"/>
    <cellStyle name="Normal 2 5 3 2 2 4 5" xfId="10778"/>
    <cellStyle name="Normal 2 5 3 2 2 4 5 2" xfId="19605"/>
    <cellStyle name="Normal 2 5 3 2 2 4 6" xfId="12224"/>
    <cellStyle name="Normal 2 5 3 2 2 4 7" xfId="5522"/>
    <cellStyle name="Normal 2 5 3 2 2 5" xfId="2204"/>
    <cellStyle name="Normal 2 5 3 2 2 5 2" xfId="15945"/>
    <cellStyle name="Normal 2 5 3 2 2 5 3" xfId="12262"/>
    <cellStyle name="Normal 2 5 3 2 2 5 4" xfId="6902"/>
    <cellStyle name="Normal 2 5 3 2 2 6" xfId="3480"/>
    <cellStyle name="Normal 2 5 3 2 2 6 2" xfId="17117"/>
    <cellStyle name="Normal 2 5 3 2 2 6 3" xfId="13538"/>
    <cellStyle name="Normal 2 5 3 2 2 6 4" xfId="8281"/>
    <cellStyle name="Normal 2 5 3 2 2 7" xfId="5842"/>
    <cellStyle name="Normal 2 5 3 2 2 7 2" xfId="14928"/>
    <cellStyle name="Normal 2 5 3 2 2 8" xfId="9735"/>
    <cellStyle name="Normal 2 5 3 2 2 8 2" xfId="18562"/>
    <cellStyle name="Normal 2 5 3 2 2 9" xfId="11179"/>
    <cellStyle name="Normal 2 5 3 2 2_Degree data" xfId="1307"/>
    <cellStyle name="Normal 2 5 3 2 3" xfId="332"/>
    <cellStyle name="Normal 2 5 3 2 3 2" xfId="635"/>
    <cellStyle name="Normal 2 5 3 2 3 2 2" xfId="2365"/>
    <cellStyle name="Normal 2 5 3 2 3 2 2 2" xfId="16253"/>
    <cellStyle name="Normal 2 5 3 2 3 2 2 3" xfId="12675"/>
    <cellStyle name="Normal 2 5 3 2 3 2 2 4" xfId="7385"/>
    <cellStyle name="Normal 2 5 3 2 3 2 3" xfId="3632"/>
    <cellStyle name="Normal 2 5 3 2 3 2 3 2" xfId="17278"/>
    <cellStyle name="Normal 2 5 3 2 3 2 3 3" xfId="13699"/>
    <cellStyle name="Normal 2 5 3 2 3 2 3 4" xfId="8442"/>
    <cellStyle name="Normal 2 5 3 2 3 2 4" xfId="6501"/>
    <cellStyle name="Normal 2 5 3 2 3 2 4 2" xfId="15585"/>
    <cellStyle name="Normal 2 5 3 2 3 2 5" xfId="9896"/>
    <cellStyle name="Normal 2 5 3 2 3 2 5 2" xfId="18723"/>
    <cellStyle name="Normal 2 5 3 2 3 2 6" xfId="11340"/>
    <cellStyle name="Normal 2 5 3 2 3 2 7" xfId="4979"/>
    <cellStyle name="Normal 2 5 3 2 3 3" xfId="993"/>
    <cellStyle name="Normal 2 5 3 2 3 3 2" xfId="2713"/>
    <cellStyle name="Normal 2 5 3 2 3 3 2 2" xfId="16692"/>
    <cellStyle name="Normal 2 5 3 2 3 3 2 3" xfId="13113"/>
    <cellStyle name="Normal 2 5 3 2 3 3 2 4" xfId="7824"/>
    <cellStyle name="Normal 2 5 3 2 3 3 3" xfId="3981"/>
    <cellStyle name="Normal 2 5 3 2 3 3 3 2" xfId="17626"/>
    <cellStyle name="Normal 2 5 3 2 3 3 3 3" xfId="14047"/>
    <cellStyle name="Normal 2 5 3 2 3 3 3 4" xfId="8790"/>
    <cellStyle name="Normal 2 5 3 2 3 3 4" xfId="6231"/>
    <cellStyle name="Normal 2 5 3 2 3 3 4 2" xfId="15315"/>
    <cellStyle name="Normal 2 5 3 2 3 3 5" xfId="10244"/>
    <cellStyle name="Normal 2 5 3 2 3 3 5 2" xfId="19071"/>
    <cellStyle name="Normal 2 5 3 2 3 3 6" xfId="11690"/>
    <cellStyle name="Normal 2 5 3 2 3 3 7" xfId="5418"/>
    <cellStyle name="Normal 2 5 3 2 3 4" xfId="1544"/>
    <cellStyle name="Normal 2 5 3 2 3 4 2" xfId="3143"/>
    <cellStyle name="Normal 2 5 3 2 3 4 2 2" xfId="18056"/>
    <cellStyle name="Normal 2 5 3 2 3 4 2 3" xfId="14477"/>
    <cellStyle name="Normal 2 5 3 2 3 4 2 4" xfId="9220"/>
    <cellStyle name="Normal 2 5 3 2 3 4 3" xfId="10674"/>
    <cellStyle name="Normal 2 5 3 2 3 4 3 2" xfId="19501"/>
    <cellStyle name="Normal 2 5 3 2 3 4 4" xfId="12120"/>
    <cellStyle name="Normal 2 5 3 2 3 4 5" xfId="7115"/>
    <cellStyle name="Normal 2 5 3 2 3 5" xfId="2100"/>
    <cellStyle name="Normal 2 5 3 2 3 5 2" xfId="17013"/>
    <cellStyle name="Normal 2 5 3 2 3 5 3" xfId="13434"/>
    <cellStyle name="Normal 2 5 3 2 3 5 4" xfId="8177"/>
    <cellStyle name="Normal 2 5 3 2 3 6" xfId="5738"/>
    <cellStyle name="Normal 2 5 3 2 3 6 2" xfId="14824"/>
    <cellStyle name="Normal 2 5 3 2 3 7" xfId="9631"/>
    <cellStyle name="Normal 2 5 3 2 3 7 2" xfId="18458"/>
    <cellStyle name="Normal 2 5 3 2 3 8" xfId="11075"/>
    <cellStyle name="Normal 2 5 3 2 3 9" xfId="4709"/>
    <cellStyle name="Normal 2 5 3 2 3_Degree data" xfId="1247"/>
    <cellStyle name="Normal 2 5 3 2 4" xfId="633"/>
    <cellStyle name="Normal 2 5 3 2 4 2" xfId="2363"/>
    <cellStyle name="Normal 2 5 3 2 4 2 2" xfId="16029"/>
    <cellStyle name="Normal 2 5 3 2 4 2 3" xfId="12395"/>
    <cellStyle name="Normal 2 5 3 2 4 2 4" xfId="7015"/>
    <cellStyle name="Normal 2 5 3 2 4 3" xfId="3630"/>
    <cellStyle name="Normal 2 5 3 2 4 3 2" xfId="17276"/>
    <cellStyle name="Normal 2 5 3 2 4 3 3" xfId="13697"/>
    <cellStyle name="Normal 2 5 3 2 4 3 4" xfId="8440"/>
    <cellStyle name="Normal 2 5 3 2 4 4" xfId="6131"/>
    <cellStyle name="Normal 2 5 3 2 4 4 2" xfId="15215"/>
    <cellStyle name="Normal 2 5 3 2 4 5" xfId="9894"/>
    <cellStyle name="Normal 2 5 3 2 4 5 2" xfId="18721"/>
    <cellStyle name="Normal 2 5 3 2 4 6" xfId="11338"/>
    <cellStyle name="Normal 2 5 3 2 4 7" xfId="4609"/>
    <cellStyle name="Normal 2 5 3 2 5" xfId="991"/>
    <cellStyle name="Normal 2 5 3 2 5 2" xfId="2711"/>
    <cellStyle name="Normal 2 5 3 2 5 2 2" xfId="16251"/>
    <cellStyle name="Normal 2 5 3 2 5 2 3" xfId="12673"/>
    <cellStyle name="Normal 2 5 3 2 5 2 4" xfId="7383"/>
    <cellStyle name="Normal 2 5 3 2 5 3" xfId="3979"/>
    <cellStyle name="Normal 2 5 3 2 5 3 2" xfId="17624"/>
    <cellStyle name="Normal 2 5 3 2 5 3 3" xfId="14045"/>
    <cellStyle name="Normal 2 5 3 2 5 3 4" xfId="8788"/>
    <cellStyle name="Normal 2 5 3 2 5 4" xfId="6499"/>
    <cellStyle name="Normal 2 5 3 2 5 4 2" xfId="15583"/>
    <cellStyle name="Normal 2 5 3 2 5 5" xfId="10242"/>
    <cellStyle name="Normal 2 5 3 2 5 5 2" xfId="19069"/>
    <cellStyle name="Normal 2 5 3 2 5 6" xfId="11688"/>
    <cellStyle name="Normal 2 5 3 2 5 7" xfId="4977"/>
    <cellStyle name="Normal 2 5 3 2 6" xfId="1441"/>
    <cellStyle name="Normal 2 5 3 2 6 2" xfId="3043"/>
    <cellStyle name="Normal 2 5 3 2 6 2 2" xfId="16592"/>
    <cellStyle name="Normal 2 5 3 2 6 2 3" xfId="13013"/>
    <cellStyle name="Normal 2 5 3 2 6 2 4" xfId="7724"/>
    <cellStyle name="Normal 2 5 3 2 6 3" xfId="4251"/>
    <cellStyle name="Normal 2 5 3 2 6 3 2" xfId="17956"/>
    <cellStyle name="Normal 2 5 3 2 6 3 3" xfId="14377"/>
    <cellStyle name="Normal 2 5 3 2 6 3 4" xfId="9120"/>
    <cellStyle name="Normal 2 5 3 2 6 4" xfId="5911"/>
    <cellStyle name="Normal 2 5 3 2 6 4 2" xfId="14997"/>
    <cellStyle name="Normal 2 5 3 2 6 5" xfId="10574"/>
    <cellStyle name="Normal 2 5 3 2 6 5 2" xfId="19401"/>
    <cellStyle name="Normal 2 5 3 2 6 6" xfId="12020"/>
    <cellStyle name="Normal 2 5 3 2 6 7" xfId="5318"/>
    <cellStyle name="Normal 2 5 3 2 7" xfId="2000"/>
    <cellStyle name="Normal 2 5 3 2 7 2" xfId="15846"/>
    <cellStyle name="Normal 2 5 3 2 7 3" xfId="12436"/>
    <cellStyle name="Normal 2 5 3 2 7 4" xfId="6798"/>
    <cellStyle name="Normal 2 5 3 2 8" xfId="3413"/>
    <cellStyle name="Normal 2 5 3 2 8 2" xfId="16913"/>
    <cellStyle name="Normal 2 5 3 2 8 3" xfId="13334"/>
    <cellStyle name="Normal 2 5 3 2 8 4" xfId="8077"/>
    <cellStyle name="Normal 2 5 3 2 9" xfId="5638"/>
    <cellStyle name="Normal 2 5 3 2 9 2" xfId="14724"/>
    <cellStyle name="Normal 2 5 3 2_Degree data" xfId="1375"/>
    <cellStyle name="Normal 2 5 3 3" xfId="267"/>
    <cellStyle name="Normal 2 5 3 3 10" xfId="11018"/>
    <cellStyle name="Normal 2 5 3 3 11" xfId="4435"/>
    <cellStyle name="Normal 2 5 3 3 2" xfId="375"/>
    <cellStyle name="Normal 2 5 3 3 2 2" xfId="637"/>
    <cellStyle name="Normal 2 5 3 3 2 2 2" xfId="2367"/>
    <cellStyle name="Normal 2 5 3 3 2 2 2 2" xfId="16255"/>
    <cellStyle name="Normal 2 5 3 3 2 2 2 3" xfId="12677"/>
    <cellStyle name="Normal 2 5 3 3 2 2 2 4" xfId="7387"/>
    <cellStyle name="Normal 2 5 3 3 2 2 3" xfId="3634"/>
    <cellStyle name="Normal 2 5 3 3 2 2 3 2" xfId="17280"/>
    <cellStyle name="Normal 2 5 3 3 2 2 3 3" xfId="13701"/>
    <cellStyle name="Normal 2 5 3 3 2 2 3 4" xfId="8444"/>
    <cellStyle name="Normal 2 5 3 3 2 2 4" xfId="6503"/>
    <cellStyle name="Normal 2 5 3 3 2 2 4 2" xfId="15587"/>
    <cellStyle name="Normal 2 5 3 3 2 2 5" xfId="9898"/>
    <cellStyle name="Normal 2 5 3 3 2 2 5 2" xfId="18725"/>
    <cellStyle name="Normal 2 5 3 3 2 2 6" xfId="11342"/>
    <cellStyle name="Normal 2 5 3 3 2 2 7" xfId="4981"/>
    <cellStyle name="Normal 2 5 3 3 2 3" xfId="995"/>
    <cellStyle name="Normal 2 5 3 3 2 3 2" xfId="2715"/>
    <cellStyle name="Normal 2 5 3 3 2 3 2 2" xfId="16735"/>
    <cellStyle name="Normal 2 5 3 3 2 3 2 3" xfId="13156"/>
    <cellStyle name="Normal 2 5 3 3 2 3 2 4" xfId="7867"/>
    <cellStyle name="Normal 2 5 3 3 2 3 3" xfId="3983"/>
    <cellStyle name="Normal 2 5 3 3 2 3 3 2" xfId="17628"/>
    <cellStyle name="Normal 2 5 3 3 2 3 3 3" xfId="14049"/>
    <cellStyle name="Normal 2 5 3 3 2 3 3 4" xfId="8792"/>
    <cellStyle name="Normal 2 5 3 3 2 3 4" xfId="6274"/>
    <cellStyle name="Normal 2 5 3 3 2 3 4 2" xfId="15358"/>
    <cellStyle name="Normal 2 5 3 3 2 3 5" xfId="10246"/>
    <cellStyle name="Normal 2 5 3 3 2 3 5 2" xfId="19073"/>
    <cellStyle name="Normal 2 5 3 3 2 3 6" xfId="11692"/>
    <cellStyle name="Normal 2 5 3 3 2 3 7" xfId="5461"/>
    <cellStyle name="Normal 2 5 3 3 2 4" xfId="1588"/>
    <cellStyle name="Normal 2 5 3 3 2 4 2" xfId="3186"/>
    <cellStyle name="Normal 2 5 3 3 2 4 2 2" xfId="18099"/>
    <cellStyle name="Normal 2 5 3 3 2 4 2 3" xfId="14520"/>
    <cellStyle name="Normal 2 5 3 3 2 4 2 4" xfId="9263"/>
    <cellStyle name="Normal 2 5 3 3 2 4 3" xfId="10717"/>
    <cellStyle name="Normal 2 5 3 3 2 4 3 2" xfId="19544"/>
    <cellStyle name="Normal 2 5 3 3 2 4 4" xfId="12163"/>
    <cellStyle name="Normal 2 5 3 3 2 4 5" xfId="7158"/>
    <cellStyle name="Normal 2 5 3 3 2 5" xfId="2143"/>
    <cellStyle name="Normal 2 5 3 3 2 5 2" xfId="17056"/>
    <cellStyle name="Normal 2 5 3 3 2 5 3" xfId="13477"/>
    <cellStyle name="Normal 2 5 3 3 2 5 4" xfId="8220"/>
    <cellStyle name="Normal 2 5 3 3 2 6" xfId="5781"/>
    <cellStyle name="Normal 2 5 3 3 2 6 2" xfId="14867"/>
    <cellStyle name="Normal 2 5 3 3 2 7" xfId="9674"/>
    <cellStyle name="Normal 2 5 3 3 2 7 2" xfId="18501"/>
    <cellStyle name="Normal 2 5 3 3 2 8" xfId="11118"/>
    <cellStyle name="Normal 2 5 3 3 2 9" xfId="4752"/>
    <cellStyle name="Normal 2 5 3 3 2_Degree data" xfId="1237"/>
    <cellStyle name="Normal 2 5 3 3 3" xfId="636"/>
    <cellStyle name="Normal 2 5 3 3 3 2" xfId="2366"/>
    <cellStyle name="Normal 2 5 3 3 3 2 2" xfId="16072"/>
    <cellStyle name="Normal 2 5 3 3 3 2 3" xfId="12322"/>
    <cellStyle name="Normal 2 5 3 3 3 2 4" xfId="7058"/>
    <cellStyle name="Normal 2 5 3 3 3 3" xfId="3633"/>
    <cellStyle name="Normal 2 5 3 3 3 3 2" xfId="17279"/>
    <cellStyle name="Normal 2 5 3 3 3 3 3" xfId="13700"/>
    <cellStyle name="Normal 2 5 3 3 3 3 4" xfId="8443"/>
    <cellStyle name="Normal 2 5 3 3 3 4" xfId="6174"/>
    <cellStyle name="Normal 2 5 3 3 3 4 2" xfId="15258"/>
    <cellStyle name="Normal 2 5 3 3 3 5" xfId="9897"/>
    <cellStyle name="Normal 2 5 3 3 3 5 2" xfId="18724"/>
    <cellStyle name="Normal 2 5 3 3 3 6" xfId="11341"/>
    <cellStyle name="Normal 2 5 3 3 3 7" xfId="4652"/>
    <cellStyle name="Normal 2 5 3 3 4" xfId="994"/>
    <cellStyle name="Normal 2 5 3 3 4 2" xfId="2714"/>
    <cellStyle name="Normal 2 5 3 3 4 2 2" xfId="16254"/>
    <cellStyle name="Normal 2 5 3 3 4 2 3" xfId="12676"/>
    <cellStyle name="Normal 2 5 3 3 4 2 4" xfId="7386"/>
    <cellStyle name="Normal 2 5 3 3 4 3" xfId="3982"/>
    <cellStyle name="Normal 2 5 3 3 4 3 2" xfId="17627"/>
    <cellStyle name="Normal 2 5 3 3 4 3 3" xfId="14048"/>
    <cellStyle name="Normal 2 5 3 3 4 3 4" xfId="8791"/>
    <cellStyle name="Normal 2 5 3 3 4 4" xfId="6502"/>
    <cellStyle name="Normal 2 5 3 3 4 4 2" xfId="15586"/>
    <cellStyle name="Normal 2 5 3 3 4 5" xfId="10245"/>
    <cellStyle name="Normal 2 5 3 3 4 5 2" xfId="19072"/>
    <cellStyle name="Normal 2 5 3 3 4 6" xfId="11691"/>
    <cellStyle name="Normal 2 5 3 3 4 7" xfId="4980"/>
    <cellStyle name="Normal 2 5 3 3 5" xfId="1486"/>
    <cellStyle name="Normal 2 5 3 3 5 2" xfId="3086"/>
    <cellStyle name="Normal 2 5 3 3 5 2 2" xfId="16635"/>
    <cellStyle name="Normal 2 5 3 3 5 2 3" xfId="13056"/>
    <cellStyle name="Normal 2 5 3 3 5 2 4" xfId="7767"/>
    <cellStyle name="Normal 2 5 3 3 5 3" xfId="4294"/>
    <cellStyle name="Normal 2 5 3 3 5 3 2" xfId="17999"/>
    <cellStyle name="Normal 2 5 3 3 5 3 3" xfId="14420"/>
    <cellStyle name="Normal 2 5 3 3 5 3 4" xfId="9163"/>
    <cellStyle name="Normal 2 5 3 3 5 4" xfId="5955"/>
    <cellStyle name="Normal 2 5 3 3 5 4 2" xfId="15041"/>
    <cellStyle name="Normal 2 5 3 3 5 5" xfId="10617"/>
    <cellStyle name="Normal 2 5 3 3 5 5 2" xfId="19444"/>
    <cellStyle name="Normal 2 5 3 3 5 6" xfId="12063"/>
    <cellStyle name="Normal 2 5 3 3 5 7" xfId="5361"/>
    <cellStyle name="Normal 2 5 3 3 6" xfId="2043"/>
    <cellStyle name="Normal 2 5 3 3 6 2" xfId="15884"/>
    <cellStyle name="Normal 2 5 3 3 6 3" xfId="12447"/>
    <cellStyle name="Normal 2 5 3 3 6 4" xfId="6841"/>
    <cellStyle name="Normal 2 5 3 3 7" xfId="3456"/>
    <cellStyle name="Normal 2 5 3 3 7 2" xfId="16956"/>
    <cellStyle name="Normal 2 5 3 3 7 3" xfId="13377"/>
    <cellStyle name="Normal 2 5 3 3 7 4" xfId="8120"/>
    <cellStyle name="Normal 2 5 3 3 8" xfId="5681"/>
    <cellStyle name="Normal 2 5 3 3 8 2" xfId="14767"/>
    <cellStyle name="Normal 2 5 3 3 9" xfId="9574"/>
    <cellStyle name="Normal 2 5 3 3 9 2" xfId="18401"/>
    <cellStyle name="Normal 2 5 3 3_Degree data" xfId="1238"/>
    <cellStyle name="Normal 2 5 3 4" xfId="191"/>
    <cellStyle name="Normal 2 5 3 4 10" xfId="10945"/>
    <cellStyle name="Normal 2 5 3 4 11" xfId="4467"/>
    <cellStyle name="Normal 2 5 3 4 2" xfId="408"/>
    <cellStyle name="Normal 2 5 3 4 2 2" xfId="639"/>
    <cellStyle name="Normal 2 5 3 4 2 2 2" xfId="2369"/>
    <cellStyle name="Normal 2 5 3 4 2 2 2 2" xfId="16257"/>
    <cellStyle name="Normal 2 5 3 4 2 2 2 3" xfId="12679"/>
    <cellStyle name="Normal 2 5 3 4 2 2 2 4" xfId="7389"/>
    <cellStyle name="Normal 2 5 3 4 2 2 3" xfId="3636"/>
    <cellStyle name="Normal 2 5 3 4 2 2 3 2" xfId="17282"/>
    <cellStyle name="Normal 2 5 3 4 2 2 3 3" xfId="13703"/>
    <cellStyle name="Normal 2 5 3 4 2 2 3 4" xfId="8446"/>
    <cellStyle name="Normal 2 5 3 4 2 2 4" xfId="6505"/>
    <cellStyle name="Normal 2 5 3 4 2 2 4 2" xfId="15589"/>
    <cellStyle name="Normal 2 5 3 4 2 2 5" xfId="9900"/>
    <cellStyle name="Normal 2 5 3 4 2 2 5 2" xfId="18727"/>
    <cellStyle name="Normal 2 5 3 4 2 2 6" xfId="11344"/>
    <cellStyle name="Normal 2 5 3 4 2 2 7" xfId="4983"/>
    <cellStyle name="Normal 2 5 3 4 2 3" xfId="997"/>
    <cellStyle name="Normal 2 5 3 4 2 3 2" xfId="2717"/>
    <cellStyle name="Normal 2 5 3 4 2 3 2 2" xfId="16767"/>
    <cellStyle name="Normal 2 5 3 4 2 3 2 3" xfId="13188"/>
    <cellStyle name="Normal 2 5 3 4 2 3 2 4" xfId="7899"/>
    <cellStyle name="Normal 2 5 3 4 2 3 3" xfId="3985"/>
    <cellStyle name="Normal 2 5 3 4 2 3 3 2" xfId="17630"/>
    <cellStyle name="Normal 2 5 3 4 2 3 3 3" xfId="14051"/>
    <cellStyle name="Normal 2 5 3 4 2 3 3 4" xfId="8794"/>
    <cellStyle name="Normal 2 5 3 4 2 3 4" xfId="6306"/>
    <cellStyle name="Normal 2 5 3 4 2 3 4 2" xfId="15390"/>
    <cellStyle name="Normal 2 5 3 4 2 3 5" xfId="10248"/>
    <cellStyle name="Normal 2 5 3 4 2 3 5 2" xfId="19075"/>
    <cellStyle name="Normal 2 5 3 4 2 3 6" xfId="11694"/>
    <cellStyle name="Normal 2 5 3 4 2 3 7" xfId="5493"/>
    <cellStyle name="Normal 2 5 3 4 2 4" xfId="1622"/>
    <cellStyle name="Normal 2 5 3 4 2 4 2" xfId="3218"/>
    <cellStyle name="Normal 2 5 3 4 2 4 2 2" xfId="18131"/>
    <cellStyle name="Normal 2 5 3 4 2 4 2 3" xfId="14552"/>
    <cellStyle name="Normal 2 5 3 4 2 4 2 4" xfId="9295"/>
    <cellStyle name="Normal 2 5 3 4 2 4 3" xfId="10749"/>
    <cellStyle name="Normal 2 5 3 4 2 4 3 2" xfId="19576"/>
    <cellStyle name="Normal 2 5 3 4 2 4 4" xfId="12195"/>
    <cellStyle name="Normal 2 5 3 4 2 4 5" xfId="7190"/>
    <cellStyle name="Normal 2 5 3 4 2 5" xfId="2175"/>
    <cellStyle name="Normal 2 5 3 4 2 5 2" xfId="17088"/>
    <cellStyle name="Normal 2 5 3 4 2 5 3" xfId="13509"/>
    <cellStyle name="Normal 2 5 3 4 2 5 4" xfId="8252"/>
    <cellStyle name="Normal 2 5 3 4 2 6" xfId="5813"/>
    <cellStyle name="Normal 2 5 3 4 2 6 2" xfId="14899"/>
    <cellStyle name="Normal 2 5 3 4 2 7" xfId="9706"/>
    <cellStyle name="Normal 2 5 3 4 2 7 2" xfId="18533"/>
    <cellStyle name="Normal 2 5 3 4 2 8" xfId="11150"/>
    <cellStyle name="Normal 2 5 3 4 2 9" xfId="4784"/>
    <cellStyle name="Normal 2 5 3 4 2_Degree data" xfId="1235"/>
    <cellStyle name="Normal 2 5 3 4 3" xfId="638"/>
    <cellStyle name="Normal 2 5 3 4 3 2" xfId="2368"/>
    <cellStyle name="Normal 2 5 3 4 3 2 2" xfId="15999"/>
    <cellStyle name="Normal 2 5 3 4 3 2 3" xfId="12403"/>
    <cellStyle name="Normal 2 5 3 4 3 2 4" xfId="6985"/>
    <cellStyle name="Normal 2 5 3 4 3 3" xfId="3635"/>
    <cellStyle name="Normal 2 5 3 4 3 3 2" xfId="17281"/>
    <cellStyle name="Normal 2 5 3 4 3 3 3" xfId="13702"/>
    <cellStyle name="Normal 2 5 3 4 3 3 4" xfId="8445"/>
    <cellStyle name="Normal 2 5 3 4 3 4" xfId="6101"/>
    <cellStyle name="Normal 2 5 3 4 3 4 2" xfId="15185"/>
    <cellStyle name="Normal 2 5 3 4 3 5" xfId="9899"/>
    <cellStyle name="Normal 2 5 3 4 3 5 2" xfId="18726"/>
    <cellStyle name="Normal 2 5 3 4 3 6" xfId="11343"/>
    <cellStyle name="Normal 2 5 3 4 3 7" xfId="4579"/>
    <cellStyle name="Normal 2 5 3 4 4" xfId="996"/>
    <cellStyle name="Normal 2 5 3 4 4 2" xfId="2716"/>
    <cellStyle name="Normal 2 5 3 4 4 2 2" xfId="16256"/>
    <cellStyle name="Normal 2 5 3 4 4 2 3" xfId="12678"/>
    <cellStyle name="Normal 2 5 3 4 4 2 4" xfId="7388"/>
    <cellStyle name="Normal 2 5 3 4 4 3" xfId="3984"/>
    <cellStyle name="Normal 2 5 3 4 4 3 2" xfId="17629"/>
    <cellStyle name="Normal 2 5 3 4 4 3 3" xfId="14050"/>
    <cellStyle name="Normal 2 5 3 4 4 3 4" xfId="8793"/>
    <cellStyle name="Normal 2 5 3 4 4 4" xfId="6504"/>
    <cellStyle name="Normal 2 5 3 4 4 4 2" xfId="15588"/>
    <cellStyle name="Normal 2 5 3 4 4 5" xfId="10247"/>
    <cellStyle name="Normal 2 5 3 4 4 5 2" xfId="19074"/>
    <cellStyle name="Normal 2 5 3 4 4 6" xfId="11693"/>
    <cellStyle name="Normal 2 5 3 4 4 7" xfId="4982"/>
    <cellStyle name="Normal 2 5 3 4 5" xfId="1408"/>
    <cellStyle name="Normal 2 5 3 4 5 2" xfId="3013"/>
    <cellStyle name="Normal 2 5 3 4 5 2 2" xfId="16562"/>
    <cellStyle name="Normal 2 5 3 4 5 2 3" xfId="12983"/>
    <cellStyle name="Normal 2 5 3 4 5 2 4" xfId="7694"/>
    <cellStyle name="Normal 2 5 3 4 5 3" xfId="4221"/>
    <cellStyle name="Normal 2 5 3 4 5 3 2" xfId="17926"/>
    <cellStyle name="Normal 2 5 3 4 5 3 3" xfId="14347"/>
    <cellStyle name="Normal 2 5 3 4 5 3 4" xfId="9090"/>
    <cellStyle name="Normal 2 5 3 4 5 4" xfId="5987"/>
    <cellStyle name="Normal 2 5 3 4 5 4 2" xfId="15073"/>
    <cellStyle name="Normal 2 5 3 4 5 5" xfId="10544"/>
    <cellStyle name="Normal 2 5 3 4 5 5 2" xfId="19371"/>
    <cellStyle name="Normal 2 5 3 4 5 6" xfId="11990"/>
    <cellStyle name="Normal 2 5 3 4 5 7" xfId="5288"/>
    <cellStyle name="Normal 2 5 3 4 6" xfId="1970"/>
    <cellStyle name="Normal 2 5 3 4 6 2" xfId="15916"/>
    <cellStyle name="Normal 2 5 3 4 6 3" xfId="12308"/>
    <cellStyle name="Normal 2 5 3 4 6 4" xfId="6873"/>
    <cellStyle name="Normal 2 5 3 4 7" xfId="3384"/>
    <cellStyle name="Normal 2 5 3 4 7 2" xfId="16883"/>
    <cellStyle name="Normal 2 5 3 4 7 3" xfId="13304"/>
    <cellStyle name="Normal 2 5 3 4 7 4" xfId="8047"/>
    <cellStyle name="Normal 2 5 3 4 8" xfId="5608"/>
    <cellStyle name="Normal 2 5 3 4 8 2" xfId="14694"/>
    <cellStyle name="Normal 2 5 3 4 9" xfId="9501"/>
    <cellStyle name="Normal 2 5 3 4 9 2" xfId="18328"/>
    <cellStyle name="Normal 2 5 3 4_Degree data" xfId="1236"/>
    <cellStyle name="Normal 2 5 3 5" xfId="302"/>
    <cellStyle name="Normal 2 5 3 5 2" xfId="640"/>
    <cellStyle name="Normal 2 5 3 5 2 2" xfId="2370"/>
    <cellStyle name="Normal 2 5 3 5 2 2 2" xfId="16258"/>
    <cellStyle name="Normal 2 5 3 5 2 2 3" xfId="12680"/>
    <cellStyle name="Normal 2 5 3 5 2 2 4" xfId="7390"/>
    <cellStyle name="Normal 2 5 3 5 2 3" xfId="3637"/>
    <cellStyle name="Normal 2 5 3 5 2 3 2" xfId="17283"/>
    <cellStyle name="Normal 2 5 3 5 2 3 3" xfId="13704"/>
    <cellStyle name="Normal 2 5 3 5 2 3 4" xfId="8447"/>
    <cellStyle name="Normal 2 5 3 5 2 4" xfId="6506"/>
    <cellStyle name="Normal 2 5 3 5 2 4 2" xfId="15590"/>
    <cellStyle name="Normal 2 5 3 5 2 5" xfId="9901"/>
    <cellStyle name="Normal 2 5 3 5 2 5 2" xfId="18728"/>
    <cellStyle name="Normal 2 5 3 5 2 6" xfId="11345"/>
    <cellStyle name="Normal 2 5 3 5 2 7" xfId="4984"/>
    <cellStyle name="Normal 2 5 3 5 3" xfId="998"/>
    <cellStyle name="Normal 2 5 3 5 3 2" xfId="2718"/>
    <cellStyle name="Normal 2 5 3 5 3 2 2" xfId="16662"/>
    <cellStyle name="Normal 2 5 3 5 3 2 3" xfId="13083"/>
    <cellStyle name="Normal 2 5 3 5 3 2 4" xfId="7794"/>
    <cellStyle name="Normal 2 5 3 5 3 3" xfId="3986"/>
    <cellStyle name="Normal 2 5 3 5 3 3 2" xfId="17631"/>
    <cellStyle name="Normal 2 5 3 5 3 3 3" xfId="14052"/>
    <cellStyle name="Normal 2 5 3 5 3 3 4" xfId="8795"/>
    <cellStyle name="Normal 2 5 3 5 3 4" xfId="6201"/>
    <cellStyle name="Normal 2 5 3 5 3 4 2" xfId="15285"/>
    <cellStyle name="Normal 2 5 3 5 3 5" xfId="10249"/>
    <cellStyle name="Normal 2 5 3 5 3 5 2" xfId="19076"/>
    <cellStyle name="Normal 2 5 3 5 3 6" xfId="11695"/>
    <cellStyle name="Normal 2 5 3 5 3 7" xfId="5388"/>
    <cellStyle name="Normal 2 5 3 5 4" xfId="1514"/>
    <cellStyle name="Normal 2 5 3 5 4 2" xfId="3113"/>
    <cellStyle name="Normal 2 5 3 5 4 2 2" xfId="18026"/>
    <cellStyle name="Normal 2 5 3 5 4 2 3" xfId="14447"/>
    <cellStyle name="Normal 2 5 3 5 4 2 4" xfId="9190"/>
    <cellStyle name="Normal 2 5 3 5 4 3" xfId="10644"/>
    <cellStyle name="Normal 2 5 3 5 4 3 2" xfId="19471"/>
    <cellStyle name="Normal 2 5 3 5 4 4" xfId="12090"/>
    <cellStyle name="Normal 2 5 3 5 4 5" xfId="7085"/>
    <cellStyle name="Normal 2 5 3 5 5" xfId="2070"/>
    <cellStyle name="Normal 2 5 3 5 5 2" xfId="16983"/>
    <cellStyle name="Normal 2 5 3 5 5 3" xfId="13404"/>
    <cellStyle name="Normal 2 5 3 5 5 4" xfId="8147"/>
    <cellStyle name="Normal 2 5 3 5 6" xfId="5708"/>
    <cellStyle name="Normal 2 5 3 5 6 2" xfId="14794"/>
    <cellStyle name="Normal 2 5 3 5 7" xfId="9601"/>
    <cellStyle name="Normal 2 5 3 5 7 2" xfId="18428"/>
    <cellStyle name="Normal 2 5 3 5 8" xfId="11045"/>
    <cellStyle name="Normal 2 5 3 5 9" xfId="4679"/>
    <cellStyle name="Normal 2 5 3 5_Degree data" xfId="1234"/>
    <cellStyle name="Normal 2 5 3 6" xfId="484"/>
    <cellStyle name="Normal 2 5 3 6 2" xfId="641"/>
    <cellStyle name="Normal 2 5 3 6 2 2" xfId="2371"/>
    <cellStyle name="Normal 2 5 3 6 2 2 2" xfId="16259"/>
    <cellStyle name="Normal 2 5 3 6 2 2 3" xfId="12681"/>
    <cellStyle name="Normal 2 5 3 6 2 2 4" xfId="7391"/>
    <cellStyle name="Normal 2 5 3 6 2 3" xfId="3638"/>
    <cellStyle name="Normal 2 5 3 6 2 3 2" xfId="17284"/>
    <cellStyle name="Normal 2 5 3 6 2 3 3" xfId="13705"/>
    <cellStyle name="Normal 2 5 3 6 2 3 4" xfId="8448"/>
    <cellStyle name="Normal 2 5 3 6 2 4" xfId="6507"/>
    <cellStyle name="Normal 2 5 3 6 2 4 2" xfId="15591"/>
    <cellStyle name="Normal 2 5 3 6 2 5" xfId="9902"/>
    <cellStyle name="Normal 2 5 3 6 2 5 2" xfId="18729"/>
    <cellStyle name="Normal 2 5 3 6 2 6" xfId="11346"/>
    <cellStyle name="Normal 2 5 3 6 2 7" xfId="4985"/>
    <cellStyle name="Normal 2 5 3 6 3" xfId="999"/>
    <cellStyle name="Normal 2 5 3 6 3 2" xfId="2719"/>
    <cellStyle name="Normal 2 5 3 6 3 2 2" xfId="16533"/>
    <cellStyle name="Normal 2 5 3 6 3 2 3" xfId="12955"/>
    <cellStyle name="Normal 2 5 3 6 3 2 4" xfId="7665"/>
    <cellStyle name="Normal 2 5 3 6 3 3" xfId="3987"/>
    <cellStyle name="Normal 2 5 3 6 3 3 2" xfId="17632"/>
    <cellStyle name="Normal 2 5 3 6 3 3 3" xfId="14053"/>
    <cellStyle name="Normal 2 5 3 6 3 3 4" xfId="8796"/>
    <cellStyle name="Normal 2 5 3 6 3 4" xfId="6742"/>
    <cellStyle name="Normal 2 5 3 6 3 4 2" xfId="15825"/>
    <cellStyle name="Normal 2 5 3 6 3 5" xfId="10250"/>
    <cellStyle name="Normal 2 5 3 6 3 5 2" xfId="19077"/>
    <cellStyle name="Normal 2 5 3 6 3 6" xfId="11696"/>
    <cellStyle name="Normal 2 5 3 6 3 7" xfId="5259"/>
    <cellStyle name="Normal 2 5 3 6 4" xfId="1373"/>
    <cellStyle name="Normal 2 5 3 6 4 2" xfId="2984"/>
    <cellStyle name="Normal 2 5 3 6 4 2 2" xfId="17897"/>
    <cellStyle name="Normal 2 5 3 6 4 2 3" xfId="14318"/>
    <cellStyle name="Normal 2 5 3 6 4 2 4" xfId="9061"/>
    <cellStyle name="Normal 2 5 3 6 4 3" xfId="10515"/>
    <cellStyle name="Normal 2 5 3 6 4 3 2" xfId="19342"/>
    <cellStyle name="Normal 2 5 3 6 4 4" xfId="11961"/>
    <cellStyle name="Normal 2 5 3 6 4 5" xfId="6956"/>
    <cellStyle name="Normal 2 5 3 6 5" xfId="1941"/>
    <cellStyle name="Normal 2 5 3 6 5 2" xfId="16852"/>
    <cellStyle name="Normal 2 5 3 6 5 3" xfId="13273"/>
    <cellStyle name="Normal 2 5 3 6 5 4" xfId="8016"/>
    <cellStyle name="Normal 2 5 3 6 6" xfId="6072"/>
    <cellStyle name="Normal 2 5 3 6 6 2" xfId="15156"/>
    <cellStyle name="Normal 2 5 3 6 7" xfId="9472"/>
    <cellStyle name="Normal 2 5 3 6 7 2" xfId="18299"/>
    <cellStyle name="Normal 2 5 3 6 8" xfId="10916"/>
    <cellStyle name="Normal 2 5 3 6 9" xfId="4550"/>
    <cellStyle name="Normal 2 5 3 6_Degree data" xfId="1233"/>
    <cellStyle name="Normal 2 5 3 7" xfId="632"/>
    <cellStyle name="Normal 2 5 3 7 2" xfId="2362"/>
    <cellStyle name="Normal 2 5 3 7 2 2" xfId="16250"/>
    <cellStyle name="Normal 2 5 3 7 2 3" xfId="12672"/>
    <cellStyle name="Normal 2 5 3 7 2 4" xfId="7382"/>
    <cellStyle name="Normal 2 5 3 7 3" xfId="3629"/>
    <cellStyle name="Normal 2 5 3 7 3 2" xfId="17275"/>
    <cellStyle name="Normal 2 5 3 7 3 3" xfId="13696"/>
    <cellStyle name="Normal 2 5 3 7 3 4" xfId="8439"/>
    <cellStyle name="Normal 2 5 3 7 4" xfId="6498"/>
    <cellStyle name="Normal 2 5 3 7 4 2" xfId="15582"/>
    <cellStyle name="Normal 2 5 3 7 5" xfId="9893"/>
    <cellStyle name="Normal 2 5 3 7 5 2" xfId="18720"/>
    <cellStyle name="Normal 2 5 3 7 6" xfId="11337"/>
    <cellStyle name="Normal 2 5 3 7 7" xfId="4976"/>
    <cellStyle name="Normal 2 5 3 8" xfId="990"/>
    <cellStyle name="Normal 2 5 3 8 2" xfId="2710"/>
    <cellStyle name="Normal 2 5 3 8 2 2" xfId="16490"/>
    <cellStyle name="Normal 2 5 3 8 2 3" xfId="12912"/>
    <cellStyle name="Normal 2 5 3 8 2 4" xfId="7622"/>
    <cellStyle name="Normal 2 5 3 8 3" xfId="3978"/>
    <cellStyle name="Normal 2 5 3 8 3 2" xfId="17623"/>
    <cellStyle name="Normal 2 5 3 8 3 3" xfId="14044"/>
    <cellStyle name="Normal 2 5 3 8 3 4" xfId="8787"/>
    <cellStyle name="Normal 2 5 3 8 4" xfId="5881"/>
    <cellStyle name="Normal 2 5 3 8 4 2" xfId="14967"/>
    <cellStyle name="Normal 2 5 3 8 5" xfId="10241"/>
    <cellStyle name="Normal 2 5 3 8 5 2" xfId="19068"/>
    <cellStyle name="Normal 2 5 3 8 6" xfId="11687"/>
    <cellStyle name="Normal 2 5 3 8 7" xfId="5216"/>
    <cellStyle name="Normal 2 5 3 9" xfId="1302"/>
    <cellStyle name="Normal 2 5 3 9 2" xfId="2941"/>
    <cellStyle name="Normal 2 5 3 9 2 2" xfId="17854"/>
    <cellStyle name="Normal 2 5 3 9 2 3" xfId="14275"/>
    <cellStyle name="Normal 2 5 3 9 2 4" xfId="9018"/>
    <cellStyle name="Normal 2 5 3 9 3" xfId="10472"/>
    <cellStyle name="Normal 2 5 3 9 3 2" xfId="19299"/>
    <cellStyle name="Normal 2 5 3 9 4" xfId="11918"/>
    <cellStyle name="Normal 2 5 3 9 5" xfId="6767"/>
    <cellStyle name="Normal 2 5 3_Degree data" xfId="1607"/>
    <cellStyle name="Normal 2 5 4" xfId="165"/>
    <cellStyle name="Normal 2 5 4 10" xfId="1914"/>
    <cellStyle name="Normal 2 5 4 10 2" xfId="9445"/>
    <cellStyle name="Normal 2 5 4 10 2 2" xfId="18272"/>
    <cellStyle name="Normal 2 5 4 10 3" xfId="10889"/>
    <cellStyle name="Normal 2 5 4 10 4" xfId="7989"/>
    <cellStyle name="Normal 2 5 4 11" xfId="1884"/>
    <cellStyle name="Normal 2 5 4 11 2" xfId="14683"/>
    <cellStyle name="Normal 2 5 4 11 3" xfId="5597"/>
    <cellStyle name="Normal 2 5 4 12" xfId="9415"/>
    <cellStyle name="Normal 2 5 4 12 2" xfId="18242"/>
    <cellStyle name="Normal 2 5 4 13" xfId="10859"/>
    <cellStyle name="Normal 2 5 4 14" xfId="4375"/>
    <cellStyle name="Normal 2 5 4 2" xfId="240"/>
    <cellStyle name="Normal 2 5 4 2 10" xfId="9547"/>
    <cellStyle name="Normal 2 5 4 2 10 2" xfId="18374"/>
    <cellStyle name="Normal 2 5 4 2 11" xfId="10991"/>
    <cellStyle name="Normal 2 5 4 2 12" xfId="4408"/>
    <cellStyle name="Normal 2 5 4 2 2" xfId="453"/>
    <cellStyle name="Normal 2 5 4 2 2 10" xfId="4512"/>
    <cellStyle name="Normal 2 5 4 2 2 2" xfId="644"/>
    <cellStyle name="Normal 2 5 4 2 2 2 2" xfId="2374"/>
    <cellStyle name="Normal 2 5 4 2 2 2 2 2" xfId="16104"/>
    <cellStyle name="Normal 2 5 4 2 2 2 2 3" xfId="12526"/>
    <cellStyle name="Normal 2 5 4 2 2 2 2 4" xfId="7235"/>
    <cellStyle name="Normal 2 5 4 2 2 2 3" xfId="3641"/>
    <cellStyle name="Normal 2 5 4 2 2 2 3 2" xfId="17287"/>
    <cellStyle name="Normal 2 5 4 2 2 2 3 3" xfId="13708"/>
    <cellStyle name="Normal 2 5 4 2 2 2 3 4" xfId="8451"/>
    <cellStyle name="Normal 2 5 4 2 2 2 4" xfId="6351"/>
    <cellStyle name="Normal 2 5 4 2 2 2 4 2" xfId="15435"/>
    <cellStyle name="Normal 2 5 4 2 2 2 5" xfId="9905"/>
    <cellStyle name="Normal 2 5 4 2 2 2 5 2" xfId="18732"/>
    <cellStyle name="Normal 2 5 4 2 2 2 6" xfId="11349"/>
    <cellStyle name="Normal 2 5 4 2 2 2 7" xfId="4829"/>
    <cellStyle name="Normal 2 5 4 2 2 3" xfId="1002"/>
    <cellStyle name="Normal 2 5 4 2 2 3 2" xfId="2722"/>
    <cellStyle name="Normal 2 5 4 2 2 3 2 2" xfId="16262"/>
    <cellStyle name="Normal 2 5 4 2 2 3 2 3" xfId="12684"/>
    <cellStyle name="Normal 2 5 4 2 2 3 2 4" xfId="7394"/>
    <cellStyle name="Normal 2 5 4 2 2 3 3" xfId="3990"/>
    <cellStyle name="Normal 2 5 4 2 2 3 3 2" xfId="17635"/>
    <cellStyle name="Normal 2 5 4 2 2 3 3 3" xfId="14056"/>
    <cellStyle name="Normal 2 5 4 2 2 3 3 4" xfId="8799"/>
    <cellStyle name="Normal 2 5 4 2 2 3 4" xfId="6510"/>
    <cellStyle name="Normal 2 5 4 2 2 3 4 2" xfId="15594"/>
    <cellStyle name="Normal 2 5 4 2 2 3 5" xfId="10253"/>
    <cellStyle name="Normal 2 5 4 2 2 3 5 2" xfId="19080"/>
    <cellStyle name="Normal 2 5 4 2 2 3 6" xfId="11699"/>
    <cellStyle name="Normal 2 5 4 2 2 3 7" xfId="4988"/>
    <cellStyle name="Normal 2 5 4 2 2 4" xfId="1667"/>
    <cellStyle name="Normal 2 5 4 2 2 4 2" xfId="3263"/>
    <cellStyle name="Normal 2 5 4 2 2 4 2 2" xfId="16812"/>
    <cellStyle name="Normal 2 5 4 2 2 4 2 3" xfId="13233"/>
    <cellStyle name="Normal 2 5 4 2 2 4 2 4" xfId="7944"/>
    <cellStyle name="Normal 2 5 4 2 2 4 3" xfId="4326"/>
    <cellStyle name="Normal 2 5 4 2 2 4 3 2" xfId="18176"/>
    <cellStyle name="Normal 2 5 4 2 2 4 3 3" xfId="14597"/>
    <cellStyle name="Normal 2 5 4 2 2 4 3 4" xfId="9340"/>
    <cellStyle name="Normal 2 5 4 2 2 4 4" xfId="6032"/>
    <cellStyle name="Normal 2 5 4 2 2 4 4 2" xfId="15118"/>
    <cellStyle name="Normal 2 5 4 2 2 4 5" xfId="10794"/>
    <cellStyle name="Normal 2 5 4 2 2 4 5 2" xfId="19621"/>
    <cellStyle name="Normal 2 5 4 2 2 4 6" xfId="12240"/>
    <cellStyle name="Normal 2 5 4 2 2 4 7" xfId="5538"/>
    <cellStyle name="Normal 2 5 4 2 2 5" xfId="2220"/>
    <cellStyle name="Normal 2 5 4 2 2 5 2" xfId="15961"/>
    <cellStyle name="Normal 2 5 4 2 2 5 3" xfId="12351"/>
    <cellStyle name="Normal 2 5 4 2 2 5 4" xfId="6918"/>
    <cellStyle name="Normal 2 5 4 2 2 6" xfId="3488"/>
    <cellStyle name="Normal 2 5 4 2 2 6 2" xfId="17133"/>
    <cellStyle name="Normal 2 5 4 2 2 6 3" xfId="13554"/>
    <cellStyle name="Normal 2 5 4 2 2 6 4" xfId="8297"/>
    <cellStyle name="Normal 2 5 4 2 2 7" xfId="5858"/>
    <cellStyle name="Normal 2 5 4 2 2 7 2" xfId="14944"/>
    <cellStyle name="Normal 2 5 4 2 2 8" xfId="9751"/>
    <cellStyle name="Normal 2 5 4 2 2 8 2" xfId="18578"/>
    <cellStyle name="Normal 2 5 4 2 2 9" xfId="11195"/>
    <cellStyle name="Normal 2 5 4 2 2_Degree data" xfId="1230"/>
    <cellStyle name="Normal 2 5 4 2 3" xfId="348"/>
    <cellStyle name="Normal 2 5 4 2 3 2" xfId="645"/>
    <cellStyle name="Normal 2 5 4 2 3 2 2" xfId="2375"/>
    <cellStyle name="Normal 2 5 4 2 3 2 2 2" xfId="16263"/>
    <cellStyle name="Normal 2 5 4 2 3 2 2 3" xfId="12685"/>
    <cellStyle name="Normal 2 5 4 2 3 2 2 4" xfId="7395"/>
    <cellStyle name="Normal 2 5 4 2 3 2 3" xfId="3642"/>
    <cellStyle name="Normal 2 5 4 2 3 2 3 2" xfId="17288"/>
    <cellStyle name="Normal 2 5 4 2 3 2 3 3" xfId="13709"/>
    <cellStyle name="Normal 2 5 4 2 3 2 3 4" xfId="8452"/>
    <cellStyle name="Normal 2 5 4 2 3 2 4" xfId="6511"/>
    <cellStyle name="Normal 2 5 4 2 3 2 4 2" xfId="15595"/>
    <cellStyle name="Normal 2 5 4 2 3 2 5" xfId="9906"/>
    <cellStyle name="Normal 2 5 4 2 3 2 5 2" xfId="18733"/>
    <cellStyle name="Normal 2 5 4 2 3 2 6" xfId="11350"/>
    <cellStyle name="Normal 2 5 4 2 3 2 7" xfId="4989"/>
    <cellStyle name="Normal 2 5 4 2 3 3" xfId="1003"/>
    <cellStyle name="Normal 2 5 4 2 3 3 2" xfId="2723"/>
    <cellStyle name="Normal 2 5 4 2 3 3 2 2" xfId="16708"/>
    <cellStyle name="Normal 2 5 4 2 3 3 2 3" xfId="13129"/>
    <cellStyle name="Normal 2 5 4 2 3 3 2 4" xfId="7840"/>
    <cellStyle name="Normal 2 5 4 2 3 3 3" xfId="3991"/>
    <cellStyle name="Normal 2 5 4 2 3 3 3 2" xfId="17636"/>
    <cellStyle name="Normal 2 5 4 2 3 3 3 3" xfId="14057"/>
    <cellStyle name="Normal 2 5 4 2 3 3 3 4" xfId="8800"/>
    <cellStyle name="Normal 2 5 4 2 3 3 4" xfId="6247"/>
    <cellStyle name="Normal 2 5 4 2 3 3 4 2" xfId="15331"/>
    <cellStyle name="Normal 2 5 4 2 3 3 5" xfId="10254"/>
    <cellStyle name="Normal 2 5 4 2 3 3 5 2" xfId="19081"/>
    <cellStyle name="Normal 2 5 4 2 3 3 6" xfId="11700"/>
    <cellStyle name="Normal 2 5 4 2 3 3 7" xfId="5434"/>
    <cellStyle name="Normal 2 5 4 2 3 4" xfId="1560"/>
    <cellStyle name="Normal 2 5 4 2 3 4 2" xfId="3159"/>
    <cellStyle name="Normal 2 5 4 2 3 4 2 2" xfId="18072"/>
    <cellStyle name="Normal 2 5 4 2 3 4 2 3" xfId="14493"/>
    <cellStyle name="Normal 2 5 4 2 3 4 2 4" xfId="9236"/>
    <cellStyle name="Normal 2 5 4 2 3 4 3" xfId="10690"/>
    <cellStyle name="Normal 2 5 4 2 3 4 3 2" xfId="19517"/>
    <cellStyle name="Normal 2 5 4 2 3 4 4" xfId="12136"/>
    <cellStyle name="Normal 2 5 4 2 3 4 5" xfId="7131"/>
    <cellStyle name="Normal 2 5 4 2 3 5" xfId="2116"/>
    <cellStyle name="Normal 2 5 4 2 3 5 2" xfId="17029"/>
    <cellStyle name="Normal 2 5 4 2 3 5 3" xfId="13450"/>
    <cellStyle name="Normal 2 5 4 2 3 5 4" xfId="8193"/>
    <cellStyle name="Normal 2 5 4 2 3 6" xfId="5754"/>
    <cellStyle name="Normal 2 5 4 2 3 6 2" xfId="14840"/>
    <cellStyle name="Normal 2 5 4 2 3 7" xfId="9647"/>
    <cellStyle name="Normal 2 5 4 2 3 7 2" xfId="18474"/>
    <cellStyle name="Normal 2 5 4 2 3 8" xfId="11091"/>
    <cellStyle name="Normal 2 5 4 2 3 9" xfId="4725"/>
    <cellStyle name="Normal 2 5 4 2 3_Degree data" xfId="1280"/>
    <cellStyle name="Normal 2 5 4 2 4" xfId="643"/>
    <cellStyle name="Normal 2 5 4 2 4 2" xfId="2373"/>
    <cellStyle name="Normal 2 5 4 2 4 2 2" xfId="16045"/>
    <cellStyle name="Normal 2 5 4 2 4 2 3" xfId="12331"/>
    <cellStyle name="Normal 2 5 4 2 4 2 4" xfId="7031"/>
    <cellStyle name="Normal 2 5 4 2 4 3" xfId="3640"/>
    <cellStyle name="Normal 2 5 4 2 4 3 2" xfId="17286"/>
    <cellStyle name="Normal 2 5 4 2 4 3 3" xfId="13707"/>
    <cellStyle name="Normal 2 5 4 2 4 3 4" xfId="8450"/>
    <cellStyle name="Normal 2 5 4 2 4 4" xfId="6147"/>
    <cellStyle name="Normal 2 5 4 2 4 4 2" xfId="15231"/>
    <cellStyle name="Normal 2 5 4 2 4 5" xfId="9904"/>
    <cellStyle name="Normal 2 5 4 2 4 5 2" xfId="18731"/>
    <cellStyle name="Normal 2 5 4 2 4 6" xfId="11348"/>
    <cellStyle name="Normal 2 5 4 2 4 7" xfId="4625"/>
    <cellStyle name="Normal 2 5 4 2 5" xfId="1001"/>
    <cellStyle name="Normal 2 5 4 2 5 2" xfId="2721"/>
    <cellStyle name="Normal 2 5 4 2 5 2 2" xfId="16261"/>
    <cellStyle name="Normal 2 5 4 2 5 2 3" xfId="12683"/>
    <cellStyle name="Normal 2 5 4 2 5 2 4" xfId="7393"/>
    <cellStyle name="Normal 2 5 4 2 5 3" xfId="3989"/>
    <cellStyle name="Normal 2 5 4 2 5 3 2" xfId="17634"/>
    <cellStyle name="Normal 2 5 4 2 5 3 3" xfId="14055"/>
    <cellStyle name="Normal 2 5 4 2 5 3 4" xfId="8798"/>
    <cellStyle name="Normal 2 5 4 2 5 4" xfId="6509"/>
    <cellStyle name="Normal 2 5 4 2 5 4 2" xfId="15593"/>
    <cellStyle name="Normal 2 5 4 2 5 5" xfId="10252"/>
    <cellStyle name="Normal 2 5 4 2 5 5 2" xfId="19079"/>
    <cellStyle name="Normal 2 5 4 2 5 6" xfId="11698"/>
    <cellStyle name="Normal 2 5 4 2 5 7" xfId="4987"/>
    <cellStyle name="Normal 2 5 4 2 6" xfId="1458"/>
    <cellStyle name="Normal 2 5 4 2 6 2" xfId="3059"/>
    <cellStyle name="Normal 2 5 4 2 6 2 2" xfId="16608"/>
    <cellStyle name="Normal 2 5 4 2 6 2 3" xfId="13029"/>
    <cellStyle name="Normal 2 5 4 2 6 2 4" xfId="7740"/>
    <cellStyle name="Normal 2 5 4 2 6 3" xfId="4267"/>
    <cellStyle name="Normal 2 5 4 2 6 3 2" xfId="17972"/>
    <cellStyle name="Normal 2 5 4 2 6 3 3" xfId="14393"/>
    <cellStyle name="Normal 2 5 4 2 6 3 4" xfId="9136"/>
    <cellStyle name="Normal 2 5 4 2 6 4" xfId="5928"/>
    <cellStyle name="Normal 2 5 4 2 6 4 2" xfId="15014"/>
    <cellStyle name="Normal 2 5 4 2 6 5" xfId="10590"/>
    <cellStyle name="Normal 2 5 4 2 6 5 2" xfId="19417"/>
    <cellStyle name="Normal 2 5 4 2 6 6" xfId="12036"/>
    <cellStyle name="Normal 2 5 4 2 6 7" xfId="5334"/>
    <cellStyle name="Normal 2 5 4 2 7" xfId="2016"/>
    <cellStyle name="Normal 2 5 4 2 7 2" xfId="15857"/>
    <cellStyle name="Normal 2 5 4 2 7 3" xfId="12372"/>
    <cellStyle name="Normal 2 5 4 2 7 4" xfId="6814"/>
    <cellStyle name="Normal 2 5 4 2 8" xfId="3429"/>
    <cellStyle name="Normal 2 5 4 2 8 2" xfId="16929"/>
    <cellStyle name="Normal 2 5 4 2 8 3" xfId="13350"/>
    <cellStyle name="Normal 2 5 4 2 8 4" xfId="8093"/>
    <cellStyle name="Normal 2 5 4 2 9" xfId="5654"/>
    <cellStyle name="Normal 2 5 4 2 9 2" xfId="14740"/>
    <cellStyle name="Normal 2 5 4 2_Degree data" xfId="1231"/>
    <cellStyle name="Normal 2 5 4 3" xfId="283"/>
    <cellStyle name="Normal 2 5 4 3 10" xfId="11034"/>
    <cellStyle name="Normal 2 5 4 3 11" xfId="4451"/>
    <cellStyle name="Normal 2 5 4 3 2" xfId="391"/>
    <cellStyle name="Normal 2 5 4 3 2 2" xfId="647"/>
    <cellStyle name="Normal 2 5 4 3 2 2 2" xfId="2377"/>
    <cellStyle name="Normal 2 5 4 3 2 2 2 2" xfId="16265"/>
    <cellStyle name="Normal 2 5 4 3 2 2 2 3" xfId="12687"/>
    <cellStyle name="Normal 2 5 4 3 2 2 2 4" xfId="7397"/>
    <cellStyle name="Normal 2 5 4 3 2 2 3" xfId="3644"/>
    <cellStyle name="Normal 2 5 4 3 2 2 3 2" xfId="17290"/>
    <cellStyle name="Normal 2 5 4 3 2 2 3 3" xfId="13711"/>
    <cellStyle name="Normal 2 5 4 3 2 2 3 4" xfId="8454"/>
    <cellStyle name="Normal 2 5 4 3 2 2 4" xfId="6513"/>
    <cellStyle name="Normal 2 5 4 3 2 2 4 2" xfId="15597"/>
    <cellStyle name="Normal 2 5 4 3 2 2 5" xfId="9908"/>
    <cellStyle name="Normal 2 5 4 3 2 2 5 2" xfId="18735"/>
    <cellStyle name="Normal 2 5 4 3 2 2 6" xfId="11352"/>
    <cellStyle name="Normal 2 5 4 3 2 2 7" xfId="4991"/>
    <cellStyle name="Normal 2 5 4 3 2 3" xfId="1005"/>
    <cellStyle name="Normal 2 5 4 3 2 3 2" xfId="2725"/>
    <cellStyle name="Normal 2 5 4 3 2 3 2 2" xfId="16751"/>
    <cellStyle name="Normal 2 5 4 3 2 3 2 3" xfId="13172"/>
    <cellStyle name="Normal 2 5 4 3 2 3 2 4" xfId="7883"/>
    <cellStyle name="Normal 2 5 4 3 2 3 3" xfId="3993"/>
    <cellStyle name="Normal 2 5 4 3 2 3 3 2" xfId="17638"/>
    <cellStyle name="Normal 2 5 4 3 2 3 3 3" xfId="14059"/>
    <cellStyle name="Normal 2 5 4 3 2 3 3 4" xfId="8802"/>
    <cellStyle name="Normal 2 5 4 3 2 3 4" xfId="6290"/>
    <cellStyle name="Normal 2 5 4 3 2 3 4 2" xfId="15374"/>
    <cellStyle name="Normal 2 5 4 3 2 3 5" xfId="10256"/>
    <cellStyle name="Normal 2 5 4 3 2 3 5 2" xfId="19083"/>
    <cellStyle name="Normal 2 5 4 3 2 3 6" xfId="11702"/>
    <cellStyle name="Normal 2 5 4 3 2 3 7" xfId="5477"/>
    <cellStyle name="Normal 2 5 4 3 2 4" xfId="1605"/>
    <cellStyle name="Normal 2 5 4 3 2 4 2" xfId="3202"/>
    <cellStyle name="Normal 2 5 4 3 2 4 2 2" xfId="18115"/>
    <cellStyle name="Normal 2 5 4 3 2 4 2 3" xfId="14536"/>
    <cellStyle name="Normal 2 5 4 3 2 4 2 4" xfId="9279"/>
    <cellStyle name="Normal 2 5 4 3 2 4 3" xfId="10733"/>
    <cellStyle name="Normal 2 5 4 3 2 4 3 2" xfId="19560"/>
    <cellStyle name="Normal 2 5 4 3 2 4 4" xfId="12179"/>
    <cellStyle name="Normal 2 5 4 3 2 4 5" xfId="7174"/>
    <cellStyle name="Normal 2 5 4 3 2 5" xfId="2159"/>
    <cellStyle name="Normal 2 5 4 3 2 5 2" xfId="17072"/>
    <cellStyle name="Normal 2 5 4 3 2 5 3" xfId="13493"/>
    <cellStyle name="Normal 2 5 4 3 2 5 4" xfId="8236"/>
    <cellStyle name="Normal 2 5 4 3 2 6" xfId="5797"/>
    <cellStyle name="Normal 2 5 4 3 2 6 2" xfId="14883"/>
    <cellStyle name="Normal 2 5 4 3 2 7" xfId="9690"/>
    <cellStyle name="Normal 2 5 4 3 2 7 2" xfId="18517"/>
    <cellStyle name="Normal 2 5 4 3 2 8" xfId="11134"/>
    <cellStyle name="Normal 2 5 4 3 2 9" xfId="4768"/>
    <cellStyle name="Normal 2 5 4 3 2_Degree data" xfId="1335"/>
    <cellStyle name="Normal 2 5 4 3 3" xfId="646"/>
    <cellStyle name="Normal 2 5 4 3 3 2" xfId="2376"/>
    <cellStyle name="Normal 2 5 4 3 3 2 2" xfId="16088"/>
    <cellStyle name="Normal 2 5 4 3 3 2 3" xfId="12320"/>
    <cellStyle name="Normal 2 5 4 3 3 2 4" xfId="7074"/>
    <cellStyle name="Normal 2 5 4 3 3 3" xfId="3643"/>
    <cellStyle name="Normal 2 5 4 3 3 3 2" xfId="17289"/>
    <cellStyle name="Normal 2 5 4 3 3 3 3" xfId="13710"/>
    <cellStyle name="Normal 2 5 4 3 3 3 4" xfId="8453"/>
    <cellStyle name="Normal 2 5 4 3 3 4" xfId="6190"/>
    <cellStyle name="Normal 2 5 4 3 3 4 2" xfId="15274"/>
    <cellStyle name="Normal 2 5 4 3 3 5" xfId="9907"/>
    <cellStyle name="Normal 2 5 4 3 3 5 2" xfId="18734"/>
    <cellStyle name="Normal 2 5 4 3 3 6" xfId="11351"/>
    <cellStyle name="Normal 2 5 4 3 3 7" xfId="4668"/>
    <cellStyle name="Normal 2 5 4 3 4" xfId="1004"/>
    <cellStyle name="Normal 2 5 4 3 4 2" xfId="2724"/>
    <cellStyle name="Normal 2 5 4 3 4 2 2" xfId="16264"/>
    <cellStyle name="Normal 2 5 4 3 4 2 3" xfId="12686"/>
    <cellStyle name="Normal 2 5 4 3 4 2 4" xfId="7396"/>
    <cellStyle name="Normal 2 5 4 3 4 3" xfId="3992"/>
    <cellStyle name="Normal 2 5 4 3 4 3 2" xfId="17637"/>
    <cellStyle name="Normal 2 5 4 3 4 3 3" xfId="14058"/>
    <cellStyle name="Normal 2 5 4 3 4 3 4" xfId="8801"/>
    <cellStyle name="Normal 2 5 4 3 4 4" xfId="6512"/>
    <cellStyle name="Normal 2 5 4 3 4 4 2" xfId="15596"/>
    <cellStyle name="Normal 2 5 4 3 4 5" xfId="10255"/>
    <cellStyle name="Normal 2 5 4 3 4 5 2" xfId="19082"/>
    <cellStyle name="Normal 2 5 4 3 4 6" xfId="11701"/>
    <cellStyle name="Normal 2 5 4 3 4 7" xfId="4990"/>
    <cellStyle name="Normal 2 5 4 3 5" xfId="1503"/>
    <cellStyle name="Normal 2 5 4 3 5 2" xfId="3102"/>
    <cellStyle name="Normal 2 5 4 3 5 2 2" xfId="16651"/>
    <cellStyle name="Normal 2 5 4 3 5 2 3" xfId="13072"/>
    <cellStyle name="Normal 2 5 4 3 5 2 4" xfId="7783"/>
    <cellStyle name="Normal 2 5 4 3 5 3" xfId="4310"/>
    <cellStyle name="Normal 2 5 4 3 5 3 2" xfId="18015"/>
    <cellStyle name="Normal 2 5 4 3 5 3 3" xfId="14436"/>
    <cellStyle name="Normal 2 5 4 3 5 3 4" xfId="9179"/>
    <cellStyle name="Normal 2 5 4 3 5 4" xfId="5971"/>
    <cellStyle name="Normal 2 5 4 3 5 4 2" xfId="15057"/>
    <cellStyle name="Normal 2 5 4 3 5 5" xfId="10633"/>
    <cellStyle name="Normal 2 5 4 3 5 5 2" xfId="19460"/>
    <cellStyle name="Normal 2 5 4 3 5 6" xfId="12079"/>
    <cellStyle name="Normal 2 5 4 3 5 7" xfId="5377"/>
    <cellStyle name="Normal 2 5 4 3 6" xfId="2059"/>
    <cellStyle name="Normal 2 5 4 3 6 2" xfId="15900"/>
    <cellStyle name="Normal 2 5 4 3 6 3" xfId="12415"/>
    <cellStyle name="Normal 2 5 4 3 6 4" xfId="6857"/>
    <cellStyle name="Normal 2 5 4 3 7" xfId="3472"/>
    <cellStyle name="Normal 2 5 4 3 7 2" xfId="16972"/>
    <cellStyle name="Normal 2 5 4 3 7 3" xfId="13393"/>
    <cellStyle name="Normal 2 5 4 3 7 4" xfId="8136"/>
    <cellStyle name="Normal 2 5 4 3 8" xfId="5697"/>
    <cellStyle name="Normal 2 5 4 3 8 2" xfId="14783"/>
    <cellStyle name="Normal 2 5 4 3 9" xfId="9590"/>
    <cellStyle name="Normal 2 5 4 3 9 2" xfId="18417"/>
    <cellStyle name="Normal 2 5 4 3_Degree data" xfId="1679"/>
    <cellStyle name="Normal 2 5 4 4" xfId="204"/>
    <cellStyle name="Normal 2 5 4 4 10" xfId="10958"/>
    <cellStyle name="Normal 2 5 4 4 11" xfId="4480"/>
    <cellStyle name="Normal 2 5 4 4 2" xfId="421"/>
    <cellStyle name="Normal 2 5 4 4 2 2" xfId="649"/>
    <cellStyle name="Normal 2 5 4 4 2 2 2" xfId="2379"/>
    <cellStyle name="Normal 2 5 4 4 2 2 2 2" xfId="16267"/>
    <cellStyle name="Normal 2 5 4 4 2 2 2 3" xfId="12689"/>
    <cellStyle name="Normal 2 5 4 4 2 2 2 4" xfId="7399"/>
    <cellStyle name="Normal 2 5 4 4 2 2 3" xfId="3646"/>
    <cellStyle name="Normal 2 5 4 4 2 2 3 2" xfId="17292"/>
    <cellStyle name="Normal 2 5 4 4 2 2 3 3" xfId="13713"/>
    <cellStyle name="Normal 2 5 4 4 2 2 3 4" xfId="8456"/>
    <cellStyle name="Normal 2 5 4 4 2 2 4" xfId="6515"/>
    <cellStyle name="Normal 2 5 4 4 2 2 4 2" xfId="15599"/>
    <cellStyle name="Normal 2 5 4 4 2 2 5" xfId="9910"/>
    <cellStyle name="Normal 2 5 4 4 2 2 5 2" xfId="18737"/>
    <cellStyle name="Normal 2 5 4 4 2 2 6" xfId="11354"/>
    <cellStyle name="Normal 2 5 4 4 2 2 7" xfId="4993"/>
    <cellStyle name="Normal 2 5 4 4 2 3" xfId="1007"/>
    <cellStyle name="Normal 2 5 4 4 2 3 2" xfId="2727"/>
    <cellStyle name="Normal 2 5 4 4 2 3 2 2" xfId="16780"/>
    <cellStyle name="Normal 2 5 4 4 2 3 2 3" xfId="13201"/>
    <cellStyle name="Normal 2 5 4 4 2 3 2 4" xfId="7912"/>
    <cellStyle name="Normal 2 5 4 4 2 3 3" xfId="3995"/>
    <cellStyle name="Normal 2 5 4 4 2 3 3 2" xfId="17640"/>
    <cellStyle name="Normal 2 5 4 4 2 3 3 3" xfId="14061"/>
    <cellStyle name="Normal 2 5 4 4 2 3 3 4" xfId="8804"/>
    <cellStyle name="Normal 2 5 4 4 2 3 4" xfId="6319"/>
    <cellStyle name="Normal 2 5 4 4 2 3 4 2" xfId="15403"/>
    <cellStyle name="Normal 2 5 4 4 2 3 5" xfId="10258"/>
    <cellStyle name="Normal 2 5 4 4 2 3 5 2" xfId="19085"/>
    <cellStyle name="Normal 2 5 4 4 2 3 6" xfId="11704"/>
    <cellStyle name="Normal 2 5 4 4 2 3 7" xfId="5506"/>
    <cellStyle name="Normal 2 5 4 4 2 4" xfId="1635"/>
    <cellStyle name="Normal 2 5 4 4 2 4 2" xfId="3231"/>
    <cellStyle name="Normal 2 5 4 4 2 4 2 2" xfId="18144"/>
    <cellStyle name="Normal 2 5 4 4 2 4 2 3" xfId="14565"/>
    <cellStyle name="Normal 2 5 4 4 2 4 2 4" xfId="9308"/>
    <cellStyle name="Normal 2 5 4 4 2 4 3" xfId="10762"/>
    <cellStyle name="Normal 2 5 4 4 2 4 3 2" xfId="19589"/>
    <cellStyle name="Normal 2 5 4 4 2 4 4" xfId="12208"/>
    <cellStyle name="Normal 2 5 4 4 2 4 5" xfId="7203"/>
    <cellStyle name="Normal 2 5 4 4 2 5" xfId="2188"/>
    <cellStyle name="Normal 2 5 4 4 2 5 2" xfId="17101"/>
    <cellStyle name="Normal 2 5 4 4 2 5 3" xfId="13522"/>
    <cellStyle name="Normal 2 5 4 4 2 5 4" xfId="8265"/>
    <cellStyle name="Normal 2 5 4 4 2 6" xfId="5826"/>
    <cellStyle name="Normal 2 5 4 4 2 6 2" xfId="14912"/>
    <cellStyle name="Normal 2 5 4 4 2 7" xfId="9719"/>
    <cellStyle name="Normal 2 5 4 4 2 7 2" xfId="18546"/>
    <cellStyle name="Normal 2 5 4 4 2 8" xfId="11163"/>
    <cellStyle name="Normal 2 5 4 4 2 9" xfId="4797"/>
    <cellStyle name="Normal 2 5 4 4 2_Degree data" xfId="1229"/>
    <cellStyle name="Normal 2 5 4 4 3" xfId="648"/>
    <cellStyle name="Normal 2 5 4 4 3 2" xfId="2378"/>
    <cellStyle name="Normal 2 5 4 4 3 2 2" xfId="16012"/>
    <cellStyle name="Normal 2 5 4 4 3 2 3" xfId="12459"/>
    <cellStyle name="Normal 2 5 4 4 3 2 4" xfId="6998"/>
    <cellStyle name="Normal 2 5 4 4 3 3" xfId="3645"/>
    <cellStyle name="Normal 2 5 4 4 3 3 2" xfId="17291"/>
    <cellStyle name="Normal 2 5 4 4 3 3 3" xfId="13712"/>
    <cellStyle name="Normal 2 5 4 4 3 3 4" xfId="8455"/>
    <cellStyle name="Normal 2 5 4 4 3 4" xfId="6114"/>
    <cellStyle name="Normal 2 5 4 4 3 4 2" xfId="15198"/>
    <cellStyle name="Normal 2 5 4 4 3 5" xfId="9909"/>
    <cellStyle name="Normal 2 5 4 4 3 5 2" xfId="18736"/>
    <cellStyle name="Normal 2 5 4 4 3 6" xfId="11353"/>
    <cellStyle name="Normal 2 5 4 4 3 7" xfId="4592"/>
    <cellStyle name="Normal 2 5 4 4 4" xfId="1006"/>
    <cellStyle name="Normal 2 5 4 4 4 2" xfId="2726"/>
    <cellStyle name="Normal 2 5 4 4 4 2 2" xfId="16266"/>
    <cellStyle name="Normal 2 5 4 4 4 2 3" xfId="12688"/>
    <cellStyle name="Normal 2 5 4 4 4 2 4" xfId="7398"/>
    <cellStyle name="Normal 2 5 4 4 4 3" xfId="3994"/>
    <cellStyle name="Normal 2 5 4 4 4 3 2" xfId="17639"/>
    <cellStyle name="Normal 2 5 4 4 4 3 3" xfId="14060"/>
    <cellStyle name="Normal 2 5 4 4 4 3 4" xfId="8803"/>
    <cellStyle name="Normal 2 5 4 4 4 4" xfId="6514"/>
    <cellStyle name="Normal 2 5 4 4 4 4 2" xfId="15598"/>
    <cellStyle name="Normal 2 5 4 4 4 5" xfId="10257"/>
    <cellStyle name="Normal 2 5 4 4 4 5 2" xfId="19084"/>
    <cellStyle name="Normal 2 5 4 4 4 6" xfId="11703"/>
    <cellStyle name="Normal 2 5 4 4 4 7" xfId="4992"/>
    <cellStyle name="Normal 2 5 4 4 5" xfId="1421"/>
    <cellStyle name="Normal 2 5 4 4 5 2" xfId="3026"/>
    <cellStyle name="Normal 2 5 4 4 5 2 2" xfId="16575"/>
    <cellStyle name="Normal 2 5 4 4 5 2 3" xfId="12996"/>
    <cellStyle name="Normal 2 5 4 4 5 2 4" xfId="7707"/>
    <cellStyle name="Normal 2 5 4 4 5 3" xfId="4234"/>
    <cellStyle name="Normal 2 5 4 4 5 3 2" xfId="17939"/>
    <cellStyle name="Normal 2 5 4 4 5 3 3" xfId="14360"/>
    <cellStyle name="Normal 2 5 4 4 5 3 4" xfId="9103"/>
    <cellStyle name="Normal 2 5 4 4 5 4" xfId="6000"/>
    <cellStyle name="Normal 2 5 4 4 5 4 2" xfId="15086"/>
    <cellStyle name="Normal 2 5 4 4 5 5" xfId="10557"/>
    <cellStyle name="Normal 2 5 4 4 5 5 2" xfId="19384"/>
    <cellStyle name="Normal 2 5 4 4 5 6" xfId="12003"/>
    <cellStyle name="Normal 2 5 4 4 5 7" xfId="5301"/>
    <cellStyle name="Normal 2 5 4 4 6" xfId="1983"/>
    <cellStyle name="Normal 2 5 4 4 6 2" xfId="15929"/>
    <cellStyle name="Normal 2 5 4 4 6 3" xfId="12490"/>
    <cellStyle name="Normal 2 5 4 4 6 4" xfId="6886"/>
    <cellStyle name="Normal 2 5 4 4 7" xfId="3397"/>
    <cellStyle name="Normal 2 5 4 4 7 2" xfId="16896"/>
    <cellStyle name="Normal 2 5 4 4 7 3" xfId="13317"/>
    <cellStyle name="Normal 2 5 4 4 7 4" xfId="8060"/>
    <cellStyle name="Normal 2 5 4 4 8" xfId="5621"/>
    <cellStyle name="Normal 2 5 4 4 8 2" xfId="14707"/>
    <cellStyle name="Normal 2 5 4 4 9" xfId="9514"/>
    <cellStyle name="Normal 2 5 4 4 9 2" xfId="18341"/>
    <cellStyle name="Normal 2 5 4 4_Degree data" xfId="1265"/>
    <cellStyle name="Normal 2 5 4 5" xfId="315"/>
    <cellStyle name="Normal 2 5 4 5 2" xfId="650"/>
    <cellStyle name="Normal 2 5 4 5 2 2" xfId="2380"/>
    <cellStyle name="Normal 2 5 4 5 2 2 2" xfId="16268"/>
    <cellStyle name="Normal 2 5 4 5 2 2 3" xfId="12690"/>
    <cellStyle name="Normal 2 5 4 5 2 2 4" xfId="7400"/>
    <cellStyle name="Normal 2 5 4 5 2 3" xfId="3647"/>
    <cellStyle name="Normal 2 5 4 5 2 3 2" xfId="17293"/>
    <cellStyle name="Normal 2 5 4 5 2 3 3" xfId="13714"/>
    <cellStyle name="Normal 2 5 4 5 2 3 4" xfId="8457"/>
    <cellStyle name="Normal 2 5 4 5 2 4" xfId="6516"/>
    <cellStyle name="Normal 2 5 4 5 2 4 2" xfId="15600"/>
    <cellStyle name="Normal 2 5 4 5 2 5" xfId="9911"/>
    <cellStyle name="Normal 2 5 4 5 2 5 2" xfId="18738"/>
    <cellStyle name="Normal 2 5 4 5 2 6" xfId="11355"/>
    <cellStyle name="Normal 2 5 4 5 2 7" xfId="4994"/>
    <cellStyle name="Normal 2 5 4 5 3" xfId="1008"/>
    <cellStyle name="Normal 2 5 4 5 3 2" xfId="2728"/>
    <cellStyle name="Normal 2 5 4 5 3 2 2" xfId="16675"/>
    <cellStyle name="Normal 2 5 4 5 3 2 3" xfId="13096"/>
    <cellStyle name="Normal 2 5 4 5 3 2 4" xfId="7807"/>
    <cellStyle name="Normal 2 5 4 5 3 3" xfId="3996"/>
    <cellStyle name="Normal 2 5 4 5 3 3 2" xfId="17641"/>
    <cellStyle name="Normal 2 5 4 5 3 3 3" xfId="14062"/>
    <cellStyle name="Normal 2 5 4 5 3 3 4" xfId="8805"/>
    <cellStyle name="Normal 2 5 4 5 3 4" xfId="6214"/>
    <cellStyle name="Normal 2 5 4 5 3 4 2" xfId="15298"/>
    <cellStyle name="Normal 2 5 4 5 3 5" xfId="10259"/>
    <cellStyle name="Normal 2 5 4 5 3 5 2" xfId="19086"/>
    <cellStyle name="Normal 2 5 4 5 3 6" xfId="11705"/>
    <cellStyle name="Normal 2 5 4 5 3 7" xfId="5401"/>
    <cellStyle name="Normal 2 5 4 5 4" xfId="1527"/>
    <cellStyle name="Normal 2 5 4 5 4 2" xfId="3126"/>
    <cellStyle name="Normal 2 5 4 5 4 2 2" xfId="18039"/>
    <cellStyle name="Normal 2 5 4 5 4 2 3" xfId="14460"/>
    <cellStyle name="Normal 2 5 4 5 4 2 4" xfId="9203"/>
    <cellStyle name="Normal 2 5 4 5 4 3" xfId="10657"/>
    <cellStyle name="Normal 2 5 4 5 4 3 2" xfId="19484"/>
    <cellStyle name="Normal 2 5 4 5 4 4" xfId="12103"/>
    <cellStyle name="Normal 2 5 4 5 4 5" xfId="7098"/>
    <cellStyle name="Normal 2 5 4 5 5" xfId="2083"/>
    <cellStyle name="Normal 2 5 4 5 5 2" xfId="16996"/>
    <cellStyle name="Normal 2 5 4 5 5 3" xfId="13417"/>
    <cellStyle name="Normal 2 5 4 5 5 4" xfId="8160"/>
    <cellStyle name="Normal 2 5 4 5 6" xfId="5721"/>
    <cellStyle name="Normal 2 5 4 5 6 2" xfId="14807"/>
    <cellStyle name="Normal 2 5 4 5 7" xfId="9614"/>
    <cellStyle name="Normal 2 5 4 5 7 2" xfId="18441"/>
    <cellStyle name="Normal 2 5 4 5 8" xfId="11058"/>
    <cellStyle name="Normal 2 5 4 5 9" xfId="4692"/>
    <cellStyle name="Normal 2 5 4 5_Degree data" xfId="1316"/>
    <cellStyle name="Normal 2 5 4 6" xfId="497"/>
    <cellStyle name="Normal 2 5 4 6 2" xfId="651"/>
    <cellStyle name="Normal 2 5 4 6 2 2" xfId="2381"/>
    <cellStyle name="Normal 2 5 4 6 2 2 2" xfId="16269"/>
    <cellStyle name="Normal 2 5 4 6 2 2 3" xfId="12691"/>
    <cellStyle name="Normal 2 5 4 6 2 2 4" xfId="7401"/>
    <cellStyle name="Normal 2 5 4 6 2 3" xfId="3648"/>
    <cellStyle name="Normal 2 5 4 6 2 3 2" xfId="17294"/>
    <cellStyle name="Normal 2 5 4 6 2 3 3" xfId="13715"/>
    <cellStyle name="Normal 2 5 4 6 2 3 4" xfId="8458"/>
    <cellStyle name="Normal 2 5 4 6 2 4" xfId="6517"/>
    <cellStyle name="Normal 2 5 4 6 2 4 2" xfId="15601"/>
    <cellStyle name="Normal 2 5 4 6 2 5" xfId="9912"/>
    <cellStyle name="Normal 2 5 4 6 2 5 2" xfId="18739"/>
    <cellStyle name="Normal 2 5 4 6 2 6" xfId="11356"/>
    <cellStyle name="Normal 2 5 4 6 2 7" xfId="4995"/>
    <cellStyle name="Normal 2 5 4 6 3" xfId="1009"/>
    <cellStyle name="Normal 2 5 4 6 3 2" xfId="2729"/>
    <cellStyle name="Normal 2 5 4 6 3 2 2" xfId="16551"/>
    <cellStyle name="Normal 2 5 4 6 3 2 3" xfId="12972"/>
    <cellStyle name="Normal 2 5 4 6 3 2 4" xfId="7683"/>
    <cellStyle name="Normal 2 5 4 6 3 3" xfId="3997"/>
    <cellStyle name="Normal 2 5 4 6 3 3 2" xfId="17642"/>
    <cellStyle name="Normal 2 5 4 6 3 3 3" xfId="14063"/>
    <cellStyle name="Normal 2 5 4 6 3 3 4" xfId="8806"/>
    <cellStyle name="Normal 2 5 4 6 3 4" xfId="6744"/>
    <cellStyle name="Normal 2 5 4 6 3 4 2" xfId="15827"/>
    <cellStyle name="Normal 2 5 4 6 3 5" xfId="10260"/>
    <cellStyle name="Normal 2 5 4 6 3 5 2" xfId="19087"/>
    <cellStyle name="Normal 2 5 4 6 3 6" xfId="11706"/>
    <cellStyle name="Normal 2 5 4 6 3 7" xfId="5277"/>
    <cellStyle name="Normal 2 5 4 6 4" xfId="1393"/>
    <cellStyle name="Normal 2 5 4 6 4 2" xfId="3002"/>
    <cellStyle name="Normal 2 5 4 6 4 2 2" xfId="17915"/>
    <cellStyle name="Normal 2 5 4 6 4 2 3" xfId="14336"/>
    <cellStyle name="Normal 2 5 4 6 4 2 4" xfId="9079"/>
    <cellStyle name="Normal 2 5 4 6 4 3" xfId="10533"/>
    <cellStyle name="Normal 2 5 4 6 4 3 2" xfId="19360"/>
    <cellStyle name="Normal 2 5 4 6 4 4" xfId="11979"/>
    <cellStyle name="Normal 2 5 4 6 4 5" xfId="6974"/>
    <cellStyle name="Normal 2 5 4 6 5" xfId="1959"/>
    <cellStyle name="Normal 2 5 4 6 5 2" xfId="16870"/>
    <cellStyle name="Normal 2 5 4 6 5 3" xfId="13291"/>
    <cellStyle name="Normal 2 5 4 6 5 4" xfId="8034"/>
    <cellStyle name="Normal 2 5 4 6 6" xfId="6090"/>
    <cellStyle name="Normal 2 5 4 6 6 2" xfId="15174"/>
    <cellStyle name="Normal 2 5 4 6 7" xfId="9490"/>
    <cellStyle name="Normal 2 5 4 6 7 2" xfId="18317"/>
    <cellStyle name="Normal 2 5 4 6 8" xfId="10934"/>
    <cellStyle name="Normal 2 5 4 6 9" xfId="4568"/>
    <cellStyle name="Normal 2 5 4 6_Degree data" xfId="1228"/>
    <cellStyle name="Normal 2 5 4 7" xfId="642"/>
    <cellStyle name="Normal 2 5 4 7 2" xfId="2372"/>
    <cellStyle name="Normal 2 5 4 7 2 2" xfId="16260"/>
    <cellStyle name="Normal 2 5 4 7 2 3" xfId="12682"/>
    <cellStyle name="Normal 2 5 4 7 2 4" xfId="7392"/>
    <cellStyle name="Normal 2 5 4 7 3" xfId="3639"/>
    <cellStyle name="Normal 2 5 4 7 3 2" xfId="17285"/>
    <cellStyle name="Normal 2 5 4 7 3 3" xfId="13706"/>
    <cellStyle name="Normal 2 5 4 7 3 4" xfId="8449"/>
    <cellStyle name="Normal 2 5 4 7 4" xfId="6508"/>
    <cellStyle name="Normal 2 5 4 7 4 2" xfId="15592"/>
    <cellStyle name="Normal 2 5 4 7 5" xfId="9903"/>
    <cellStyle name="Normal 2 5 4 7 5 2" xfId="18730"/>
    <cellStyle name="Normal 2 5 4 7 6" xfId="11347"/>
    <cellStyle name="Normal 2 5 4 7 7" xfId="4986"/>
    <cellStyle name="Normal 2 5 4 8" xfId="1000"/>
    <cellStyle name="Normal 2 5 4 8 2" xfId="2720"/>
    <cellStyle name="Normal 2 5 4 8 2 2" xfId="16506"/>
    <cellStyle name="Normal 2 5 4 8 2 3" xfId="12928"/>
    <cellStyle name="Normal 2 5 4 8 2 4" xfId="7638"/>
    <cellStyle name="Normal 2 5 4 8 3" xfId="3988"/>
    <cellStyle name="Normal 2 5 4 8 3 2" xfId="17633"/>
    <cellStyle name="Normal 2 5 4 8 3 3" xfId="14054"/>
    <cellStyle name="Normal 2 5 4 8 3 4" xfId="8797"/>
    <cellStyle name="Normal 2 5 4 8 4" xfId="5894"/>
    <cellStyle name="Normal 2 5 4 8 4 2" xfId="14980"/>
    <cellStyle name="Normal 2 5 4 8 5" xfId="10251"/>
    <cellStyle name="Normal 2 5 4 8 5 2" xfId="19078"/>
    <cellStyle name="Normal 2 5 4 8 6" xfId="11697"/>
    <cellStyle name="Normal 2 5 4 8 7" xfId="5232"/>
    <cellStyle name="Normal 2 5 4 9" xfId="1344"/>
    <cellStyle name="Normal 2 5 4 9 2" xfId="2957"/>
    <cellStyle name="Normal 2 5 4 9 2 2" xfId="17870"/>
    <cellStyle name="Normal 2 5 4 9 2 3" xfId="14291"/>
    <cellStyle name="Normal 2 5 4 9 2 4" xfId="9034"/>
    <cellStyle name="Normal 2 5 4 9 3" xfId="10488"/>
    <cellStyle name="Normal 2 5 4 9 3 2" xfId="19315"/>
    <cellStyle name="Normal 2 5 4 9 4" xfId="11934"/>
    <cellStyle name="Normal 2 5 4 9 5" xfId="6781"/>
    <cellStyle name="Normal 2 5 4_Degree data" xfId="1232"/>
    <cellStyle name="Normal 2 5 5" xfId="143"/>
    <cellStyle name="Normal 2 5 5 10" xfId="5567"/>
    <cellStyle name="Normal 2 5 5 10 2" xfId="14653"/>
    <cellStyle name="Normal 2 5 5 11" xfId="9387"/>
    <cellStyle name="Normal 2 5 5 11 2" xfId="18214"/>
    <cellStyle name="Normal 2 5 5 12" xfId="10827"/>
    <cellStyle name="Normal 2 5 5 13" xfId="4380"/>
    <cellStyle name="Normal 2 5 5 2" xfId="255"/>
    <cellStyle name="Normal 2 5 5 2 10" xfId="11006"/>
    <cellStyle name="Normal 2 5 5 2 11" xfId="4423"/>
    <cellStyle name="Normal 2 5 5 2 2" xfId="363"/>
    <cellStyle name="Normal 2 5 5 2 2 2" xfId="654"/>
    <cellStyle name="Normal 2 5 5 2 2 2 2" xfId="2384"/>
    <cellStyle name="Normal 2 5 5 2 2 2 2 2" xfId="16272"/>
    <cellStyle name="Normal 2 5 5 2 2 2 2 3" xfId="12694"/>
    <cellStyle name="Normal 2 5 5 2 2 2 2 4" xfId="7404"/>
    <cellStyle name="Normal 2 5 5 2 2 2 3" xfId="3651"/>
    <cellStyle name="Normal 2 5 5 2 2 2 3 2" xfId="17297"/>
    <cellStyle name="Normal 2 5 5 2 2 2 3 3" xfId="13718"/>
    <cellStyle name="Normal 2 5 5 2 2 2 3 4" xfId="8461"/>
    <cellStyle name="Normal 2 5 5 2 2 2 4" xfId="6520"/>
    <cellStyle name="Normal 2 5 5 2 2 2 4 2" xfId="15604"/>
    <cellStyle name="Normal 2 5 5 2 2 2 5" xfId="9915"/>
    <cellStyle name="Normal 2 5 5 2 2 2 5 2" xfId="18742"/>
    <cellStyle name="Normal 2 5 5 2 2 2 6" xfId="11359"/>
    <cellStyle name="Normal 2 5 5 2 2 2 7" xfId="4998"/>
    <cellStyle name="Normal 2 5 5 2 2 3" xfId="1012"/>
    <cellStyle name="Normal 2 5 5 2 2 3 2" xfId="2732"/>
    <cellStyle name="Normal 2 5 5 2 2 3 2 2" xfId="16723"/>
    <cellStyle name="Normal 2 5 5 2 2 3 2 3" xfId="13144"/>
    <cellStyle name="Normal 2 5 5 2 2 3 2 4" xfId="7855"/>
    <cellStyle name="Normal 2 5 5 2 2 3 3" xfId="4000"/>
    <cellStyle name="Normal 2 5 5 2 2 3 3 2" xfId="17645"/>
    <cellStyle name="Normal 2 5 5 2 2 3 3 3" xfId="14066"/>
    <cellStyle name="Normal 2 5 5 2 2 3 3 4" xfId="8809"/>
    <cellStyle name="Normal 2 5 5 2 2 3 4" xfId="6262"/>
    <cellStyle name="Normal 2 5 5 2 2 3 4 2" xfId="15346"/>
    <cellStyle name="Normal 2 5 5 2 2 3 5" xfId="10263"/>
    <cellStyle name="Normal 2 5 5 2 2 3 5 2" xfId="19090"/>
    <cellStyle name="Normal 2 5 5 2 2 3 6" xfId="11709"/>
    <cellStyle name="Normal 2 5 5 2 2 3 7" xfId="5449"/>
    <cellStyle name="Normal 2 5 5 2 2 4" xfId="1576"/>
    <cellStyle name="Normal 2 5 5 2 2 4 2" xfId="3174"/>
    <cellStyle name="Normal 2 5 5 2 2 4 2 2" xfId="18087"/>
    <cellStyle name="Normal 2 5 5 2 2 4 2 3" xfId="14508"/>
    <cellStyle name="Normal 2 5 5 2 2 4 2 4" xfId="9251"/>
    <cellStyle name="Normal 2 5 5 2 2 4 3" xfId="10705"/>
    <cellStyle name="Normal 2 5 5 2 2 4 3 2" xfId="19532"/>
    <cellStyle name="Normal 2 5 5 2 2 4 4" xfId="12151"/>
    <cellStyle name="Normal 2 5 5 2 2 4 5" xfId="7146"/>
    <cellStyle name="Normal 2 5 5 2 2 5" xfId="2131"/>
    <cellStyle name="Normal 2 5 5 2 2 5 2" xfId="17044"/>
    <cellStyle name="Normal 2 5 5 2 2 5 3" xfId="13465"/>
    <cellStyle name="Normal 2 5 5 2 2 5 4" xfId="8208"/>
    <cellStyle name="Normal 2 5 5 2 2 6" xfId="5769"/>
    <cellStyle name="Normal 2 5 5 2 2 6 2" xfId="14855"/>
    <cellStyle name="Normal 2 5 5 2 2 7" xfId="9662"/>
    <cellStyle name="Normal 2 5 5 2 2 7 2" xfId="18489"/>
    <cellStyle name="Normal 2 5 5 2 2 8" xfId="11106"/>
    <cellStyle name="Normal 2 5 5 2 2 9" xfId="4740"/>
    <cellStyle name="Normal 2 5 5 2 2_Degree data" xfId="1225"/>
    <cellStyle name="Normal 2 5 5 2 3" xfId="653"/>
    <cellStyle name="Normal 2 5 5 2 3 2" xfId="2383"/>
    <cellStyle name="Normal 2 5 5 2 3 2 2" xfId="16060"/>
    <cellStyle name="Normal 2 5 5 2 3 2 3" xfId="12326"/>
    <cellStyle name="Normal 2 5 5 2 3 2 4" xfId="7046"/>
    <cellStyle name="Normal 2 5 5 2 3 3" xfId="3650"/>
    <cellStyle name="Normal 2 5 5 2 3 3 2" xfId="17296"/>
    <cellStyle name="Normal 2 5 5 2 3 3 3" xfId="13717"/>
    <cellStyle name="Normal 2 5 5 2 3 3 4" xfId="8460"/>
    <cellStyle name="Normal 2 5 5 2 3 4" xfId="6162"/>
    <cellStyle name="Normal 2 5 5 2 3 4 2" xfId="15246"/>
    <cellStyle name="Normal 2 5 5 2 3 5" xfId="9914"/>
    <cellStyle name="Normal 2 5 5 2 3 5 2" xfId="18741"/>
    <cellStyle name="Normal 2 5 5 2 3 6" xfId="11358"/>
    <cellStyle name="Normal 2 5 5 2 3 7" xfId="4640"/>
    <cellStyle name="Normal 2 5 5 2 4" xfId="1011"/>
    <cellStyle name="Normal 2 5 5 2 4 2" xfId="2731"/>
    <cellStyle name="Normal 2 5 5 2 4 2 2" xfId="16271"/>
    <cellStyle name="Normal 2 5 5 2 4 2 3" xfId="12693"/>
    <cellStyle name="Normal 2 5 5 2 4 2 4" xfId="7403"/>
    <cellStyle name="Normal 2 5 5 2 4 3" xfId="3999"/>
    <cellStyle name="Normal 2 5 5 2 4 3 2" xfId="17644"/>
    <cellStyle name="Normal 2 5 5 2 4 3 3" xfId="14065"/>
    <cellStyle name="Normal 2 5 5 2 4 3 4" xfId="8808"/>
    <cellStyle name="Normal 2 5 5 2 4 4" xfId="6519"/>
    <cellStyle name="Normal 2 5 5 2 4 4 2" xfId="15603"/>
    <cellStyle name="Normal 2 5 5 2 4 5" xfId="10262"/>
    <cellStyle name="Normal 2 5 5 2 4 5 2" xfId="19089"/>
    <cellStyle name="Normal 2 5 5 2 4 6" xfId="11708"/>
    <cellStyle name="Normal 2 5 5 2 4 7" xfId="4997"/>
    <cellStyle name="Normal 2 5 5 2 5" xfId="1474"/>
    <cellStyle name="Normal 2 5 5 2 5 2" xfId="3074"/>
    <cellStyle name="Normal 2 5 5 2 5 2 2" xfId="16623"/>
    <cellStyle name="Normal 2 5 5 2 5 2 3" xfId="13044"/>
    <cellStyle name="Normal 2 5 5 2 5 2 4" xfId="7755"/>
    <cellStyle name="Normal 2 5 5 2 5 3" xfId="4282"/>
    <cellStyle name="Normal 2 5 5 2 5 3 2" xfId="17987"/>
    <cellStyle name="Normal 2 5 5 2 5 3 3" xfId="14408"/>
    <cellStyle name="Normal 2 5 5 2 5 3 4" xfId="9151"/>
    <cellStyle name="Normal 2 5 5 2 5 4" xfId="5943"/>
    <cellStyle name="Normal 2 5 5 2 5 4 2" xfId="15029"/>
    <cellStyle name="Normal 2 5 5 2 5 5" xfId="10605"/>
    <cellStyle name="Normal 2 5 5 2 5 5 2" xfId="19432"/>
    <cellStyle name="Normal 2 5 5 2 5 6" xfId="12051"/>
    <cellStyle name="Normal 2 5 5 2 5 7" xfId="5349"/>
    <cellStyle name="Normal 2 5 5 2 6" xfId="2031"/>
    <cellStyle name="Normal 2 5 5 2 6 2" xfId="15872"/>
    <cellStyle name="Normal 2 5 5 2 6 3" xfId="12371"/>
    <cellStyle name="Normal 2 5 5 2 6 4" xfId="6829"/>
    <cellStyle name="Normal 2 5 5 2 7" xfId="3444"/>
    <cellStyle name="Normal 2 5 5 2 7 2" xfId="16944"/>
    <cellStyle name="Normal 2 5 5 2 7 3" xfId="13365"/>
    <cellStyle name="Normal 2 5 5 2 7 4" xfId="8108"/>
    <cellStyle name="Normal 2 5 5 2 8" xfId="5669"/>
    <cellStyle name="Normal 2 5 5 2 8 2" xfId="14755"/>
    <cellStyle name="Normal 2 5 5 2 9" xfId="9562"/>
    <cellStyle name="Normal 2 5 5 2 9 2" xfId="18389"/>
    <cellStyle name="Normal 2 5 5 2_Degree data" xfId="1226"/>
    <cellStyle name="Normal 2 5 5 3" xfId="212"/>
    <cellStyle name="Normal 2 5 5 3 10" xfId="10963"/>
    <cellStyle name="Normal 2 5 5 3 11" xfId="4485"/>
    <cellStyle name="Normal 2 5 5 3 2" xfId="426"/>
    <cellStyle name="Normal 2 5 5 3 2 2" xfId="656"/>
    <cellStyle name="Normal 2 5 5 3 2 2 2" xfId="2386"/>
    <cellStyle name="Normal 2 5 5 3 2 2 2 2" xfId="16274"/>
    <cellStyle name="Normal 2 5 5 3 2 2 2 3" xfId="12696"/>
    <cellStyle name="Normal 2 5 5 3 2 2 2 4" xfId="7406"/>
    <cellStyle name="Normal 2 5 5 3 2 2 3" xfId="3653"/>
    <cellStyle name="Normal 2 5 5 3 2 2 3 2" xfId="17299"/>
    <cellStyle name="Normal 2 5 5 3 2 2 3 3" xfId="13720"/>
    <cellStyle name="Normal 2 5 5 3 2 2 3 4" xfId="8463"/>
    <cellStyle name="Normal 2 5 5 3 2 2 4" xfId="6522"/>
    <cellStyle name="Normal 2 5 5 3 2 2 4 2" xfId="15606"/>
    <cellStyle name="Normal 2 5 5 3 2 2 5" xfId="9917"/>
    <cellStyle name="Normal 2 5 5 3 2 2 5 2" xfId="18744"/>
    <cellStyle name="Normal 2 5 5 3 2 2 6" xfId="11361"/>
    <cellStyle name="Normal 2 5 5 3 2 2 7" xfId="5000"/>
    <cellStyle name="Normal 2 5 5 3 2 3" xfId="1014"/>
    <cellStyle name="Normal 2 5 5 3 2 3 2" xfId="2734"/>
    <cellStyle name="Normal 2 5 5 3 2 3 2 2" xfId="16785"/>
    <cellStyle name="Normal 2 5 5 3 2 3 2 3" xfId="13206"/>
    <cellStyle name="Normal 2 5 5 3 2 3 2 4" xfId="7917"/>
    <cellStyle name="Normal 2 5 5 3 2 3 3" xfId="4002"/>
    <cellStyle name="Normal 2 5 5 3 2 3 3 2" xfId="17647"/>
    <cellStyle name="Normal 2 5 5 3 2 3 3 3" xfId="14068"/>
    <cellStyle name="Normal 2 5 5 3 2 3 3 4" xfId="8811"/>
    <cellStyle name="Normal 2 5 5 3 2 3 4" xfId="6324"/>
    <cellStyle name="Normal 2 5 5 3 2 3 4 2" xfId="15408"/>
    <cellStyle name="Normal 2 5 5 3 2 3 5" xfId="10265"/>
    <cellStyle name="Normal 2 5 5 3 2 3 5 2" xfId="19092"/>
    <cellStyle name="Normal 2 5 5 3 2 3 6" xfId="11711"/>
    <cellStyle name="Normal 2 5 5 3 2 3 7" xfId="5511"/>
    <cellStyle name="Normal 2 5 5 3 2 4" xfId="1640"/>
    <cellStyle name="Normal 2 5 5 3 2 4 2" xfId="3236"/>
    <cellStyle name="Normal 2 5 5 3 2 4 2 2" xfId="18149"/>
    <cellStyle name="Normal 2 5 5 3 2 4 2 3" xfId="14570"/>
    <cellStyle name="Normal 2 5 5 3 2 4 2 4" xfId="9313"/>
    <cellStyle name="Normal 2 5 5 3 2 4 3" xfId="10767"/>
    <cellStyle name="Normal 2 5 5 3 2 4 3 2" xfId="19594"/>
    <cellStyle name="Normal 2 5 5 3 2 4 4" xfId="12213"/>
    <cellStyle name="Normal 2 5 5 3 2 4 5" xfId="7208"/>
    <cellStyle name="Normal 2 5 5 3 2 5" xfId="2193"/>
    <cellStyle name="Normal 2 5 5 3 2 5 2" xfId="17106"/>
    <cellStyle name="Normal 2 5 5 3 2 5 3" xfId="13527"/>
    <cellStyle name="Normal 2 5 5 3 2 5 4" xfId="8270"/>
    <cellStyle name="Normal 2 5 5 3 2 6" xfId="5831"/>
    <cellStyle name="Normal 2 5 5 3 2 6 2" xfId="14917"/>
    <cellStyle name="Normal 2 5 5 3 2 7" xfId="9724"/>
    <cellStyle name="Normal 2 5 5 3 2 7 2" xfId="18551"/>
    <cellStyle name="Normal 2 5 5 3 2 8" xfId="11168"/>
    <cellStyle name="Normal 2 5 5 3 2 9" xfId="4802"/>
    <cellStyle name="Normal 2 5 5 3 2_Degree data" xfId="1223"/>
    <cellStyle name="Normal 2 5 5 3 3" xfId="655"/>
    <cellStyle name="Normal 2 5 5 3 3 2" xfId="2385"/>
    <cellStyle name="Normal 2 5 5 3 3 2 2" xfId="16017"/>
    <cellStyle name="Normal 2 5 5 3 3 2 3" xfId="12399"/>
    <cellStyle name="Normal 2 5 5 3 3 2 4" xfId="7003"/>
    <cellStyle name="Normal 2 5 5 3 3 3" xfId="3652"/>
    <cellStyle name="Normal 2 5 5 3 3 3 2" xfId="17298"/>
    <cellStyle name="Normal 2 5 5 3 3 3 3" xfId="13719"/>
    <cellStyle name="Normal 2 5 5 3 3 3 4" xfId="8462"/>
    <cellStyle name="Normal 2 5 5 3 3 4" xfId="6119"/>
    <cellStyle name="Normal 2 5 5 3 3 4 2" xfId="15203"/>
    <cellStyle name="Normal 2 5 5 3 3 5" xfId="9916"/>
    <cellStyle name="Normal 2 5 5 3 3 5 2" xfId="18743"/>
    <cellStyle name="Normal 2 5 5 3 3 6" xfId="11360"/>
    <cellStyle name="Normal 2 5 5 3 3 7" xfId="4597"/>
    <cellStyle name="Normal 2 5 5 3 4" xfId="1013"/>
    <cellStyle name="Normal 2 5 5 3 4 2" xfId="2733"/>
    <cellStyle name="Normal 2 5 5 3 4 2 2" xfId="16273"/>
    <cellStyle name="Normal 2 5 5 3 4 2 3" xfId="12695"/>
    <cellStyle name="Normal 2 5 5 3 4 2 4" xfId="7405"/>
    <cellStyle name="Normal 2 5 5 3 4 3" xfId="4001"/>
    <cellStyle name="Normal 2 5 5 3 4 3 2" xfId="17646"/>
    <cellStyle name="Normal 2 5 5 3 4 3 3" xfId="14067"/>
    <cellStyle name="Normal 2 5 5 3 4 3 4" xfId="8810"/>
    <cellStyle name="Normal 2 5 5 3 4 4" xfId="6521"/>
    <cellStyle name="Normal 2 5 5 3 4 4 2" xfId="15605"/>
    <cellStyle name="Normal 2 5 5 3 4 5" xfId="10264"/>
    <cellStyle name="Normal 2 5 5 3 4 5 2" xfId="19091"/>
    <cellStyle name="Normal 2 5 5 3 4 6" xfId="11710"/>
    <cellStyle name="Normal 2 5 5 3 4 7" xfId="4999"/>
    <cellStyle name="Normal 2 5 5 3 5" xfId="1429"/>
    <cellStyle name="Normal 2 5 5 3 5 2" xfId="3031"/>
    <cellStyle name="Normal 2 5 5 3 5 2 2" xfId="16580"/>
    <cellStyle name="Normal 2 5 5 3 5 2 3" xfId="13001"/>
    <cellStyle name="Normal 2 5 5 3 5 2 4" xfId="7712"/>
    <cellStyle name="Normal 2 5 5 3 5 3" xfId="4239"/>
    <cellStyle name="Normal 2 5 5 3 5 3 2" xfId="17944"/>
    <cellStyle name="Normal 2 5 5 3 5 3 3" xfId="14365"/>
    <cellStyle name="Normal 2 5 5 3 5 3 4" xfId="9108"/>
    <cellStyle name="Normal 2 5 5 3 5 4" xfId="6005"/>
    <cellStyle name="Normal 2 5 5 3 5 4 2" xfId="15091"/>
    <cellStyle name="Normal 2 5 5 3 5 5" xfId="10562"/>
    <cellStyle name="Normal 2 5 5 3 5 5 2" xfId="19389"/>
    <cellStyle name="Normal 2 5 5 3 5 6" xfId="12008"/>
    <cellStyle name="Normal 2 5 5 3 5 7" xfId="5306"/>
    <cellStyle name="Normal 2 5 5 3 6" xfId="1988"/>
    <cellStyle name="Normal 2 5 5 3 6 2" xfId="15934"/>
    <cellStyle name="Normal 2 5 5 3 6 3" xfId="12419"/>
    <cellStyle name="Normal 2 5 5 3 6 4" xfId="6891"/>
    <cellStyle name="Normal 2 5 5 3 7" xfId="3402"/>
    <cellStyle name="Normal 2 5 5 3 7 2" xfId="16901"/>
    <cellStyle name="Normal 2 5 5 3 7 3" xfId="13322"/>
    <cellStyle name="Normal 2 5 5 3 7 4" xfId="8065"/>
    <cellStyle name="Normal 2 5 5 3 8" xfId="5626"/>
    <cellStyle name="Normal 2 5 5 3 8 2" xfId="14712"/>
    <cellStyle name="Normal 2 5 5 3 9" xfId="9519"/>
    <cellStyle name="Normal 2 5 5 3 9 2" xfId="18346"/>
    <cellStyle name="Normal 2 5 5 3_Degree data" xfId="1224"/>
    <cellStyle name="Normal 2 5 5 4" xfId="320"/>
    <cellStyle name="Normal 2 5 5 4 2" xfId="657"/>
    <cellStyle name="Normal 2 5 5 4 2 2" xfId="2387"/>
    <cellStyle name="Normal 2 5 5 4 2 2 2" xfId="16275"/>
    <cellStyle name="Normal 2 5 5 4 2 2 3" xfId="12697"/>
    <cellStyle name="Normal 2 5 5 4 2 2 4" xfId="7407"/>
    <cellStyle name="Normal 2 5 5 4 2 3" xfId="3654"/>
    <cellStyle name="Normal 2 5 5 4 2 3 2" xfId="17300"/>
    <cellStyle name="Normal 2 5 5 4 2 3 3" xfId="13721"/>
    <cellStyle name="Normal 2 5 5 4 2 3 4" xfId="8464"/>
    <cellStyle name="Normal 2 5 5 4 2 4" xfId="6523"/>
    <cellStyle name="Normal 2 5 5 4 2 4 2" xfId="15607"/>
    <cellStyle name="Normal 2 5 5 4 2 5" xfId="9918"/>
    <cellStyle name="Normal 2 5 5 4 2 5 2" xfId="18745"/>
    <cellStyle name="Normal 2 5 5 4 2 6" xfId="11362"/>
    <cellStyle name="Normal 2 5 5 4 2 7" xfId="5001"/>
    <cellStyle name="Normal 2 5 5 4 3" xfId="1015"/>
    <cellStyle name="Normal 2 5 5 4 3 2" xfId="2735"/>
    <cellStyle name="Normal 2 5 5 4 3 2 2" xfId="16680"/>
    <cellStyle name="Normal 2 5 5 4 3 2 3" xfId="13101"/>
    <cellStyle name="Normal 2 5 5 4 3 2 4" xfId="7812"/>
    <cellStyle name="Normal 2 5 5 4 3 3" xfId="4003"/>
    <cellStyle name="Normal 2 5 5 4 3 3 2" xfId="17648"/>
    <cellStyle name="Normal 2 5 5 4 3 3 3" xfId="14069"/>
    <cellStyle name="Normal 2 5 5 4 3 3 4" xfId="8812"/>
    <cellStyle name="Normal 2 5 5 4 3 4" xfId="6219"/>
    <cellStyle name="Normal 2 5 5 4 3 4 2" xfId="15303"/>
    <cellStyle name="Normal 2 5 5 4 3 5" xfId="10266"/>
    <cellStyle name="Normal 2 5 5 4 3 5 2" xfId="19093"/>
    <cellStyle name="Normal 2 5 5 4 3 6" xfId="11712"/>
    <cellStyle name="Normal 2 5 5 4 3 7" xfId="5406"/>
    <cellStyle name="Normal 2 5 5 4 4" xfId="1532"/>
    <cellStyle name="Normal 2 5 5 4 4 2" xfId="3131"/>
    <cellStyle name="Normal 2 5 5 4 4 2 2" xfId="18044"/>
    <cellStyle name="Normal 2 5 5 4 4 2 3" xfId="14465"/>
    <cellStyle name="Normal 2 5 5 4 4 2 4" xfId="9208"/>
    <cellStyle name="Normal 2 5 5 4 4 3" xfId="10662"/>
    <cellStyle name="Normal 2 5 5 4 4 3 2" xfId="19489"/>
    <cellStyle name="Normal 2 5 5 4 4 4" xfId="12108"/>
    <cellStyle name="Normal 2 5 5 4 4 5" xfId="7103"/>
    <cellStyle name="Normal 2 5 5 4 5" xfId="2088"/>
    <cellStyle name="Normal 2 5 5 4 5 2" xfId="17001"/>
    <cellStyle name="Normal 2 5 5 4 5 3" xfId="13422"/>
    <cellStyle name="Normal 2 5 5 4 5 4" xfId="8165"/>
    <cellStyle name="Normal 2 5 5 4 6" xfId="5726"/>
    <cellStyle name="Normal 2 5 5 4 6 2" xfId="14812"/>
    <cellStyle name="Normal 2 5 5 4 7" xfId="9619"/>
    <cellStyle name="Normal 2 5 5 4 7 2" xfId="18446"/>
    <cellStyle name="Normal 2 5 5 4 8" xfId="11063"/>
    <cellStyle name="Normal 2 5 5 4 9" xfId="4697"/>
    <cellStyle name="Normal 2 5 5 4_Degree data" xfId="1222"/>
    <cellStyle name="Normal 2 5 5 5" xfId="652"/>
    <cellStyle name="Normal 2 5 5 5 2" xfId="2382"/>
    <cellStyle name="Normal 2 5 5 5 2 2" xfId="15974"/>
    <cellStyle name="Normal 2 5 5 5 2 3" xfId="12271"/>
    <cellStyle name="Normal 2 5 5 5 2 4" xfId="6944"/>
    <cellStyle name="Normal 2 5 5 5 3" xfId="3649"/>
    <cellStyle name="Normal 2 5 5 5 3 2" xfId="17295"/>
    <cellStyle name="Normal 2 5 5 5 3 3" xfId="13716"/>
    <cellStyle name="Normal 2 5 5 5 3 4" xfId="8459"/>
    <cellStyle name="Normal 2 5 5 5 4" xfId="6060"/>
    <cellStyle name="Normal 2 5 5 5 4 2" xfId="15144"/>
    <cellStyle name="Normal 2 5 5 5 5" xfId="9913"/>
    <cellStyle name="Normal 2 5 5 5 5 2" xfId="18740"/>
    <cellStyle name="Normal 2 5 5 5 6" xfId="11357"/>
    <cellStyle name="Normal 2 5 5 5 7" xfId="4538"/>
    <cellStyle name="Normal 2 5 5 6" xfId="1010"/>
    <cellStyle name="Normal 2 5 5 6 2" xfId="2730"/>
    <cellStyle name="Normal 2 5 5 6 2 2" xfId="16270"/>
    <cellStyle name="Normal 2 5 5 6 2 3" xfId="12692"/>
    <cellStyle name="Normal 2 5 5 6 2 4" xfId="7402"/>
    <cellStyle name="Normal 2 5 5 6 3" xfId="3998"/>
    <cellStyle name="Normal 2 5 5 6 3 2" xfId="17643"/>
    <cellStyle name="Normal 2 5 5 6 3 3" xfId="14064"/>
    <cellStyle name="Normal 2 5 5 6 3 4" xfId="8807"/>
    <cellStyle name="Normal 2 5 5 6 4" xfId="6518"/>
    <cellStyle name="Normal 2 5 5 6 4 2" xfId="15602"/>
    <cellStyle name="Normal 2 5 5 6 5" xfId="10261"/>
    <cellStyle name="Normal 2 5 5 6 5 2" xfId="19088"/>
    <cellStyle name="Normal 2 5 5 6 6" xfId="11707"/>
    <cellStyle name="Normal 2 5 5 6 7" xfId="4996"/>
    <cellStyle name="Normal 2 5 5 7" xfId="1361"/>
    <cellStyle name="Normal 2 5 5 7 2" xfId="2972"/>
    <cellStyle name="Normal 2 5 5 7 2 2" xfId="16521"/>
    <cellStyle name="Normal 2 5 5 7 2 3" xfId="12943"/>
    <cellStyle name="Normal 2 5 5 7 2 4" xfId="7653"/>
    <cellStyle name="Normal 2 5 5 7 3" xfId="4197"/>
    <cellStyle name="Normal 2 5 5 7 3 2" xfId="17885"/>
    <cellStyle name="Normal 2 5 5 7 3 3" xfId="14306"/>
    <cellStyle name="Normal 2 5 5 7 3 4" xfId="9049"/>
    <cellStyle name="Normal 2 5 5 7 4" xfId="5899"/>
    <cellStyle name="Normal 2 5 5 7 4 2" xfId="14985"/>
    <cellStyle name="Normal 2 5 5 7 5" xfId="10503"/>
    <cellStyle name="Normal 2 5 5 7 5 2" xfId="19330"/>
    <cellStyle name="Normal 2 5 5 7 6" xfId="11949"/>
    <cellStyle name="Normal 2 5 5 7 7" xfId="5247"/>
    <cellStyle name="Normal 2 5 5 8" xfId="1929"/>
    <cellStyle name="Normal 2 5 5 8 2" xfId="9460"/>
    <cellStyle name="Normal 2 5 5 8 2 2" xfId="18287"/>
    <cellStyle name="Normal 2 5 5 8 3" xfId="10904"/>
    <cellStyle name="Normal 2 5 5 8 4" xfId="6786"/>
    <cellStyle name="Normal 2 5 5 9" xfId="1853"/>
    <cellStyle name="Normal 2 5 5 9 2" xfId="16840"/>
    <cellStyle name="Normal 2 5 5 9 3" xfId="13261"/>
    <cellStyle name="Normal 2 5 5 9 4" xfId="8004"/>
    <cellStyle name="Normal 2 5 5_Degree data" xfId="1227"/>
    <cellStyle name="Normal 2 5 6" xfId="246"/>
    <cellStyle name="Normal 2 5 6 10" xfId="10997"/>
    <cellStyle name="Normal 2 5 6 11" xfId="4414"/>
    <cellStyle name="Normal 2 5 6 2" xfId="354"/>
    <cellStyle name="Normal 2 5 6 2 2" xfId="659"/>
    <cellStyle name="Normal 2 5 6 2 2 2" xfId="2389"/>
    <cellStyle name="Normal 2 5 6 2 2 2 2" xfId="16277"/>
    <cellStyle name="Normal 2 5 6 2 2 2 3" xfId="12699"/>
    <cellStyle name="Normal 2 5 6 2 2 2 4" xfId="7409"/>
    <cellStyle name="Normal 2 5 6 2 2 3" xfId="3656"/>
    <cellStyle name="Normal 2 5 6 2 2 3 2" xfId="17302"/>
    <cellStyle name="Normal 2 5 6 2 2 3 3" xfId="13723"/>
    <cellStyle name="Normal 2 5 6 2 2 3 4" xfId="8466"/>
    <cellStyle name="Normal 2 5 6 2 2 4" xfId="6525"/>
    <cellStyle name="Normal 2 5 6 2 2 4 2" xfId="15609"/>
    <cellStyle name="Normal 2 5 6 2 2 5" xfId="9920"/>
    <cellStyle name="Normal 2 5 6 2 2 5 2" xfId="18747"/>
    <cellStyle name="Normal 2 5 6 2 2 6" xfId="11364"/>
    <cellStyle name="Normal 2 5 6 2 2 7" xfId="5003"/>
    <cellStyle name="Normal 2 5 6 2 3" xfId="1017"/>
    <cellStyle name="Normal 2 5 6 2 3 2" xfId="2737"/>
    <cellStyle name="Normal 2 5 6 2 3 2 2" xfId="16714"/>
    <cellStyle name="Normal 2 5 6 2 3 2 3" xfId="13135"/>
    <cellStyle name="Normal 2 5 6 2 3 2 4" xfId="7846"/>
    <cellStyle name="Normal 2 5 6 2 3 3" xfId="4005"/>
    <cellStyle name="Normal 2 5 6 2 3 3 2" xfId="17650"/>
    <cellStyle name="Normal 2 5 6 2 3 3 3" xfId="14071"/>
    <cellStyle name="Normal 2 5 6 2 3 3 4" xfId="8814"/>
    <cellStyle name="Normal 2 5 6 2 3 4" xfId="6253"/>
    <cellStyle name="Normal 2 5 6 2 3 4 2" xfId="15337"/>
    <cellStyle name="Normal 2 5 6 2 3 5" xfId="10268"/>
    <cellStyle name="Normal 2 5 6 2 3 5 2" xfId="19095"/>
    <cellStyle name="Normal 2 5 6 2 3 6" xfId="11714"/>
    <cellStyle name="Normal 2 5 6 2 3 7" xfId="5440"/>
    <cellStyle name="Normal 2 5 6 2 4" xfId="1567"/>
    <cellStyle name="Normal 2 5 6 2 4 2" xfId="3165"/>
    <cellStyle name="Normal 2 5 6 2 4 2 2" xfId="18078"/>
    <cellStyle name="Normal 2 5 6 2 4 2 3" xfId="14499"/>
    <cellStyle name="Normal 2 5 6 2 4 2 4" xfId="9242"/>
    <cellStyle name="Normal 2 5 6 2 4 3" xfId="10696"/>
    <cellStyle name="Normal 2 5 6 2 4 3 2" xfId="19523"/>
    <cellStyle name="Normal 2 5 6 2 4 4" xfId="12142"/>
    <cellStyle name="Normal 2 5 6 2 4 5" xfId="7137"/>
    <cellStyle name="Normal 2 5 6 2 5" xfId="2122"/>
    <cellStyle name="Normal 2 5 6 2 5 2" xfId="17035"/>
    <cellStyle name="Normal 2 5 6 2 5 3" xfId="13456"/>
    <cellStyle name="Normal 2 5 6 2 5 4" xfId="8199"/>
    <cellStyle name="Normal 2 5 6 2 6" xfId="5760"/>
    <cellStyle name="Normal 2 5 6 2 6 2" xfId="14846"/>
    <cellStyle name="Normal 2 5 6 2 7" xfId="9653"/>
    <cellStyle name="Normal 2 5 6 2 7 2" xfId="18480"/>
    <cellStyle name="Normal 2 5 6 2 8" xfId="11097"/>
    <cellStyle name="Normal 2 5 6 2 9" xfId="4731"/>
    <cellStyle name="Normal 2 5 6 2_Degree data" xfId="1306"/>
    <cellStyle name="Normal 2 5 6 3" xfId="658"/>
    <cellStyle name="Normal 2 5 6 3 2" xfId="2388"/>
    <cellStyle name="Normal 2 5 6 3 2 2" xfId="16051"/>
    <cellStyle name="Normal 2 5 6 3 2 3" xfId="12390"/>
    <cellStyle name="Normal 2 5 6 3 2 4" xfId="7037"/>
    <cellStyle name="Normal 2 5 6 3 3" xfId="3655"/>
    <cellStyle name="Normal 2 5 6 3 3 2" xfId="17301"/>
    <cellStyle name="Normal 2 5 6 3 3 3" xfId="13722"/>
    <cellStyle name="Normal 2 5 6 3 3 4" xfId="8465"/>
    <cellStyle name="Normal 2 5 6 3 4" xfId="6153"/>
    <cellStyle name="Normal 2 5 6 3 4 2" xfId="15237"/>
    <cellStyle name="Normal 2 5 6 3 5" xfId="9919"/>
    <cellStyle name="Normal 2 5 6 3 5 2" xfId="18746"/>
    <cellStyle name="Normal 2 5 6 3 6" xfId="11363"/>
    <cellStyle name="Normal 2 5 6 3 7" xfId="4631"/>
    <cellStyle name="Normal 2 5 6 4" xfId="1016"/>
    <cellStyle name="Normal 2 5 6 4 2" xfId="2736"/>
    <cellStyle name="Normal 2 5 6 4 2 2" xfId="16276"/>
    <cellStyle name="Normal 2 5 6 4 2 3" xfId="12698"/>
    <cellStyle name="Normal 2 5 6 4 2 4" xfId="7408"/>
    <cellStyle name="Normal 2 5 6 4 3" xfId="4004"/>
    <cellStyle name="Normal 2 5 6 4 3 2" xfId="17649"/>
    <cellStyle name="Normal 2 5 6 4 3 3" xfId="14070"/>
    <cellStyle name="Normal 2 5 6 4 3 4" xfId="8813"/>
    <cellStyle name="Normal 2 5 6 4 4" xfId="6524"/>
    <cellStyle name="Normal 2 5 6 4 4 2" xfId="15608"/>
    <cellStyle name="Normal 2 5 6 4 5" xfId="10267"/>
    <cellStyle name="Normal 2 5 6 4 5 2" xfId="19094"/>
    <cellStyle name="Normal 2 5 6 4 6" xfId="11713"/>
    <cellStyle name="Normal 2 5 6 4 7" xfId="5002"/>
    <cellStyle name="Normal 2 5 6 5" xfId="1465"/>
    <cellStyle name="Normal 2 5 6 5 2" xfId="3065"/>
    <cellStyle name="Normal 2 5 6 5 2 2" xfId="16614"/>
    <cellStyle name="Normal 2 5 6 5 2 3" xfId="13035"/>
    <cellStyle name="Normal 2 5 6 5 2 4" xfId="7746"/>
    <cellStyle name="Normal 2 5 6 5 3" xfId="4273"/>
    <cellStyle name="Normal 2 5 6 5 3 2" xfId="17978"/>
    <cellStyle name="Normal 2 5 6 5 3 3" xfId="14399"/>
    <cellStyle name="Normal 2 5 6 5 3 4" xfId="9142"/>
    <cellStyle name="Normal 2 5 6 5 4" xfId="5934"/>
    <cellStyle name="Normal 2 5 6 5 4 2" xfId="15020"/>
    <cellStyle name="Normal 2 5 6 5 5" xfId="10596"/>
    <cellStyle name="Normal 2 5 6 5 5 2" xfId="19423"/>
    <cellStyle name="Normal 2 5 6 5 6" xfId="12042"/>
    <cellStyle name="Normal 2 5 6 5 7" xfId="5340"/>
    <cellStyle name="Normal 2 5 6 6" xfId="2022"/>
    <cellStyle name="Normal 2 5 6 6 2" xfId="15863"/>
    <cellStyle name="Normal 2 5 6 6 3" xfId="12279"/>
    <cellStyle name="Normal 2 5 6 6 4" xfId="6820"/>
    <cellStyle name="Normal 2 5 6 7" xfId="3435"/>
    <cellStyle name="Normal 2 5 6 7 2" xfId="16935"/>
    <cellStyle name="Normal 2 5 6 7 3" xfId="13356"/>
    <cellStyle name="Normal 2 5 6 7 4" xfId="8099"/>
    <cellStyle name="Normal 2 5 6 8" xfId="5660"/>
    <cellStyle name="Normal 2 5 6 8 2" xfId="14746"/>
    <cellStyle name="Normal 2 5 6 9" xfId="9553"/>
    <cellStyle name="Normal 2 5 6 9 2" xfId="18380"/>
    <cellStyle name="Normal 2 5 6_Degree data" xfId="1221"/>
    <cellStyle name="Normal 2 5 7" xfId="186"/>
    <cellStyle name="Normal 2 5 7 10" xfId="10940"/>
    <cellStyle name="Normal 2 5 7 11" xfId="4462"/>
    <cellStyle name="Normal 2 5 7 2" xfId="403"/>
    <cellStyle name="Normal 2 5 7 2 2" xfId="661"/>
    <cellStyle name="Normal 2 5 7 2 2 2" xfId="2391"/>
    <cellStyle name="Normal 2 5 7 2 2 2 2" xfId="16279"/>
    <cellStyle name="Normal 2 5 7 2 2 2 3" xfId="12701"/>
    <cellStyle name="Normal 2 5 7 2 2 2 4" xfId="7411"/>
    <cellStyle name="Normal 2 5 7 2 2 3" xfId="3658"/>
    <cellStyle name="Normal 2 5 7 2 2 3 2" xfId="17304"/>
    <cellStyle name="Normal 2 5 7 2 2 3 3" xfId="13725"/>
    <cellStyle name="Normal 2 5 7 2 2 3 4" xfId="8468"/>
    <cellStyle name="Normal 2 5 7 2 2 4" xfId="6527"/>
    <cellStyle name="Normal 2 5 7 2 2 4 2" xfId="15611"/>
    <cellStyle name="Normal 2 5 7 2 2 5" xfId="9922"/>
    <cellStyle name="Normal 2 5 7 2 2 5 2" xfId="18749"/>
    <cellStyle name="Normal 2 5 7 2 2 6" xfId="11366"/>
    <cellStyle name="Normal 2 5 7 2 2 7" xfId="5005"/>
    <cellStyle name="Normal 2 5 7 2 3" xfId="1019"/>
    <cellStyle name="Normal 2 5 7 2 3 2" xfId="2739"/>
    <cellStyle name="Normal 2 5 7 2 3 2 2" xfId="16762"/>
    <cellStyle name="Normal 2 5 7 2 3 2 3" xfId="13183"/>
    <cellStyle name="Normal 2 5 7 2 3 2 4" xfId="7894"/>
    <cellStyle name="Normal 2 5 7 2 3 3" xfId="4007"/>
    <cellStyle name="Normal 2 5 7 2 3 3 2" xfId="17652"/>
    <cellStyle name="Normal 2 5 7 2 3 3 3" xfId="14073"/>
    <cellStyle name="Normal 2 5 7 2 3 3 4" xfId="8816"/>
    <cellStyle name="Normal 2 5 7 2 3 4" xfId="6301"/>
    <cellStyle name="Normal 2 5 7 2 3 4 2" xfId="15385"/>
    <cellStyle name="Normal 2 5 7 2 3 5" xfId="10270"/>
    <cellStyle name="Normal 2 5 7 2 3 5 2" xfId="19097"/>
    <cellStyle name="Normal 2 5 7 2 3 6" xfId="11716"/>
    <cellStyle name="Normal 2 5 7 2 3 7" xfId="5488"/>
    <cellStyle name="Normal 2 5 7 2 4" xfId="1617"/>
    <cellStyle name="Normal 2 5 7 2 4 2" xfId="3213"/>
    <cellStyle name="Normal 2 5 7 2 4 2 2" xfId="18126"/>
    <cellStyle name="Normal 2 5 7 2 4 2 3" xfId="14547"/>
    <cellStyle name="Normal 2 5 7 2 4 2 4" xfId="9290"/>
    <cellStyle name="Normal 2 5 7 2 4 3" xfId="10744"/>
    <cellStyle name="Normal 2 5 7 2 4 3 2" xfId="19571"/>
    <cellStyle name="Normal 2 5 7 2 4 4" xfId="12190"/>
    <cellStyle name="Normal 2 5 7 2 4 5" xfId="7185"/>
    <cellStyle name="Normal 2 5 7 2 5" xfId="2170"/>
    <cellStyle name="Normal 2 5 7 2 5 2" xfId="17083"/>
    <cellStyle name="Normal 2 5 7 2 5 3" xfId="13504"/>
    <cellStyle name="Normal 2 5 7 2 5 4" xfId="8247"/>
    <cellStyle name="Normal 2 5 7 2 6" xfId="5808"/>
    <cellStyle name="Normal 2 5 7 2 6 2" xfId="14894"/>
    <cellStyle name="Normal 2 5 7 2 7" xfId="9701"/>
    <cellStyle name="Normal 2 5 7 2 7 2" xfId="18528"/>
    <cellStyle name="Normal 2 5 7 2 8" xfId="11145"/>
    <cellStyle name="Normal 2 5 7 2 9" xfId="4779"/>
    <cellStyle name="Normal 2 5 7 2_Degree data" xfId="1276"/>
    <cellStyle name="Normal 2 5 7 3" xfId="660"/>
    <cellStyle name="Normal 2 5 7 3 2" xfId="2390"/>
    <cellStyle name="Normal 2 5 7 3 2 2" xfId="15994"/>
    <cellStyle name="Normal 2 5 7 3 2 3" xfId="12284"/>
    <cellStyle name="Normal 2 5 7 3 2 4" xfId="6980"/>
    <cellStyle name="Normal 2 5 7 3 3" xfId="3657"/>
    <cellStyle name="Normal 2 5 7 3 3 2" xfId="17303"/>
    <cellStyle name="Normal 2 5 7 3 3 3" xfId="13724"/>
    <cellStyle name="Normal 2 5 7 3 3 4" xfId="8467"/>
    <cellStyle name="Normal 2 5 7 3 4" xfId="6096"/>
    <cellStyle name="Normal 2 5 7 3 4 2" xfId="15180"/>
    <cellStyle name="Normal 2 5 7 3 5" xfId="9921"/>
    <cellStyle name="Normal 2 5 7 3 5 2" xfId="18748"/>
    <cellStyle name="Normal 2 5 7 3 6" xfId="11365"/>
    <cellStyle name="Normal 2 5 7 3 7" xfId="4574"/>
    <cellStyle name="Normal 2 5 7 4" xfId="1018"/>
    <cellStyle name="Normal 2 5 7 4 2" xfId="2738"/>
    <cellStyle name="Normal 2 5 7 4 2 2" xfId="16278"/>
    <cellStyle name="Normal 2 5 7 4 2 3" xfId="12700"/>
    <cellStyle name="Normal 2 5 7 4 2 4" xfId="7410"/>
    <cellStyle name="Normal 2 5 7 4 3" xfId="4006"/>
    <cellStyle name="Normal 2 5 7 4 3 2" xfId="17651"/>
    <cellStyle name="Normal 2 5 7 4 3 3" xfId="14072"/>
    <cellStyle name="Normal 2 5 7 4 3 4" xfId="8815"/>
    <cellStyle name="Normal 2 5 7 4 4" xfId="6526"/>
    <cellStyle name="Normal 2 5 7 4 4 2" xfId="15610"/>
    <cellStyle name="Normal 2 5 7 4 5" xfId="10269"/>
    <cellStyle name="Normal 2 5 7 4 5 2" xfId="19096"/>
    <cellStyle name="Normal 2 5 7 4 6" xfId="11715"/>
    <cellStyle name="Normal 2 5 7 4 7" xfId="5004"/>
    <cellStyle name="Normal 2 5 7 5" xfId="1403"/>
    <cellStyle name="Normal 2 5 7 5 2" xfId="3008"/>
    <cellStyle name="Normal 2 5 7 5 2 2" xfId="16557"/>
    <cellStyle name="Normal 2 5 7 5 2 3" xfId="12978"/>
    <cellStyle name="Normal 2 5 7 5 2 4" xfId="7689"/>
    <cellStyle name="Normal 2 5 7 5 3" xfId="4216"/>
    <cellStyle name="Normal 2 5 7 5 3 2" xfId="17921"/>
    <cellStyle name="Normal 2 5 7 5 3 3" xfId="14342"/>
    <cellStyle name="Normal 2 5 7 5 3 4" xfId="9085"/>
    <cellStyle name="Normal 2 5 7 5 4" xfId="5982"/>
    <cellStyle name="Normal 2 5 7 5 4 2" xfId="15068"/>
    <cellStyle name="Normal 2 5 7 5 5" xfId="10539"/>
    <cellStyle name="Normal 2 5 7 5 5 2" xfId="19366"/>
    <cellStyle name="Normal 2 5 7 5 6" xfId="11985"/>
    <cellStyle name="Normal 2 5 7 5 7" xfId="5283"/>
    <cellStyle name="Normal 2 5 7 6" xfId="1965"/>
    <cellStyle name="Normal 2 5 7 6 2" xfId="15911"/>
    <cellStyle name="Normal 2 5 7 6 3" xfId="12423"/>
    <cellStyle name="Normal 2 5 7 6 4" xfId="6868"/>
    <cellStyle name="Normal 2 5 7 7" xfId="3379"/>
    <cellStyle name="Normal 2 5 7 7 2" xfId="16878"/>
    <cellStyle name="Normal 2 5 7 7 3" xfId="13299"/>
    <cellStyle name="Normal 2 5 7 7 4" xfId="8042"/>
    <cellStyle name="Normal 2 5 7 8" xfId="5603"/>
    <cellStyle name="Normal 2 5 7 8 2" xfId="14689"/>
    <cellStyle name="Normal 2 5 7 9" xfId="9496"/>
    <cellStyle name="Normal 2 5 7 9 2" xfId="18323"/>
    <cellStyle name="Normal 2 5 7_Degree data" xfId="1329"/>
    <cellStyle name="Normal 2 5 8" xfId="459"/>
    <cellStyle name="Normal 2 5 8 10" xfId="4518"/>
    <cellStyle name="Normal 2 5 8 2" xfId="662"/>
    <cellStyle name="Normal 2 5 8 2 2" xfId="2392"/>
    <cellStyle name="Normal 2 5 8 2 2 2" xfId="16110"/>
    <cellStyle name="Normal 2 5 8 2 2 3" xfId="12532"/>
    <cellStyle name="Normal 2 5 8 2 2 4" xfId="7241"/>
    <cellStyle name="Normal 2 5 8 2 3" xfId="3659"/>
    <cellStyle name="Normal 2 5 8 2 3 2" xfId="17305"/>
    <cellStyle name="Normal 2 5 8 2 3 3" xfId="13726"/>
    <cellStyle name="Normal 2 5 8 2 3 4" xfId="8469"/>
    <cellStyle name="Normal 2 5 8 2 4" xfId="6357"/>
    <cellStyle name="Normal 2 5 8 2 4 2" xfId="15441"/>
    <cellStyle name="Normal 2 5 8 2 5" xfId="9923"/>
    <cellStyle name="Normal 2 5 8 2 5 2" xfId="18750"/>
    <cellStyle name="Normal 2 5 8 2 6" xfId="11367"/>
    <cellStyle name="Normal 2 5 8 2 7" xfId="4835"/>
    <cellStyle name="Normal 2 5 8 3" xfId="1020"/>
    <cellStyle name="Normal 2 5 8 3 2" xfId="2740"/>
    <cellStyle name="Normal 2 5 8 3 2 2" xfId="16280"/>
    <cellStyle name="Normal 2 5 8 3 2 3" xfId="12702"/>
    <cellStyle name="Normal 2 5 8 3 2 4" xfId="7412"/>
    <cellStyle name="Normal 2 5 8 3 3" xfId="4008"/>
    <cellStyle name="Normal 2 5 8 3 3 2" xfId="17653"/>
    <cellStyle name="Normal 2 5 8 3 3 3" xfId="14074"/>
    <cellStyle name="Normal 2 5 8 3 3 4" xfId="8817"/>
    <cellStyle name="Normal 2 5 8 3 4" xfId="6528"/>
    <cellStyle name="Normal 2 5 8 3 4 2" xfId="15612"/>
    <cellStyle name="Normal 2 5 8 3 5" xfId="10271"/>
    <cellStyle name="Normal 2 5 8 3 5 2" xfId="19098"/>
    <cellStyle name="Normal 2 5 8 3 6" xfId="11717"/>
    <cellStyle name="Normal 2 5 8 3 7" xfId="5006"/>
    <cellStyle name="Normal 2 5 8 4" xfId="1673"/>
    <cellStyle name="Normal 2 5 8 4 2" xfId="3269"/>
    <cellStyle name="Normal 2 5 8 4 2 2" xfId="16818"/>
    <cellStyle name="Normal 2 5 8 4 2 3" xfId="13239"/>
    <cellStyle name="Normal 2 5 8 4 2 4" xfId="7950"/>
    <cellStyle name="Normal 2 5 8 4 3" xfId="4332"/>
    <cellStyle name="Normal 2 5 8 4 3 2" xfId="18182"/>
    <cellStyle name="Normal 2 5 8 4 3 3" xfId="14603"/>
    <cellStyle name="Normal 2 5 8 4 3 4" xfId="9346"/>
    <cellStyle name="Normal 2 5 8 4 4" xfId="6038"/>
    <cellStyle name="Normal 2 5 8 4 4 2" xfId="15124"/>
    <cellStyle name="Normal 2 5 8 4 5" xfId="10800"/>
    <cellStyle name="Normal 2 5 8 4 5 2" xfId="19627"/>
    <cellStyle name="Normal 2 5 8 4 6" xfId="12246"/>
    <cellStyle name="Normal 2 5 8 4 7" xfId="5544"/>
    <cellStyle name="Normal 2 5 8 5" xfId="2226"/>
    <cellStyle name="Normal 2 5 8 5 2" xfId="15967"/>
    <cellStyle name="Normal 2 5 8 5 3" xfId="12494"/>
    <cellStyle name="Normal 2 5 8 5 4" xfId="6924"/>
    <cellStyle name="Normal 2 5 8 6" xfId="3494"/>
    <cellStyle name="Normal 2 5 8 6 2" xfId="17139"/>
    <cellStyle name="Normal 2 5 8 6 3" xfId="13560"/>
    <cellStyle name="Normal 2 5 8 6 4" xfId="8303"/>
    <cellStyle name="Normal 2 5 8 7" xfId="5864"/>
    <cellStyle name="Normal 2 5 8 7 2" xfId="14950"/>
    <cellStyle name="Normal 2 5 8 8" xfId="9757"/>
    <cellStyle name="Normal 2 5 8 8 2" xfId="18584"/>
    <cellStyle name="Normal 2 5 8 9" xfId="11201"/>
    <cellStyle name="Normal 2 5 8_Degree data" xfId="1220"/>
    <cellStyle name="Normal 2 5 9" xfId="297"/>
    <cellStyle name="Normal 2 5 9 2" xfId="663"/>
    <cellStyle name="Normal 2 5 9 2 2" xfId="2393"/>
    <cellStyle name="Normal 2 5 9 2 2 2" xfId="16281"/>
    <cellStyle name="Normal 2 5 9 2 2 3" xfId="12703"/>
    <cellStyle name="Normal 2 5 9 2 2 4" xfId="7413"/>
    <cellStyle name="Normal 2 5 9 2 3" xfId="3660"/>
    <cellStyle name="Normal 2 5 9 2 3 2" xfId="17306"/>
    <cellStyle name="Normal 2 5 9 2 3 3" xfId="13727"/>
    <cellStyle name="Normal 2 5 9 2 3 4" xfId="8470"/>
    <cellStyle name="Normal 2 5 9 2 4" xfId="6529"/>
    <cellStyle name="Normal 2 5 9 2 4 2" xfId="15613"/>
    <cellStyle name="Normal 2 5 9 2 5" xfId="9924"/>
    <cellStyle name="Normal 2 5 9 2 5 2" xfId="18751"/>
    <cellStyle name="Normal 2 5 9 2 6" xfId="11368"/>
    <cellStyle name="Normal 2 5 9 2 7" xfId="5007"/>
    <cellStyle name="Normal 2 5 9 3" xfId="1021"/>
    <cellStyle name="Normal 2 5 9 3 2" xfId="2741"/>
    <cellStyle name="Normal 2 5 9 3 2 2" xfId="16657"/>
    <cellStyle name="Normal 2 5 9 3 2 3" xfId="13078"/>
    <cellStyle name="Normal 2 5 9 3 2 4" xfId="7789"/>
    <cellStyle name="Normal 2 5 9 3 3" xfId="4009"/>
    <cellStyle name="Normal 2 5 9 3 3 2" xfId="17654"/>
    <cellStyle name="Normal 2 5 9 3 3 3" xfId="14075"/>
    <cellStyle name="Normal 2 5 9 3 3 4" xfId="8818"/>
    <cellStyle name="Normal 2 5 9 3 4" xfId="6196"/>
    <cellStyle name="Normal 2 5 9 3 4 2" xfId="15280"/>
    <cellStyle name="Normal 2 5 9 3 5" xfId="10272"/>
    <cellStyle name="Normal 2 5 9 3 5 2" xfId="19099"/>
    <cellStyle name="Normal 2 5 9 3 6" xfId="11718"/>
    <cellStyle name="Normal 2 5 9 3 7" xfId="5383"/>
    <cellStyle name="Normal 2 5 9 4" xfId="1509"/>
    <cellStyle name="Normal 2 5 9 4 2" xfId="3108"/>
    <cellStyle name="Normal 2 5 9 4 2 2" xfId="18021"/>
    <cellStyle name="Normal 2 5 9 4 2 3" xfId="14442"/>
    <cellStyle name="Normal 2 5 9 4 2 4" xfId="9185"/>
    <cellStyle name="Normal 2 5 9 4 3" xfId="10639"/>
    <cellStyle name="Normal 2 5 9 4 3 2" xfId="19466"/>
    <cellStyle name="Normal 2 5 9 4 4" xfId="12085"/>
    <cellStyle name="Normal 2 5 9 4 5" xfId="7080"/>
    <cellStyle name="Normal 2 5 9 5" xfId="2065"/>
    <cellStyle name="Normal 2 5 9 5 2" xfId="16978"/>
    <cellStyle name="Normal 2 5 9 5 3" xfId="13399"/>
    <cellStyle name="Normal 2 5 9 5 4" xfId="8142"/>
    <cellStyle name="Normal 2 5 9 6" xfId="5703"/>
    <cellStyle name="Normal 2 5 9 6 2" xfId="14789"/>
    <cellStyle name="Normal 2 5 9 7" xfId="9596"/>
    <cellStyle name="Normal 2 5 9 7 2" xfId="18423"/>
    <cellStyle name="Normal 2 5 9 8" xfId="11040"/>
    <cellStyle name="Normal 2 5 9 9" xfId="4674"/>
    <cellStyle name="Normal 2 5 9_Degree data" xfId="1219"/>
    <cellStyle name="Normal 2 5_Degree data" xfId="1561"/>
    <cellStyle name="Normal 2 6" xfId="286"/>
    <cellStyle name="Normal 2 6 2" xfId="664"/>
    <cellStyle name="Normal 2 6 3" xfId="3316"/>
    <cellStyle name="Normal 2 6 4" xfId="501"/>
    <cellStyle name="Normal 2 6_Degree data" xfId="1218"/>
    <cellStyle name="Normal 2 7" xfId="3346"/>
    <cellStyle name="Normal 20" xfId="81"/>
    <cellStyle name="Normal 207" xfId="19678"/>
    <cellStyle name="Normal 208" xfId="19679"/>
    <cellStyle name="Normal 209" xfId="19680"/>
    <cellStyle name="Normal 21" xfId="82"/>
    <cellStyle name="Normal 210" xfId="19681"/>
    <cellStyle name="Normal 211" xfId="19682"/>
    <cellStyle name="Normal 212" xfId="19683"/>
    <cellStyle name="Normal 213" xfId="19684"/>
    <cellStyle name="Normal 22" xfId="83"/>
    <cellStyle name="Normal 23" xfId="84"/>
    <cellStyle name="Normal 24" xfId="114"/>
    <cellStyle name="Normal 25" xfId="85"/>
    <cellStyle name="Normal 26" xfId="86"/>
    <cellStyle name="Normal 27" xfId="58"/>
    <cellStyle name="Normal 28" xfId="59"/>
    <cellStyle name="Normal 29" xfId="60"/>
    <cellStyle name="Normal 3" xfId="32"/>
    <cellStyle name="Normal 3 10" xfId="19636"/>
    <cellStyle name="Normal 3 2" xfId="128"/>
    <cellStyle name="Normal 3 2 2" xfId="289"/>
    <cellStyle name="Normal 3 2 2 10" xfId="4522"/>
    <cellStyle name="Normal 3 2 2 2" xfId="665"/>
    <cellStyle name="Normal 3 2 2 2 2" xfId="2394"/>
    <cellStyle name="Normal 3 2 2 2 2 2" xfId="16114"/>
    <cellStyle name="Normal 3 2 2 2 2 3" xfId="12536"/>
    <cellStyle name="Normal 3 2 2 2 2 4" xfId="7245"/>
    <cellStyle name="Normal 3 2 2 2 3" xfId="3661"/>
    <cellStyle name="Normal 3 2 2 2 3 2" xfId="17307"/>
    <cellStyle name="Normal 3 2 2 2 3 3" xfId="13728"/>
    <cellStyle name="Normal 3 2 2 2 3 4" xfId="8471"/>
    <cellStyle name="Normal 3 2 2 2 4" xfId="6361"/>
    <cellStyle name="Normal 3 2 2 2 4 2" xfId="15445"/>
    <cellStyle name="Normal 3 2 2 2 5" xfId="9925"/>
    <cellStyle name="Normal 3 2 2 2 5 2" xfId="18752"/>
    <cellStyle name="Normal 3 2 2 2 6" xfId="11370"/>
    <cellStyle name="Normal 3 2 2 2 7" xfId="4839"/>
    <cellStyle name="Normal 3 2 2 3" xfId="1022"/>
    <cellStyle name="Normal 3 2 2 3 2" xfId="2742"/>
    <cellStyle name="Normal 3 2 2 3 2 2" xfId="16282"/>
    <cellStyle name="Normal 3 2 2 3 2 3" xfId="12704"/>
    <cellStyle name="Normal 3 2 2 3 2 4" xfId="7414"/>
    <cellStyle name="Normal 3 2 2 3 3" xfId="4010"/>
    <cellStyle name="Normal 3 2 2 3 3 2" xfId="17655"/>
    <cellStyle name="Normal 3 2 2 3 3 3" xfId="14076"/>
    <cellStyle name="Normal 3 2 2 3 3 4" xfId="8819"/>
    <cellStyle name="Normal 3 2 2 3 4" xfId="6530"/>
    <cellStyle name="Normal 3 2 2 3 4 2" xfId="15614"/>
    <cellStyle name="Normal 3 2 2 3 5" xfId="10273"/>
    <cellStyle name="Normal 3 2 2 3 5 2" xfId="19100"/>
    <cellStyle name="Normal 3 2 2 3 6" xfId="11719"/>
    <cellStyle name="Normal 3 2 2 3 7" xfId="5008"/>
    <cellStyle name="Normal 3 2 2 4" xfId="1680"/>
    <cellStyle name="Normal 3 2 2 4 2" xfId="3273"/>
    <cellStyle name="Normal 3 2 2 4 2 2" xfId="16822"/>
    <cellStyle name="Normal 3 2 2 4 2 3" xfId="13243"/>
    <cellStyle name="Normal 3 2 2 4 2 4" xfId="7954"/>
    <cellStyle name="Normal 3 2 2 4 3" xfId="4336"/>
    <cellStyle name="Normal 3 2 2 4 3 2" xfId="18186"/>
    <cellStyle name="Normal 3 2 2 4 3 3" xfId="14607"/>
    <cellStyle name="Normal 3 2 2 4 3 4" xfId="9350"/>
    <cellStyle name="Normal 3 2 2 4 4" xfId="6042"/>
    <cellStyle name="Normal 3 2 2 4 4 2" xfId="15128"/>
    <cellStyle name="Normal 3 2 2 4 5" xfId="10804"/>
    <cellStyle name="Normal 3 2 2 4 5 2" xfId="19631"/>
    <cellStyle name="Normal 3 2 2 4 6" xfId="12250"/>
    <cellStyle name="Normal 3 2 2 4 7" xfId="5548"/>
    <cellStyle name="Normal 3 2 2 5" xfId="2230"/>
    <cellStyle name="Normal 3 2 2 5 2" xfId="15971"/>
    <cellStyle name="Normal 3 2 2 5 3" xfId="12277"/>
    <cellStyle name="Normal 3 2 2 5 4" xfId="6928"/>
    <cellStyle name="Normal 3 2 2 6" xfId="3498"/>
    <cellStyle name="Normal 3 2 2 6 2" xfId="17143"/>
    <cellStyle name="Normal 3 2 2 6 3" xfId="13564"/>
    <cellStyle name="Normal 3 2 2 6 4" xfId="8307"/>
    <cellStyle name="Normal 3 2 2 7" xfId="5868"/>
    <cellStyle name="Normal 3 2 2 7 2" xfId="14954"/>
    <cellStyle name="Normal 3 2 2 8" xfId="9761"/>
    <cellStyle name="Normal 3 2 2 8 2" xfId="18588"/>
    <cellStyle name="Normal 3 2 2 9" xfId="11205"/>
    <cellStyle name="Normal 3 2 2_Degree data" xfId="1246"/>
    <cellStyle name="Normal 3 3" xfId="105"/>
    <cellStyle name="Normal 3 4" xfId="3319"/>
    <cellStyle name="Normal 3 5" xfId="3365"/>
    <cellStyle name="Normal 3 6" xfId="3315"/>
    <cellStyle name="Normal 3 7" xfId="3327"/>
    <cellStyle name="Normal 3 8" xfId="3354"/>
    <cellStyle name="Normal 3 9" xfId="4351"/>
    <cellStyle name="Normal 30" xfId="61"/>
    <cellStyle name="Normal 31" xfId="62"/>
    <cellStyle name="Normal 32" xfId="63"/>
    <cellStyle name="Normal 33" xfId="64"/>
    <cellStyle name="Normal 34" xfId="65"/>
    <cellStyle name="Normal 35" xfId="66"/>
    <cellStyle name="Normal 36" xfId="67"/>
    <cellStyle name="Normal 37" xfId="68"/>
    <cellStyle name="Normal 38" xfId="115"/>
    <cellStyle name="Normal 39" xfId="69"/>
    <cellStyle name="Normal 4" xfId="19"/>
    <cellStyle name="Normal 4 2" xfId="133"/>
    <cellStyle name="Normal 4 2 2" xfId="288"/>
    <cellStyle name="Normal 4 3" xfId="36"/>
    <cellStyle name="Normal 4 4" xfId="284"/>
    <cellStyle name="Normal 4 4 10" xfId="4519"/>
    <cellStyle name="Normal 4 4 2" xfId="666"/>
    <cellStyle name="Normal 4 4 2 2" xfId="2395"/>
    <cellStyle name="Normal 4 4 2 2 2" xfId="16111"/>
    <cellStyle name="Normal 4 4 2 2 3" xfId="12533"/>
    <cellStyle name="Normal 4 4 2 2 4" xfId="7242"/>
    <cellStyle name="Normal 4 4 2 3" xfId="3662"/>
    <cellStyle name="Normal 4 4 2 3 2" xfId="17308"/>
    <cellStyle name="Normal 4 4 2 3 3" xfId="13729"/>
    <cellStyle name="Normal 4 4 2 3 4" xfId="8472"/>
    <cellStyle name="Normal 4 4 2 4" xfId="6358"/>
    <cellStyle name="Normal 4 4 2 4 2" xfId="15442"/>
    <cellStyle name="Normal 4 4 2 5" xfId="9926"/>
    <cellStyle name="Normal 4 4 2 5 2" xfId="18753"/>
    <cellStyle name="Normal 4 4 2 6" xfId="11371"/>
    <cellStyle name="Normal 4 4 2 7" xfId="4836"/>
    <cellStyle name="Normal 4 4 3" xfId="1023"/>
    <cellStyle name="Normal 4 4 3 2" xfId="2743"/>
    <cellStyle name="Normal 4 4 3 2 2" xfId="16283"/>
    <cellStyle name="Normal 4 4 3 2 3" xfId="12705"/>
    <cellStyle name="Normal 4 4 3 2 4" xfId="7415"/>
    <cellStyle name="Normal 4 4 3 3" xfId="4011"/>
    <cellStyle name="Normal 4 4 3 3 2" xfId="17656"/>
    <cellStyle name="Normal 4 4 3 3 3" xfId="14077"/>
    <cellStyle name="Normal 4 4 3 3 4" xfId="8820"/>
    <cellStyle name="Normal 4 4 3 4" xfId="6531"/>
    <cellStyle name="Normal 4 4 3 4 2" xfId="15615"/>
    <cellStyle name="Normal 4 4 3 5" xfId="10274"/>
    <cellStyle name="Normal 4 4 3 5 2" xfId="19101"/>
    <cellStyle name="Normal 4 4 3 6" xfId="11720"/>
    <cellStyle name="Normal 4 4 3 7" xfId="5009"/>
    <cellStyle name="Normal 4 4 4" xfId="1674"/>
    <cellStyle name="Normal 4 4 4 2" xfId="3270"/>
    <cellStyle name="Normal 4 4 4 2 2" xfId="16819"/>
    <cellStyle name="Normal 4 4 4 2 3" xfId="13240"/>
    <cellStyle name="Normal 4 4 4 2 4" xfId="7951"/>
    <cellStyle name="Normal 4 4 4 3" xfId="4333"/>
    <cellStyle name="Normal 4 4 4 3 2" xfId="18183"/>
    <cellStyle name="Normal 4 4 4 3 3" xfId="14604"/>
    <cellStyle name="Normal 4 4 4 3 4" xfId="9347"/>
    <cellStyle name="Normal 4 4 4 4" xfId="6039"/>
    <cellStyle name="Normal 4 4 4 4 2" xfId="15125"/>
    <cellStyle name="Normal 4 4 4 5" xfId="10801"/>
    <cellStyle name="Normal 4 4 4 5 2" xfId="19628"/>
    <cellStyle name="Normal 4 4 4 6" xfId="12247"/>
    <cellStyle name="Normal 4 4 4 7" xfId="5545"/>
    <cellStyle name="Normal 4 4 5" xfId="2227"/>
    <cellStyle name="Normal 4 4 5 2" xfId="15968"/>
    <cellStyle name="Normal 4 4 5 3" xfId="12410"/>
    <cellStyle name="Normal 4 4 5 4" xfId="6925"/>
    <cellStyle name="Normal 4 4 6" xfId="3495"/>
    <cellStyle name="Normal 4 4 6 2" xfId="17140"/>
    <cellStyle name="Normal 4 4 6 3" xfId="13561"/>
    <cellStyle name="Normal 4 4 6 4" xfId="8304"/>
    <cellStyle name="Normal 4 4 7" xfId="5865"/>
    <cellStyle name="Normal 4 4 7 2" xfId="14951"/>
    <cellStyle name="Normal 4 4 8" xfId="9758"/>
    <cellStyle name="Normal 4 4 8 2" xfId="18585"/>
    <cellStyle name="Normal 4 4 9" xfId="11202"/>
    <cellStyle name="Normal 4 4_Degree data" xfId="1245"/>
    <cellStyle name="Normal 40" xfId="70"/>
    <cellStyle name="Normal 41" xfId="71"/>
    <cellStyle name="Normal 42" xfId="72"/>
    <cellStyle name="Normal 43" xfId="73"/>
    <cellStyle name="Normal 44" xfId="74"/>
    <cellStyle name="Normal 45" xfId="75"/>
    <cellStyle name="Normal 46" xfId="76"/>
    <cellStyle name="Normal 47" xfId="77"/>
    <cellStyle name="Normal 48" xfId="78"/>
    <cellStyle name="Normal 49" xfId="87"/>
    <cellStyle name="Normal 5" xfId="91"/>
    <cellStyle name="Normal 5 10" xfId="1024"/>
    <cellStyle name="Normal 5 10 2" xfId="2744"/>
    <cellStyle name="Normal 5 10 2 2" xfId="16479"/>
    <cellStyle name="Normal 5 10 2 3" xfId="12901"/>
    <cellStyle name="Normal 5 10 2 4" xfId="7611"/>
    <cellStyle name="Normal 5 10 3" xfId="4012"/>
    <cellStyle name="Normal 5 10 3 2" xfId="17657"/>
    <cellStyle name="Normal 5 10 3 3" xfId="14078"/>
    <cellStyle name="Normal 5 10 3 4" xfId="8821"/>
    <cellStyle name="Normal 5 10 4" xfId="6731"/>
    <cellStyle name="Normal 5 10 4 2" xfId="15814"/>
    <cellStyle name="Normal 5 10 5" xfId="10275"/>
    <cellStyle name="Normal 5 10 5 2" xfId="19102"/>
    <cellStyle name="Normal 5 10 6" xfId="11721"/>
    <cellStyle name="Normal 5 10 7" xfId="5205"/>
    <cellStyle name="Normal 5 11" xfId="1263"/>
    <cellStyle name="Normal 5 11 2" xfId="2930"/>
    <cellStyle name="Normal 5 11 2 2" xfId="17843"/>
    <cellStyle name="Normal 5 11 2 3" xfId="14264"/>
    <cellStyle name="Normal 5 11 2 4" xfId="9007"/>
    <cellStyle name="Normal 5 11 3" xfId="10461"/>
    <cellStyle name="Normal 5 11 3 2" xfId="19288"/>
    <cellStyle name="Normal 5 11 4" xfId="11907"/>
    <cellStyle name="Normal 5 11 5" xfId="7957"/>
    <cellStyle name="Normal 5 12" xfId="1887"/>
    <cellStyle name="Normal 5 12 2" xfId="9418"/>
    <cellStyle name="Normal 5 12 2 2" xfId="18245"/>
    <cellStyle name="Normal 5 12 3" xfId="10862"/>
    <cellStyle name="Normal 5 12 4" xfId="7961"/>
    <cellStyle name="Normal 5 13" xfId="1838"/>
    <cellStyle name="Normal 5 13 2" xfId="14643"/>
    <cellStyle name="Normal 5 13 3" xfId="5557"/>
    <cellStyle name="Normal 5 14" xfId="9374"/>
    <cellStyle name="Normal 5 14 2" xfId="18201"/>
    <cellStyle name="Normal 5 15" xfId="10812"/>
    <cellStyle name="Normal 5 2" xfId="106"/>
    <cellStyle name="Normal 5 2 10" xfId="9378"/>
    <cellStyle name="Normal 5 2 10 2" xfId="18205"/>
    <cellStyle name="Normal 5 2 11" xfId="10817"/>
    <cellStyle name="Normal 5 2 12" xfId="4363"/>
    <cellStyle name="Normal 5 2 2" xfId="136"/>
    <cellStyle name="Normal 5 2 2 10" xfId="9409"/>
    <cellStyle name="Normal 5 2 2 10 2" xfId="18236"/>
    <cellStyle name="Normal 5 2 2 11" xfId="10853"/>
    <cellStyle name="Normal 5 2 2 2" xfId="153"/>
    <cellStyle name="Normal 5 2 2 2 10" xfId="9367"/>
    <cellStyle name="Normal 5 2 2 2 11" xfId="14623"/>
    <cellStyle name="Normal 5 2 2 2 12" xfId="4402"/>
    <cellStyle name="Normal 5 2 2 2 2" xfId="234"/>
    <cellStyle name="Normal 5 2 2 2 2 10" xfId="10985"/>
    <cellStyle name="Normal 5 2 2 2 2 11" xfId="4506"/>
    <cellStyle name="Normal 5 2 2 2 2 2" xfId="447"/>
    <cellStyle name="Normal 5 2 2 2 2 2 2" xfId="670"/>
    <cellStyle name="Normal 5 2 2 2 2 2 2 2" xfId="2399"/>
    <cellStyle name="Normal 5 2 2 2 2 2 2 2 2" xfId="16287"/>
    <cellStyle name="Normal 5 2 2 2 2 2 2 2 3" xfId="12709"/>
    <cellStyle name="Normal 5 2 2 2 2 2 2 2 4" xfId="7419"/>
    <cellStyle name="Normal 5 2 2 2 2 2 2 3" xfId="3666"/>
    <cellStyle name="Normal 5 2 2 2 2 2 2 3 2" xfId="17312"/>
    <cellStyle name="Normal 5 2 2 2 2 2 2 3 3" xfId="13733"/>
    <cellStyle name="Normal 5 2 2 2 2 2 2 3 4" xfId="8476"/>
    <cellStyle name="Normal 5 2 2 2 2 2 2 4" xfId="6535"/>
    <cellStyle name="Normal 5 2 2 2 2 2 2 4 2" xfId="15619"/>
    <cellStyle name="Normal 5 2 2 2 2 2 2 5" xfId="9930"/>
    <cellStyle name="Normal 5 2 2 2 2 2 2 5 2" xfId="18757"/>
    <cellStyle name="Normal 5 2 2 2 2 2 2 6" xfId="11375"/>
    <cellStyle name="Normal 5 2 2 2 2 2 2 7" xfId="5013"/>
    <cellStyle name="Normal 5 2 2 2 2 2 3" xfId="1027"/>
    <cellStyle name="Normal 5 2 2 2 2 2 3 2" xfId="2747"/>
    <cellStyle name="Normal 5 2 2 2 2 2 3 2 2" xfId="16806"/>
    <cellStyle name="Normal 5 2 2 2 2 2 3 2 3" xfId="13227"/>
    <cellStyle name="Normal 5 2 2 2 2 2 3 2 4" xfId="7938"/>
    <cellStyle name="Normal 5 2 2 2 2 2 3 3" xfId="4015"/>
    <cellStyle name="Normal 5 2 2 2 2 2 3 3 2" xfId="17660"/>
    <cellStyle name="Normal 5 2 2 2 2 2 3 3 3" xfId="14081"/>
    <cellStyle name="Normal 5 2 2 2 2 2 3 3 4" xfId="8824"/>
    <cellStyle name="Normal 5 2 2 2 2 2 3 4" xfId="6345"/>
    <cellStyle name="Normal 5 2 2 2 2 2 3 4 2" xfId="15429"/>
    <cellStyle name="Normal 5 2 2 2 2 2 3 5" xfId="10278"/>
    <cellStyle name="Normal 5 2 2 2 2 2 3 5 2" xfId="19105"/>
    <cellStyle name="Normal 5 2 2 2 2 2 3 6" xfId="11724"/>
    <cellStyle name="Normal 5 2 2 2 2 2 3 7" xfId="5532"/>
    <cellStyle name="Normal 5 2 2 2 2 2 4" xfId="1661"/>
    <cellStyle name="Normal 5 2 2 2 2 2 4 2" xfId="3257"/>
    <cellStyle name="Normal 5 2 2 2 2 2 4 2 2" xfId="18170"/>
    <cellStyle name="Normal 5 2 2 2 2 2 4 2 3" xfId="14591"/>
    <cellStyle name="Normal 5 2 2 2 2 2 4 2 4" xfId="9334"/>
    <cellStyle name="Normal 5 2 2 2 2 2 4 3" xfId="10788"/>
    <cellStyle name="Normal 5 2 2 2 2 2 4 3 2" xfId="19615"/>
    <cellStyle name="Normal 5 2 2 2 2 2 4 4" xfId="12234"/>
    <cellStyle name="Normal 5 2 2 2 2 2 4 5" xfId="7229"/>
    <cellStyle name="Normal 5 2 2 2 2 2 5" xfId="2214"/>
    <cellStyle name="Normal 5 2 2 2 2 2 5 2" xfId="17127"/>
    <cellStyle name="Normal 5 2 2 2 2 2 5 3" xfId="13548"/>
    <cellStyle name="Normal 5 2 2 2 2 2 5 4" xfId="8291"/>
    <cellStyle name="Normal 5 2 2 2 2 2 6" xfId="5852"/>
    <cellStyle name="Normal 5 2 2 2 2 2 6 2" xfId="14938"/>
    <cellStyle name="Normal 5 2 2 2 2 2 7" xfId="9745"/>
    <cellStyle name="Normal 5 2 2 2 2 2 7 2" xfId="18572"/>
    <cellStyle name="Normal 5 2 2 2 2 2 8" xfId="11189"/>
    <cellStyle name="Normal 5 2 2 2 2 2 9" xfId="4823"/>
    <cellStyle name="Normal 5 2 2 2 2 2_Degree data" xfId="1242"/>
    <cellStyle name="Normal 5 2 2 2 2 3" xfId="669"/>
    <cellStyle name="Normal 5 2 2 2 2 3 2" xfId="2398"/>
    <cellStyle name="Normal 5 2 2 2 2 3 2 2" xfId="16039"/>
    <cellStyle name="Normal 5 2 2 2 2 3 2 3" xfId="12491"/>
    <cellStyle name="Normal 5 2 2 2 2 3 2 4" xfId="7025"/>
    <cellStyle name="Normal 5 2 2 2 2 3 3" xfId="3665"/>
    <cellStyle name="Normal 5 2 2 2 2 3 3 2" xfId="17311"/>
    <cellStyle name="Normal 5 2 2 2 2 3 3 3" xfId="13732"/>
    <cellStyle name="Normal 5 2 2 2 2 3 3 4" xfId="8475"/>
    <cellStyle name="Normal 5 2 2 2 2 3 4" xfId="6141"/>
    <cellStyle name="Normal 5 2 2 2 2 3 4 2" xfId="15225"/>
    <cellStyle name="Normal 5 2 2 2 2 3 5" xfId="9929"/>
    <cellStyle name="Normal 5 2 2 2 2 3 5 2" xfId="18756"/>
    <cellStyle name="Normal 5 2 2 2 2 3 6" xfId="11374"/>
    <cellStyle name="Normal 5 2 2 2 2 3 7" xfId="4619"/>
    <cellStyle name="Normal 5 2 2 2 2 4" xfId="1026"/>
    <cellStyle name="Normal 5 2 2 2 2 4 2" xfId="2746"/>
    <cellStyle name="Normal 5 2 2 2 2 4 2 2" xfId="16286"/>
    <cellStyle name="Normal 5 2 2 2 2 4 2 3" xfId="12708"/>
    <cellStyle name="Normal 5 2 2 2 2 4 2 4" xfId="7418"/>
    <cellStyle name="Normal 5 2 2 2 2 4 3" xfId="4014"/>
    <cellStyle name="Normal 5 2 2 2 2 4 3 2" xfId="17659"/>
    <cellStyle name="Normal 5 2 2 2 2 4 3 3" xfId="14080"/>
    <cellStyle name="Normal 5 2 2 2 2 4 3 4" xfId="8823"/>
    <cellStyle name="Normal 5 2 2 2 2 4 4" xfId="6534"/>
    <cellStyle name="Normal 5 2 2 2 2 4 4 2" xfId="15618"/>
    <cellStyle name="Normal 5 2 2 2 2 4 5" xfId="10277"/>
    <cellStyle name="Normal 5 2 2 2 2 4 5 2" xfId="19104"/>
    <cellStyle name="Normal 5 2 2 2 2 4 6" xfId="11723"/>
    <cellStyle name="Normal 5 2 2 2 2 4 7" xfId="5012"/>
    <cellStyle name="Normal 5 2 2 2 2 5" xfId="1452"/>
    <cellStyle name="Normal 5 2 2 2 2 5 2" xfId="3053"/>
    <cellStyle name="Normal 5 2 2 2 2 5 2 2" xfId="16602"/>
    <cellStyle name="Normal 5 2 2 2 2 5 2 3" xfId="13023"/>
    <cellStyle name="Normal 5 2 2 2 2 5 2 4" xfId="7734"/>
    <cellStyle name="Normal 5 2 2 2 2 5 3" xfId="4261"/>
    <cellStyle name="Normal 5 2 2 2 2 5 3 2" xfId="17966"/>
    <cellStyle name="Normal 5 2 2 2 2 5 3 3" xfId="14387"/>
    <cellStyle name="Normal 5 2 2 2 2 5 3 4" xfId="9130"/>
    <cellStyle name="Normal 5 2 2 2 2 5 4" xfId="6026"/>
    <cellStyle name="Normal 5 2 2 2 2 5 4 2" xfId="15112"/>
    <cellStyle name="Normal 5 2 2 2 2 5 5" xfId="10584"/>
    <cellStyle name="Normal 5 2 2 2 2 5 5 2" xfId="19411"/>
    <cellStyle name="Normal 5 2 2 2 2 5 6" xfId="12030"/>
    <cellStyle name="Normal 5 2 2 2 2 5 7" xfId="5328"/>
    <cellStyle name="Normal 5 2 2 2 2 6" xfId="2010"/>
    <cellStyle name="Normal 5 2 2 2 2 6 2" xfId="15955"/>
    <cellStyle name="Normal 5 2 2 2 2 6 3" xfId="12316"/>
    <cellStyle name="Normal 5 2 2 2 2 6 4" xfId="6912"/>
    <cellStyle name="Normal 5 2 2 2 2 7" xfId="3423"/>
    <cellStyle name="Normal 5 2 2 2 2 7 2" xfId="16923"/>
    <cellStyle name="Normal 5 2 2 2 2 7 3" xfId="13344"/>
    <cellStyle name="Normal 5 2 2 2 2 7 4" xfId="8087"/>
    <cellStyle name="Normal 5 2 2 2 2 8" xfId="5648"/>
    <cellStyle name="Normal 5 2 2 2 2 8 2" xfId="14734"/>
    <cellStyle name="Normal 5 2 2 2 2 9" xfId="9541"/>
    <cellStyle name="Normal 5 2 2 2 2 9 2" xfId="18368"/>
    <cellStyle name="Normal 5 2 2 2 2_Degree data" xfId="1243"/>
    <cellStyle name="Normal 5 2 2 2 3" xfId="393"/>
    <cellStyle name="Normal 5 2 2 2 4" xfId="342"/>
    <cellStyle name="Normal 5 2 2 2 4 2" xfId="671"/>
    <cellStyle name="Normal 5 2 2 2 4 2 2" xfId="2400"/>
    <cellStyle name="Normal 5 2 2 2 4 2 2 2" xfId="16288"/>
    <cellStyle name="Normal 5 2 2 2 4 2 2 3" xfId="12710"/>
    <cellStyle name="Normal 5 2 2 2 4 2 2 4" xfId="7420"/>
    <cellStyle name="Normal 5 2 2 2 4 2 3" xfId="3667"/>
    <cellStyle name="Normal 5 2 2 2 4 2 3 2" xfId="17313"/>
    <cellStyle name="Normal 5 2 2 2 4 2 3 3" xfId="13734"/>
    <cellStyle name="Normal 5 2 2 2 4 2 3 4" xfId="8477"/>
    <cellStyle name="Normal 5 2 2 2 4 2 4" xfId="6536"/>
    <cellStyle name="Normal 5 2 2 2 4 2 4 2" xfId="15620"/>
    <cellStyle name="Normal 5 2 2 2 4 2 5" xfId="9931"/>
    <cellStyle name="Normal 5 2 2 2 4 2 5 2" xfId="18758"/>
    <cellStyle name="Normal 5 2 2 2 4 2 6" xfId="11376"/>
    <cellStyle name="Normal 5 2 2 2 4 2 7" xfId="5014"/>
    <cellStyle name="Normal 5 2 2 2 4 3" xfId="1028"/>
    <cellStyle name="Normal 5 2 2 2 4 3 2" xfId="2748"/>
    <cellStyle name="Normal 5 2 2 2 4 3 2 2" xfId="16702"/>
    <cellStyle name="Normal 5 2 2 2 4 3 2 3" xfId="13123"/>
    <cellStyle name="Normal 5 2 2 2 4 3 2 4" xfId="7834"/>
    <cellStyle name="Normal 5 2 2 2 4 3 3" xfId="4016"/>
    <cellStyle name="Normal 5 2 2 2 4 3 3 2" xfId="17661"/>
    <cellStyle name="Normal 5 2 2 2 4 3 3 3" xfId="14082"/>
    <cellStyle name="Normal 5 2 2 2 4 3 3 4" xfId="8825"/>
    <cellStyle name="Normal 5 2 2 2 4 3 4" xfId="6241"/>
    <cellStyle name="Normal 5 2 2 2 4 3 4 2" xfId="15325"/>
    <cellStyle name="Normal 5 2 2 2 4 3 5" xfId="10279"/>
    <cellStyle name="Normal 5 2 2 2 4 3 5 2" xfId="19106"/>
    <cellStyle name="Normal 5 2 2 2 4 3 6" xfId="11725"/>
    <cellStyle name="Normal 5 2 2 2 4 3 7" xfId="5428"/>
    <cellStyle name="Normal 5 2 2 2 4 4" xfId="1554"/>
    <cellStyle name="Normal 5 2 2 2 4 4 2" xfId="3153"/>
    <cellStyle name="Normal 5 2 2 2 4 4 2 2" xfId="18066"/>
    <cellStyle name="Normal 5 2 2 2 4 4 2 3" xfId="14487"/>
    <cellStyle name="Normal 5 2 2 2 4 4 2 4" xfId="9230"/>
    <cellStyle name="Normal 5 2 2 2 4 4 3" xfId="10684"/>
    <cellStyle name="Normal 5 2 2 2 4 4 3 2" xfId="19511"/>
    <cellStyle name="Normal 5 2 2 2 4 4 4" xfId="12130"/>
    <cellStyle name="Normal 5 2 2 2 4 4 5" xfId="7125"/>
    <cellStyle name="Normal 5 2 2 2 4 5" xfId="2110"/>
    <cellStyle name="Normal 5 2 2 2 4 5 2" xfId="17023"/>
    <cellStyle name="Normal 5 2 2 2 4 5 3" xfId="13444"/>
    <cellStyle name="Normal 5 2 2 2 4 5 4" xfId="8187"/>
    <cellStyle name="Normal 5 2 2 2 4 6" xfId="5748"/>
    <cellStyle name="Normal 5 2 2 2 4 6 2" xfId="14834"/>
    <cellStyle name="Normal 5 2 2 2 4 7" xfId="9641"/>
    <cellStyle name="Normal 5 2 2 2 4 7 2" xfId="18468"/>
    <cellStyle name="Normal 5 2 2 2 4 8" xfId="11085"/>
    <cellStyle name="Normal 5 2 2 2 4 9" xfId="4719"/>
    <cellStyle name="Normal 5 2 2 2 4_Degree data" xfId="1241"/>
    <cellStyle name="Normal 5 2 2 2 5" xfId="1835"/>
    <cellStyle name="Normal 5 2 2 2 5 2" xfId="15008"/>
    <cellStyle name="Normal 5 2 2 2 5 3" xfId="12470"/>
    <cellStyle name="Normal 5 2 2 2 5 4" xfId="5922"/>
    <cellStyle name="Normal 5 2 2 2 6" xfId="3321"/>
    <cellStyle name="Normal 5 2 2 2 6 2" xfId="15852"/>
    <cellStyle name="Normal 5 2 2 2 6 3" xfId="12375"/>
    <cellStyle name="Normal 5 2 2 2 6 4" xfId="6808"/>
    <cellStyle name="Normal 5 2 2 2 7" xfId="5552"/>
    <cellStyle name="Normal 5 2 2 2 8" xfId="9368"/>
    <cellStyle name="Normal 5 2 2 2 9" xfId="9366"/>
    <cellStyle name="Normal 5 2 2 3" xfId="277"/>
    <cellStyle name="Normal 5 2 2 3 10" xfId="11028"/>
    <cellStyle name="Normal 5 2 2 3 11" xfId="4445"/>
    <cellStyle name="Normal 5 2 2 3 2" xfId="385"/>
    <cellStyle name="Normal 5 2 2 3 2 2" xfId="673"/>
    <cellStyle name="Normal 5 2 2 3 2 2 2" xfId="2402"/>
    <cellStyle name="Normal 5 2 2 3 2 2 2 2" xfId="16290"/>
    <cellStyle name="Normal 5 2 2 3 2 2 2 3" xfId="12712"/>
    <cellStyle name="Normal 5 2 2 3 2 2 2 4" xfId="7422"/>
    <cellStyle name="Normal 5 2 2 3 2 2 3" xfId="3669"/>
    <cellStyle name="Normal 5 2 2 3 2 2 3 2" xfId="17315"/>
    <cellStyle name="Normal 5 2 2 3 2 2 3 3" xfId="13736"/>
    <cellStyle name="Normal 5 2 2 3 2 2 3 4" xfId="8479"/>
    <cellStyle name="Normal 5 2 2 3 2 2 4" xfId="6538"/>
    <cellStyle name="Normal 5 2 2 3 2 2 4 2" xfId="15622"/>
    <cellStyle name="Normal 5 2 2 3 2 2 5" xfId="9933"/>
    <cellStyle name="Normal 5 2 2 3 2 2 5 2" xfId="18760"/>
    <cellStyle name="Normal 5 2 2 3 2 2 6" xfId="11378"/>
    <cellStyle name="Normal 5 2 2 3 2 2 7" xfId="5016"/>
    <cellStyle name="Normal 5 2 2 3 2 3" xfId="1030"/>
    <cellStyle name="Normal 5 2 2 3 2 3 2" xfId="2750"/>
    <cellStyle name="Normal 5 2 2 3 2 3 2 2" xfId="16745"/>
    <cellStyle name="Normal 5 2 2 3 2 3 2 3" xfId="13166"/>
    <cellStyle name="Normal 5 2 2 3 2 3 2 4" xfId="7877"/>
    <cellStyle name="Normal 5 2 2 3 2 3 3" xfId="4018"/>
    <cellStyle name="Normal 5 2 2 3 2 3 3 2" xfId="17663"/>
    <cellStyle name="Normal 5 2 2 3 2 3 3 3" xfId="14084"/>
    <cellStyle name="Normal 5 2 2 3 2 3 3 4" xfId="8827"/>
    <cellStyle name="Normal 5 2 2 3 2 3 4" xfId="6284"/>
    <cellStyle name="Normal 5 2 2 3 2 3 4 2" xfId="15368"/>
    <cellStyle name="Normal 5 2 2 3 2 3 5" xfId="10281"/>
    <cellStyle name="Normal 5 2 2 3 2 3 5 2" xfId="19108"/>
    <cellStyle name="Normal 5 2 2 3 2 3 6" xfId="11727"/>
    <cellStyle name="Normal 5 2 2 3 2 3 7" xfId="5471"/>
    <cellStyle name="Normal 5 2 2 3 2 4" xfId="1599"/>
    <cellStyle name="Normal 5 2 2 3 2 4 2" xfId="3196"/>
    <cellStyle name="Normal 5 2 2 3 2 4 2 2" xfId="18109"/>
    <cellStyle name="Normal 5 2 2 3 2 4 2 3" xfId="14530"/>
    <cellStyle name="Normal 5 2 2 3 2 4 2 4" xfId="9273"/>
    <cellStyle name="Normal 5 2 2 3 2 4 3" xfId="10727"/>
    <cellStyle name="Normal 5 2 2 3 2 4 3 2" xfId="19554"/>
    <cellStyle name="Normal 5 2 2 3 2 4 4" xfId="12173"/>
    <cellStyle name="Normal 5 2 2 3 2 4 5" xfId="7168"/>
    <cellStyle name="Normal 5 2 2 3 2 5" xfId="2153"/>
    <cellStyle name="Normal 5 2 2 3 2 5 2" xfId="17066"/>
    <cellStyle name="Normal 5 2 2 3 2 5 3" xfId="13487"/>
    <cellStyle name="Normal 5 2 2 3 2 5 4" xfId="8230"/>
    <cellStyle name="Normal 5 2 2 3 2 6" xfId="5791"/>
    <cellStyle name="Normal 5 2 2 3 2 6 2" xfId="14877"/>
    <cellStyle name="Normal 5 2 2 3 2 7" xfId="9684"/>
    <cellStyle name="Normal 5 2 2 3 2 7 2" xfId="18511"/>
    <cellStyle name="Normal 5 2 2 3 2 8" xfId="11128"/>
    <cellStyle name="Normal 5 2 2 3 2 9" xfId="4762"/>
    <cellStyle name="Normal 5 2 2 3 2_Degree data" xfId="1675"/>
    <cellStyle name="Normal 5 2 2 3 3" xfId="672"/>
    <cellStyle name="Normal 5 2 2 3 3 2" xfId="2401"/>
    <cellStyle name="Normal 5 2 2 3 3 2 2" xfId="16082"/>
    <cellStyle name="Normal 5 2 2 3 3 2 3" xfId="12489"/>
    <cellStyle name="Normal 5 2 2 3 3 2 4" xfId="7068"/>
    <cellStyle name="Normal 5 2 2 3 3 3" xfId="3668"/>
    <cellStyle name="Normal 5 2 2 3 3 3 2" xfId="17314"/>
    <cellStyle name="Normal 5 2 2 3 3 3 3" xfId="13735"/>
    <cellStyle name="Normal 5 2 2 3 3 3 4" xfId="8478"/>
    <cellStyle name="Normal 5 2 2 3 3 4" xfId="6184"/>
    <cellStyle name="Normal 5 2 2 3 3 4 2" xfId="15268"/>
    <cellStyle name="Normal 5 2 2 3 3 5" xfId="9932"/>
    <cellStyle name="Normal 5 2 2 3 3 5 2" xfId="18759"/>
    <cellStyle name="Normal 5 2 2 3 3 6" xfId="11377"/>
    <cellStyle name="Normal 5 2 2 3 3 7" xfId="4662"/>
    <cellStyle name="Normal 5 2 2 3 4" xfId="1029"/>
    <cellStyle name="Normal 5 2 2 3 4 2" xfId="2749"/>
    <cellStyle name="Normal 5 2 2 3 4 2 2" xfId="16289"/>
    <cellStyle name="Normal 5 2 2 3 4 2 3" xfId="12711"/>
    <cellStyle name="Normal 5 2 2 3 4 2 4" xfId="7421"/>
    <cellStyle name="Normal 5 2 2 3 4 3" xfId="4017"/>
    <cellStyle name="Normal 5 2 2 3 4 3 2" xfId="17662"/>
    <cellStyle name="Normal 5 2 2 3 4 3 3" xfId="14083"/>
    <cellStyle name="Normal 5 2 2 3 4 3 4" xfId="8826"/>
    <cellStyle name="Normal 5 2 2 3 4 4" xfId="6537"/>
    <cellStyle name="Normal 5 2 2 3 4 4 2" xfId="15621"/>
    <cellStyle name="Normal 5 2 2 3 4 5" xfId="10280"/>
    <cellStyle name="Normal 5 2 2 3 4 5 2" xfId="19107"/>
    <cellStyle name="Normal 5 2 2 3 4 6" xfId="11726"/>
    <cellStyle name="Normal 5 2 2 3 4 7" xfId="5015"/>
    <cellStyle name="Normal 5 2 2 3 5" xfId="1497"/>
    <cellStyle name="Normal 5 2 2 3 5 2" xfId="3096"/>
    <cellStyle name="Normal 5 2 2 3 5 2 2" xfId="16645"/>
    <cellStyle name="Normal 5 2 2 3 5 2 3" xfId="13066"/>
    <cellStyle name="Normal 5 2 2 3 5 2 4" xfId="7777"/>
    <cellStyle name="Normal 5 2 2 3 5 3" xfId="4304"/>
    <cellStyle name="Normal 5 2 2 3 5 3 2" xfId="18009"/>
    <cellStyle name="Normal 5 2 2 3 5 3 3" xfId="14430"/>
    <cellStyle name="Normal 5 2 2 3 5 3 4" xfId="9173"/>
    <cellStyle name="Normal 5 2 2 3 5 4" xfId="5965"/>
    <cellStyle name="Normal 5 2 2 3 5 4 2" xfId="15051"/>
    <cellStyle name="Normal 5 2 2 3 5 5" xfId="10627"/>
    <cellStyle name="Normal 5 2 2 3 5 5 2" xfId="19454"/>
    <cellStyle name="Normal 5 2 2 3 5 6" xfId="12073"/>
    <cellStyle name="Normal 5 2 2 3 5 7" xfId="5371"/>
    <cellStyle name="Normal 5 2 2 3 6" xfId="2053"/>
    <cellStyle name="Normal 5 2 2 3 6 2" xfId="15894"/>
    <cellStyle name="Normal 5 2 2 3 6 3" xfId="10842"/>
    <cellStyle name="Normal 5 2 2 3 6 4" xfId="6851"/>
    <cellStyle name="Normal 5 2 2 3 7" xfId="3466"/>
    <cellStyle name="Normal 5 2 2 3 7 2" xfId="16966"/>
    <cellStyle name="Normal 5 2 2 3 7 3" xfId="13387"/>
    <cellStyle name="Normal 5 2 2 3 7 4" xfId="8130"/>
    <cellStyle name="Normal 5 2 2 3 8" xfId="5691"/>
    <cellStyle name="Normal 5 2 2 3 8 2" xfId="14777"/>
    <cellStyle name="Normal 5 2 2 3 9" xfId="9584"/>
    <cellStyle name="Normal 5 2 2 3 9 2" xfId="18411"/>
    <cellStyle name="Normal 5 2 2 3_Degree data" xfId="1677"/>
    <cellStyle name="Normal 5 2 2 4" xfId="491"/>
    <cellStyle name="Normal 5 2 2 4 2" xfId="674"/>
    <cellStyle name="Normal 5 2 2 4 2 2" xfId="2403"/>
    <cellStyle name="Normal 5 2 2 4 2 2 2" xfId="16291"/>
    <cellStyle name="Normal 5 2 2 4 2 2 3" xfId="12713"/>
    <cellStyle name="Normal 5 2 2 4 2 2 4" xfId="7423"/>
    <cellStyle name="Normal 5 2 2 4 2 3" xfId="3670"/>
    <cellStyle name="Normal 5 2 2 4 2 3 2" xfId="17316"/>
    <cellStyle name="Normal 5 2 2 4 2 3 3" xfId="13737"/>
    <cellStyle name="Normal 5 2 2 4 2 3 4" xfId="8480"/>
    <cellStyle name="Normal 5 2 2 4 2 4" xfId="6539"/>
    <cellStyle name="Normal 5 2 2 4 2 4 2" xfId="15623"/>
    <cellStyle name="Normal 5 2 2 4 2 5" xfId="9934"/>
    <cellStyle name="Normal 5 2 2 4 2 5 2" xfId="18761"/>
    <cellStyle name="Normal 5 2 2 4 2 6" xfId="11379"/>
    <cellStyle name="Normal 5 2 2 4 2 7" xfId="5017"/>
    <cellStyle name="Normal 5 2 2 4 3" xfId="1031"/>
    <cellStyle name="Normal 5 2 2 4 3 2" xfId="2751"/>
    <cellStyle name="Normal 5 2 2 4 3 2 2" xfId="16545"/>
    <cellStyle name="Normal 5 2 2 4 3 2 3" xfId="12966"/>
    <cellStyle name="Normal 5 2 2 4 3 2 4" xfId="7677"/>
    <cellStyle name="Normal 5 2 2 4 3 3" xfId="4019"/>
    <cellStyle name="Normal 5 2 2 4 3 3 2" xfId="17664"/>
    <cellStyle name="Normal 5 2 2 4 3 3 3" xfId="14085"/>
    <cellStyle name="Normal 5 2 2 4 3 3 4" xfId="8828"/>
    <cellStyle name="Normal 5 2 2 4 3 4" xfId="6733"/>
    <cellStyle name="Normal 5 2 2 4 3 4 2" xfId="15816"/>
    <cellStyle name="Normal 5 2 2 4 3 5" xfId="10282"/>
    <cellStyle name="Normal 5 2 2 4 3 5 2" xfId="19109"/>
    <cellStyle name="Normal 5 2 2 4 3 6" xfId="11728"/>
    <cellStyle name="Normal 5 2 2 4 3 7" xfId="5271"/>
    <cellStyle name="Normal 5 2 2 4 4" xfId="1387"/>
    <cellStyle name="Normal 5 2 2 4 4 2" xfId="2996"/>
    <cellStyle name="Normal 5 2 2 4 4 2 2" xfId="17909"/>
    <cellStyle name="Normal 5 2 2 4 4 2 3" xfId="14330"/>
    <cellStyle name="Normal 5 2 2 4 4 2 4" xfId="9073"/>
    <cellStyle name="Normal 5 2 2 4 4 3" xfId="10527"/>
    <cellStyle name="Normal 5 2 2 4 4 3 2" xfId="19354"/>
    <cellStyle name="Normal 5 2 2 4 4 4" xfId="11973"/>
    <cellStyle name="Normal 5 2 2 4 4 5" xfId="6968"/>
    <cellStyle name="Normal 5 2 2 4 5" xfId="1953"/>
    <cellStyle name="Normal 5 2 2 4 5 2" xfId="16864"/>
    <cellStyle name="Normal 5 2 2 4 5 3" xfId="13285"/>
    <cellStyle name="Normal 5 2 2 4 5 4" xfId="8028"/>
    <cellStyle name="Normal 5 2 2 4 6" xfId="6084"/>
    <cellStyle name="Normal 5 2 2 4 6 2" xfId="15168"/>
    <cellStyle name="Normal 5 2 2 4 7" xfId="9484"/>
    <cellStyle name="Normal 5 2 2 4 7 2" xfId="18311"/>
    <cellStyle name="Normal 5 2 2 4 8" xfId="10928"/>
    <cellStyle name="Normal 5 2 2 4 9" xfId="4562"/>
    <cellStyle name="Normal 5 2 2 4_Degree data" xfId="1297"/>
    <cellStyle name="Normal 5 2 2 5" xfId="668"/>
    <cellStyle name="Normal 5 2 2 5 2" xfId="2397"/>
    <cellStyle name="Normal 5 2 2 5 2 2" xfId="16285"/>
    <cellStyle name="Normal 5 2 2 5 2 3" xfId="12707"/>
    <cellStyle name="Normal 5 2 2 5 2 4" xfId="7417"/>
    <cellStyle name="Normal 5 2 2 5 3" xfId="3664"/>
    <cellStyle name="Normal 5 2 2 5 3 2" xfId="17310"/>
    <cellStyle name="Normal 5 2 2 5 3 3" xfId="13731"/>
    <cellStyle name="Normal 5 2 2 5 3 4" xfId="8474"/>
    <cellStyle name="Normal 5 2 2 5 4" xfId="6533"/>
    <cellStyle name="Normal 5 2 2 5 4 2" xfId="15617"/>
    <cellStyle name="Normal 5 2 2 5 5" xfId="9928"/>
    <cellStyle name="Normal 5 2 2 5 5 2" xfId="18755"/>
    <cellStyle name="Normal 5 2 2 5 6" xfId="11373"/>
    <cellStyle name="Normal 5 2 2 5 7" xfId="5011"/>
    <cellStyle name="Normal 5 2 2 6" xfId="1025"/>
    <cellStyle name="Normal 5 2 2 6 2" xfId="2745"/>
    <cellStyle name="Normal 5 2 2 6 2 2" xfId="16500"/>
    <cellStyle name="Normal 5 2 2 6 2 3" xfId="12922"/>
    <cellStyle name="Normal 5 2 2 6 2 4" xfId="7632"/>
    <cellStyle name="Normal 5 2 2 6 3" xfId="4013"/>
    <cellStyle name="Normal 5 2 2 6 3 2" xfId="17658"/>
    <cellStyle name="Normal 5 2 2 6 3 3" xfId="14079"/>
    <cellStyle name="Normal 5 2 2 6 3 4" xfId="8822"/>
    <cellStyle name="Normal 5 2 2 6 4" xfId="6741"/>
    <cellStyle name="Normal 5 2 2 6 4 2" xfId="15824"/>
    <cellStyle name="Normal 5 2 2 6 5" xfId="10276"/>
    <cellStyle name="Normal 5 2 2 6 5 2" xfId="19103"/>
    <cellStyle name="Normal 5 2 2 6 6" xfId="11722"/>
    <cellStyle name="Normal 5 2 2 6 7" xfId="5226"/>
    <cellStyle name="Normal 5 2 2 7" xfId="1338"/>
    <cellStyle name="Normal 5 2 2 7 2" xfId="2951"/>
    <cellStyle name="Normal 5 2 2 7 2 2" xfId="17864"/>
    <cellStyle name="Normal 5 2 2 7 2 3" xfId="14285"/>
    <cellStyle name="Normal 5 2 2 7 2 4" xfId="9028"/>
    <cellStyle name="Normal 5 2 2 7 3" xfId="10482"/>
    <cellStyle name="Normal 5 2 2 7 3 2" xfId="19309"/>
    <cellStyle name="Normal 5 2 2 7 4" xfId="11928"/>
    <cellStyle name="Normal 5 2 2 7 5" xfId="6777"/>
    <cellStyle name="Normal 5 2 2 8" xfId="1908"/>
    <cellStyle name="Normal 5 2 2 8 2" xfId="9439"/>
    <cellStyle name="Normal 5 2 2 8 2 2" xfId="18266"/>
    <cellStyle name="Normal 5 2 2 8 3" xfId="10883"/>
    <cellStyle name="Normal 5 2 2 8 4" xfId="7983"/>
    <cellStyle name="Normal 5 2 2 9" xfId="1878"/>
    <cellStyle name="Normal 5 2 2 9 2" xfId="14677"/>
    <cellStyle name="Normal 5 2 2 9 3" xfId="5591"/>
    <cellStyle name="Normal 5 2 2_Degree data" xfId="1244"/>
    <cellStyle name="Normal 5 2 3" xfId="174"/>
    <cellStyle name="Normal 5 2 4" xfId="250"/>
    <cellStyle name="Normal 5 2 4 10" xfId="11001"/>
    <cellStyle name="Normal 5 2 4 11" xfId="4418"/>
    <cellStyle name="Normal 5 2 4 2" xfId="358"/>
    <cellStyle name="Normal 5 2 4 2 2" xfId="676"/>
    <cellStyle name="Normal 5 2 4 2 2 2" xfId="2405"/>
    <cellStyle name="Normal 5 2 4 2 2 2 2" xfId="16293"/>
    <cellStyle name="Normal 5 2 4 2 2 2 3" xfId="12715"/>
    <cellStyle name="Normal 5 2 4 2 2 2 4" xfId="7425"/>
    <cellStyle name="Normal 5 2 4 2 2 3" xfId="3672"/>
    <cellStyle name="Normal 5 2 4 2 2 3 2" xfId="17318"/>
    <cellStyle name="Normal 5 2 4 2 2 3 3" xfId="13739"/>
    <cellStyle name="Normal 5 2 4 2 2 3 4" xfId="8482"/>
    <cellStyle name="Normal 5 2 4 2 2 4" xfId="6541"/>
    <cellStyle name="Normal 5 2 4 2 2 4 2" xfId="15625"/>
    <cellStyle name="Normal 5 2 4 2 2 5" xfId="9936"/>
    <cellStyle name="Normal 5 2 4 2 2 5 2" xfId="18763"/>
    <cellStyle name="Normal 5 2 4 2 2 6" xfId="11381"/>
    <cellStyle name="Normal 5 2 4 2 2 7" xfId="5019"/>
    <cellStyle name="Normal 5 2 4 2 3" xfId="1033"/>
    <cellStyle name="Normal 5 2 4 2 3 2" xfId="2753"/>
    <cellStyle name="Normal 5 2 4 2 3 2 2" xfId="16718"/>
    <cellStyle name="Normal 5 2 4 2 3 2 3" xfId="13139"/>
    <cellStyle name="Normal 5 2 4 2 3 2 4" xfId="7850"/>
    <cellStyle name="Normal 5 2 4 2 3 3" xfId="4021"/>
    <cellStyle name="Normal 5 2 4 2 3 3 2" xfId="17666"/>
    <cellStyle name="Normal 5 2 4 2 3 3 3" xfId="14087"/>
    <cellStyle name="Normal 5 2 4 2 3 3 4" xfId="8830"/>
    <cellStyle name="Normal 5 2 4 2 3 4" xfId="6257"/>
    <cellStyle name="Normal 5 2 4 2 3 4 2" xfId="15341"/>
    <cellStyle name="Normal 5 2 4 2 3 5" xfId="10284"/>
    <cellStyle name="Normal 5 2 4 2 3 5 2" xfId="19111"/>
    <cellStyle name="Normal 5 2 4 2 3 6" xfId="11730"/>
    <cellStyle name="Normal 5 2 4 2 3 7" xfId="5444"/>
    <cellStyle name="Normal 5 2 4 2 4" xfId="1571"/>
    <cellStyle name="Normal 5 2 4 2 4 2" xfId="3169"/>
    <cellStyle name="Normal 5 2 4 2 4 2 2" xfId="18082"/>
    <cellStyle name="Normal 5 2 4 2 4 2 3" xfId="14503"/>
    <cellStyle name="Normal 5 2 4 2 4 2 4" xfId="9246"/>
    <cellStyle name="Normal 5 2 4 2 4 3" xfId="10700"/>
    <cellStyle name="Normal 5 2 4 2 4 3 2" xfId="19527"/>
    <cellStyle name="Normal 5 2 4 2 4 4" xfId="12146"/>
    <cellStyle name="Normal 5 2 4 2 4 5" xfId="7141"/>
    <cellStyle name="Normal 5 2 4 2 5" xfId="2126"/>
    <cellStyle name="Normal 5 2 4 2 5 2" xfId="17039"/>
    <cellStyle name="Normal 5 2 4 2 5 3" xfId="13460"/>
    <cellStyle name="Normal 5 2 4 2 5 4" xfId="8203"/>
    <cellStyle name="Normal 5 2 4 2 6" xfId="5764"/>
    <cellStyle name="Normal 5 2 4 2 6 2" xfId="14850"/>
    <cellStyle name="Normal 5 2 4 2 7" xfId="9657"/>
    <cellStyle name="Normal 5 2 4 2 7 2" xfId="18484"/>
    <cellStyle name="Normal 5 2 4 2 8" xfId="11101"/>
    <cellStyle name="Normal 5 2 4 2 9" xfId="4735"/>
    <cellStyle name="Normal 5 2 4 2_Degree data" xfId="1288"/>
    <cellStyle name="Normal 5 2 4 3" xfId="675"/>
    <cellStyle name="Normal 5 2 4 3 2" xfId="2404"/>
    <cellStyle name="Normal 5 2 4 3 2 2" xfId="16055"/>
    <cellStyle name="Normal 5 2 4 3 2 3" xfId="12389"/>
    <cellStyle name="Normal 5 2 4 3 2 4" xfId="7041"/>
    <cellStyle name="Normal 5 2 4 3 3" xfId="3671"/>
    <cellStyle name="Normal 5 2 4 3 3 2" xfId="17317"/>
    <cellStyle name="Normal 5 2 4 3 3 3" xfId="13738"/>
    <cellStyle name="Normal 5 2 4 3 3 4" xfId="8481"/>
    <cellStyle name="Normal 5 2 4 3 4" xfId="6157"/>
    <cellStyle name="Normal 5 2 4 3 4 2" xfId="15241"/>
    <cellStyle name="Normal 5 2 4 3 5" xfId="9935"/>
    <cellStyle name="Normal 5 2 4 3 5 2" xfId="18762"/>
    <cellStyle name="Normal 5 2 4 3 6" xfId="11380"/>
    <cellStyle name="Normal 5 2 4 3 7" xfId="4635"/>
    <cellStyle name="Normal 5 2 4 4" xfId="1032"/>
    <cellStyle name="Normal 5 2 4 4 2" xfId="2752"/>
    <cellStyle name="Normal 5 2 4 4 2 2" xfId="16292"/>
    <cellStyle name="Normal 5 2 4 4 2 3" xfId="12714"/>
    <cellStyle name="Normal 5 2 4 4 2 4" xfId="7424"/>
    <cellStyle name="Normal 5 2 4 4 3" xfId="4020"/>
    <cellStyle name="Normal 5 2 4 4 3 2" xfId="17665"/>
    <cellStyle name="Normal 5 2 4 4 3 3" xfId="14086"/>
    <cellStyle name="Normal 5 2 4 4 3 4" xfId="8829"/>
    <cellStyle name="Normal 5 2 4 4 4" xfId="6540"/>
    <cellStyle name="Normal 5 2 4 4 4 2" xfId="15624"/>
    <cellStyle name="Normal 5 2 4 4 5" xfId="10283"/>
    <cellStyle name="Normal 5 2 4 4 5 2" xfId="19110"/>
    <cellStyle name="Normal 5 2 4 4 6" xfId="11729"/>
    <cellStyle name="Normal 5 2 4 4 7" xfId="5018"/>
    <cellStyle name="Normal 5 2 4 5" xfId="1469"/>
    <cellStyle name="Normal 5 2 4 5 2" xfId="3069"/>
    <cellStyle name="Normal 5 2 4 5 2 2" xfId="16618"/>
    <cellStyle name="Normal 5 2 4 5 2 3" xfId="13039"/>
    <cellStyle name="Normal 5 2 4 5 2 4" xfId="7750"/>
    <cellStyle name="Normal 5 2 4 5 3" xfId="4277"/>
    <cellStyle name="Normal 5 2 4 5 3 2" xfId="17982"/>
    <cellStyle name="Normal 5 2 4 5 3 3" xfId="14403"/>
    <cellStyle name="Normal 5 2 4 5 3 4" xfId="9146"/>
    <cellStyle name="Normal 5 2 4 5 4" xfId="5938"/>
    <cellStyle name="Normal 5 2 4 5 4 2" xfId="15024"/>
    <cellStyle name="Normal 5 2 4 5 5" xfId="10600"/>
    <cellStyle name="Normal 5 2 4 5 5 2" xfId="19427"/>
    <cellStyle name="Normal 5 2 4 5 6" xfId="12046"/>
    <cellStyle name="Normal 5 2 4 5 7" xfId="5344"/>
    <cellStyle name="Normal 5 2 4 6" xfId="2026"/>
    <cellStyle name="Normal 5 2 4 6 2" xfId="15867"/>
    <cellStyle name="Normal 5 2 4 6 3" xfId="12427"/>
    <cellStyle name="Normal 5 2 4 6 4" xfId="6824"/>
    <cellStyle name="Normal 5 2 4 7" xfId="3439"/>
    <cellStyle name="Normal 5 2 4 7 2" xfId="16939"/>
    <cellStyle name="Normal 5 2 4 7 3" xfId="13360"/>
    <cellStyle name="Normal 5 2 4 7 4" xfId="8103"/>
    <cellStyle name="Normal 5 2 4 8" xfId="5664"/>
    <cellStyle name="Normal 5 2 4 8 2" xfId="14750"/>
    <cellStyle name="Normal 5 2 4 9" xfId="9557"/>
    <cellStyle name="Normal 5 2 4 9 2" xfId="18384"/>
    <cellStyle name="Normal 5 2 4_Degree data" xfId="1289"/>
    <cellStyle name="Normal 5 2 5" xfId="192"/>
    <cellStyle name="Normal 5 2 5 10" xfId="10946"/>
    <cellStyle name="Normal 5 2 5 11" xfId="4468"/>
    <cellStyle name="Normal 5 2 5 2" xfId="409"/>
    <cellStyle name="Normal 5 2 5 2 2" xfId="678"/>
    <cellStyle name="Normal 5 2 5 2 2 2" xfId="2407"/>
    <cellStyle name="Normal 5 2 5 2 2 2 2" xfId="16295"/>
    <cellStyle name="Normal 5 2 5 2 2 2 3" xfId="12717"/>
    <cellStyle name="Normal 5 2 5 2 2 2 4" xfId="7427"/>
    <cellStyle name="Normal 5 2 5 2 2 3" xfId="3674"/>
    <cellStyle name="Normal 5 2 5 2 2 3 2" xfId="17320"/>
    <cellStyle name="Normal 5 2 5 2 2 3 3" xfId="13741"/>
    <cellStyle name="Normal 5 2 5 2 2 3 4" xfId="8484"/>
    <cellStyle name="Normal 5 2 5 2 2 4" xfId="6543"/>
    <cellStyle name="Normal 5 2 5 2 2 4 2" xfId="15627"/>
    <cellStyle name="Normal 5 2 5 2 2 5" xfId="9938"/>
    <cellStyle name="Normal 5 2 5 2 2 5 2" xfId="18765"/>
    <cellStyle name="Normal 5 2 5 2 2 6" xfId="11383"/>
    <cellStyle name="Normal 5 2 5 2 2 7" xfId="5021"/>
    <cellStyle name="Normal 5 2 5 2 3" xfId="1035"/>
    <cellStyle name="Normal 5 2 5 2 3 2" xfId="2755"/>
    <cellStyle name="Normal 5 2 5 2 3 2 2" xfId="16768"/>
    <cellStyle name="Normal 5 2 5 2 3 2 3" xfId="13189"/>
    <cellStyle name="Normal 5 2 5 2 3 2 4" xfId="7900"/>
    <cellStyle name="Normal 5 2 5 2 3 3" xfId="4023"/>
    <cellStyle name="Normal 5 2 5 2 3 3 2" xfId="17668"/>
    <cellStyle name="Normal 5 2 5 2 3 3 3" xfId="14089"/>
    <cellStyle name="Normal 5 2 5 2 3 3 4" xfId="8832"/>
    <cellStyle name="Normal 5 2 5 2 3 4" xfId="6307"/>
    <cellStyle name="Normal 5 2 5 2 3 4 2" xfId="15391"/>
    <cellStyle name="Normal 5 2 5 2 3 5" xfId="10286"/>
    <cellStyle name="Normal 5 2 5 2 3 5 2" xfId="19113"/>
    <cellStyle name="Normal 5 2 5 2 3 6" xfId="11732"/>
    <cellStyle name="Normal 5 2 5 2 3 7" xfId="5494"/>
    <cellStyle name="Normal 5 2 5 2 4" xfId="1623"/>
    <cellStyle name="Normal 5 2 5 2 4 2" xfId="3219"/>
    <cellStyle name="Normal 5 2 5 2 4 2 2" xfId="18132"/>
    <cellStyle name="Normal 5 2 5 2 4 2 3" xfId="14553"/>
    <cellStyle name="Normal 5 2 5 2 4 2 4" xfId="9296"/>
    <cellStyle name="Normal 5 2 5 2 4 3" xfId="10750"/>
    <cellStyle name="Normal 5 2 5 2 4 3 2" xfId="19577"/>
    <cellStyle name="Normal 5 2 5 2 4 4" xfId="12196"/>
    <cellStyle name="Normal 5 2 5 2 4 5" xfId="7191"/>
    <cellStyle name="Normal 5 2 5 2 5" xfId="2176"/>
    <cellStyle name="Normal 5 2 5 2 5 2" xfId="17089"/>
    <cellStyle name="Normal 5 2 5 2 5 3" xfId="13510"/>
    <cellStyle name="Normal 5 2 5 2 5 4" xfId="8253"/>
    <cellStyle name="Normal 5 2 5 2 6" xfId="5814"/>
    <cellStyle name="Normal 5 2 5 2 6 2" xfId="14900"/>
    <cellStyle name="Normal 5 2 5 2 7" xfId="9707"/>
    <cellStyle name="Normal 5 2 5 2 7 2" xfId="18534"/>
    <cellStyle name="Normal 5 2 5 2 8" xfId="11151"/>
    <cellStyle name="Normal 5 2 5 2 9" xfId="4785"/>
    <cellStyle name="Normal 5 2 5 2_Degree data" xfId="1258"/>
    <cellStyle name="Normal 5 2 5 3" xfId="677"/>
    <cellStyle name="Normal 5 2 5 3 2" xfId="2406"/>
    <cellStyle name="Normal 5 2 5 3 2 2" xfId="16000"/>
    <cellStyle name="Normal 5 2 5 3 2 3" xfId="12341"/>
    <cellStyle name="Normal 5 2 5 3 2 4" xfId="6986"/>
    <cellStyle name="Normal 5 2 5 3 3" xfId="3673"/>
    <cellStyle name="Normal 5 2 5 3 3 2" xfId="17319"/>
    <cellStyle name="Normal 5 2 5 3 3 3" xfId="13740"/>
    <cellStyle name="Normal 5 2 5 3 3 4" xfId="8483"/>
    <cellStyle name="Normal 5 2 5 3 4" xfId="6102"/>
    <cellStyle name="Normal 5 2 5 3 4 2" xfId="15186"/>
    <cellStyle name="Normal 5 2 5 3 5" xfId="9937"/>
    <cellStyle name="Normal 5 2 5 3 5 2" xfId="18764"/>
    <cellStyle name="Normal 5 2 5 3 6" xfId="11382"/>
    <cellStyle name="Normal 5 2 5 3 7" xfId="4580"/>
    <cellStyle name="Normal 5 2 5 4" xfId="1034"/>
    <cellStyle name="Normal 5 2 5 4 2" xfId="2754"/>
    <cellStyle name="Normal 5 2 5 4 2 2" xfId="16294"/>
    <cellStyle name="Normal 5 2 5 4 2 3" xfId="12716"/>
    <cellStyle name="Normal 5 2 5 4 2 4" xfId="7426"/>
    <cellStyle name="Normal 5 2 5 4 3" xfId="4022"/>
    <cellStyle name="Normal 5 2 5 4 3 2" xfId="17667"/>
    <cellStyle name="Normal 5 2 5 4 3 3" xfId="14088"/>
    <cellStyle name="Normal 5 2 5 4 3 4" xfId="8831"/>
    <cellStyle name="Normal 5 2 5 4 4" xfId="6542"/>
    <cellStyle name="Normal 5 2 5 4 4 2" xfId="15626"/>
    <cellStyle name="Normal 5 2 5 4 5" xfId="10285"/>
    <cellStyle name="Normal 5 2 5 4 5 2" xfId="19112"/>
    <cellStyle name="Normal 5 2 5 4 6" xfId="11731"/>
    <cellStyle name="Normal 5 2 5 4 7" xfId="5020"/>
    <cellStyle name="Normal 5 2 5 5" xfId="1409"/>
    <cellStyle name="Normal 5 2 5 5 2" xfId="3014"/>
    <cellStyle name="Normal 5 2 5 5 2 2" xfId="16563"/>
    <cellStyle name="Normal 5 2 5 5 2 3" xfId="12984"/>
    <cellStyle name="Normal 5 2 5 5 2 4" xfId="7695"/>
    <cellStyle name="Normal 5 2 5 5 3" xfId="4222"/>
    <cellStyle name="Normal 5 2 5 5 3 2" xfId="17927"/>
    <cellStyle name="Normal 5 2 5 5 3 3" xfId="14348"/>
    <cellStyle name="Normal 5 2 5 5 3 4" xfId="9091"/>
    <cellStyle name="Normal 5 2 5 5 4" xfId="5988"/>
    <cellStyle name="Normal 5 2 5 5 4 2" xfId="15074"/>
    <cellStyle name="Normal 5 2 5 5 5" xfId="10545"/>
    <cellStyle name="Normal 5 2 5 5 5 2" xfId="19372"/>
    <cellStyle name="Normal 5 2 5 5 6" xfId="11991"/>
    <cellStyle name="Normal 5 2 5 5 7" xfId="5289"/>
    <cellStyle name="Normal 5 2 5 6" xfId="1971"/>
    <cellStyle name="Normal 5 2 5 6 2" xfId="15917"/>
    <cellStyle name="Normal 5 2 5 6 3" xfId="12270"/>
    <cellStyle name="Normal 5 2 5 6 4" xfId="6874"/>
    <cellStyle name="Normal 5 2 5 7" xfId="3385"/>
    <cellStyle name="Normal 5 2 5 7 2" xfId="16884"/>
    <cellStyle name="Normal 5 2 5 7 3" xfId="13305"/>
    <cellStyle name="Normal 5 2 5 7 4" xfId="8048"/>
    <cellStyle name="Normal 5 2 5 8" xfId="5609"/>
    <cellStyle name="Normal 5 2 5 8 2" xfId="14695"/>
    <cellStyle name="Normal 5 2 5 9" xfId="9502"/>
    <cellStyle name="Normal 5 2 5 9 2" xfId="18329"/>
    <cellStyle name="Normal 5 2 5_Degree data" xfId="1262"/>
    <cellStyle name="Normal 5 2 6" xfId="461"/>
    <cellStyle name="Normal 5 2 6 10" xfId="4523"/>
    <cellStyle name="Normal 5 2 6 2" xfId="679"/>
    <cellStyle name="Normal 5 2 6 2 2" xfId="2408"/>
    <cellStyle name="Normal 5 2 6 2 2 2" xfId="16115"/>
    <cellStyle name="Normal 5 2 6 2 2 3" xfId="12537"/>
    <cellStyle name="Normal 5 2 6 2 2 4" xfId="7246"/>
    <cellStyle name="Normal 5 2 6 2 3" xfId="3675"/>
    <cellStyle name="Normal 5 2 6 2 3 2" xfId="17321"/>
    <cellStyle name="Normal 5 2 6 2 3 3" xfId="13742"/>
    <cellStyle name="Normal 5 2 6 2 3 4" xfId="8485"/>
    <cellStyle name="Normal 5 2 6 2 4" xfId="6362"/>
    <cellStyle name="Normal 5 2 6 2 4 2" xfId="15446"/>
    <cellStyle name="Normal 5 2 6 2 5" xfId="9939"/>
    <cellStyle name="Normal 5 2 6 2 5 2" xfId="18766"/>
    <cellStyle name="Normal 5 2 6 2 6" xfId="11384"/>
    <cellStyle name="Normal 5 2 6 2 7" xfId="4840"/>
    <cellStyle name="Normal 5 2 6 3" xfId="1036"/>
    <cellStyle name="Normal 5 2 6 3 2" xfId="2756"/>
    <cellStyle name="Normal 5 2 6 3 2 2" xfId="16296"/>
    <cellStyle name="Normal 5 2 6 3 2 3" xfId="12718"/>
    <cellStyle name="Normal 5 2 6 3 2 4" xfId="7428"/>
    <cellStyle name="Normal 5 2 6 3 3" xfId="4024"/>
    <cellStyle name="Normal 5 2 6 3 3 2" xfId="17669"/>
    <cellStyle name="Normal 5 2 6 3 3 3" xfId="14090"/>
    <cellStyle name="Normal 5 2 6 3 3 4" xfId="8833"/>
    <cellStyle name="Normal 5 2 6 3 4" xfId="6544"/>
    <cellStyle name="Normal 5 2 6 3 4 2" xfId="15628"/>
    <cellStyle name="Normal 5 2 6 3 5" xfId="10287"/>
    <cellStyle name="Normal 5 2 6 3 5 2" xfId="19114"/>
    <cellStyle name="Normal 5 2 6 3 6" xfId="11733"/>
    <cellStyle name="Normal 5 2 6 3 7" xfId="5022"/>
    <cellStyle name="Normal 5 2 6 4" xfId="1681"/>
    <cellStyle name="Normal 5 2 6 4 2" xfId="3274"/>
    <cellStyle name="Normal 5 2 6 4 2 2" xfId="16823"/>
    <cellStyle name="Normal 5 2 6 4 2 3" xfId="13244"/>
    <cellStyle name="Normal 5 2 6 4 2 4" xfId="7955"/>
    <cellStyle name="Normal 5 2 6 4 3" xfId="4337"/>
    <cellStyle name="Normal 5 2 6 4 3 2" xfId="18187"/>
    <cellStyle name="Normal 5 2 6 4 3 3" xfId="14608"/>
    <cellStyle name="Normal 5 2 6 4 3 4" xfId="9351"/>
    <cellStyle name="Normal 5 2 6 4 4" xfId="6043"/>
    <cellStyle name="Normal 5 2 6 4 4 2" xfId="15129"/>
    <cellStyle name="Normal 5 2 6 4 5" xfId="10805"/>
    <cellStyle name="Normal 5 2 6 4 5 2" xfId="19632"/>
    <cellStyle name="Normal 5 2 6 4 6" xfId="12251"/>
    <cellStyle name="Normal 5 2 6 4 7" xfId="5549"/>
    <cellStyle name="Normal 5 2 6 5" xfId="2231"/>
    <cellStyle name="Normal 5 2 6 5 2" xfId="15972"/>
    <cellStyle name="Normal 5 2 6 5 3" xfId="12260"/>
    <cellStyle name="Normal 5 2 6 5 4" xfId="6929"/>
    <cellStyle name="Normal 5 2 6 6" xfId="3499"/>
    <cellStyle name="Normal 5 2 6 6 2" xfId="17144"/>
    <cellStyle name="Normal 5 2 6 6 3" xfId="13565"/>
    <cellStyle name="Normal 5 2 6 6 4" xfId="8308"/>
    <cellStyle name="Normal 5 2 6 7" xfId="5869"/>
    <cellStyle name="Normal 5 2 6 7 2" xfId="14955"/>
    <cellStyle name="Normal 5 2 6 8" xfId="9762"/>
    <cellStyle name="Normal 5 2 6 8 2" xfId="18589"/>
    <cellStyle name="Normal 5 2 6 9" xfId="11206"/>
    <cellStyle name="Normal 5 2 6_Degree data" xfId="1250"/>
    <cellStyle name="Normal 5 2 7" xfId="303"/>
    <cellStyle name="Normal 5 2 7 2" xfId="680"/>
    <cellStyle name="Normal 5 2 7 2 2" xfId="2409"/>
    <cellStyle name="Normal 5 2 7 2 2 2" xfId="16297"/>
    <cellStyle name="Normal 5 2 7 2 2 3" xfId="12719"/>
    <cellStyle name="Normal 5 2 7 2 2 4" xfId="7429"/>
    <cellStyle name="Normal 5 2 7 2 3" xfId="3676"/>
    <cellStyle name="Normal 5 2 7 2 3 2" xfId="17322"/>
    <cellStyle name="Normal 5 2 7 2 3 3" xfId="13743"/>
    <cellStyle name="Normal 5 2 7 2 3 4" xfId="8486"/>
    <cellStyle name="Normal 5 2 7 2 4" xfId="6545"/>
    <cellStyle name="Normal 5 2 7 2 4 2" xfId="15629"/>
    <cellStyle name="Normal 5 2 7 2 5" xfId="9940"/>
    <cellStyle name="Normal 5 2 7 2 5 2" xfId="18767"/>
    <cellStyle name="Normal 5 2 7 2 6" xfId="11385"/>
    <cellStyle name="Normal 5 2 7 2 7" xfId="5023"/>
    <cellStyle name="Normal 5 2 7 3" xfId="1037"/>
    <cellStyle name="Normal 5 2 7 3 2" xfId="2757"/>
    <cellStyle name="Normal 5 2 7 3 2 2" xfId="16663"/>
    <cellStyle name="Normal 5 2 7 3 2 3" xfId="13084"/>
    <cellStyle name="Normal 5 2 7 3 2 4" xfId="7795"/>
    <cellStyle name="Normal 5 2 7 3 3" xfId="4025"/>
    <cellStyle name="Normal 5 2 7 3 3 2" xfId="17670"/>
    <cellStyle name="Normal 5 2 7 3 3 3" xfId="14091"/>
    <cellStyle name="Normal 5 2 7 3 3 4" xfId="8834"/>
    <cellStyle name="Normal 5 2 7 3 4" xfId="6202"/>
    <cellStyle name="Normal 5 2 7 3 4 2" xfId="15286"/>
    <cellStyle name="Normal 5 2 7 3 5" xfId="10288"/>
    <cellStyle name="Normal 5 2 7 3 5 2" xfId="19115"/>
    <cellStyle name="Normal 5 2 7 3 6" xfId="11734"/>
    <cellStyle name="Normal 5 2 7 3 7" xfId="5389"/>
    <cellStyle name="Normal 5 2 7 4" xfId="1515"/>
    <cellStyle name="Normal 5 2 7 4 2" xfId="3114"/>
    <cellStyle name="Normal 5 2 7 4 2 2" xfId="18027"/>
    <cellStyle name="Normal 5 2 7 4 2 3" xfId="14448"/>
    <cellStyle name="Normal 5 2 7 4 2 4" xfId="9191"/>
    <cellStyle name="Normal 5 2 7 4 3" xfId="10645"/>
    <cellStyle name="Normal 5 2 7 4 3 2" xfId="19472"/>
    <cellStyle name="Normal 5 2 7 4 4" xfId="12091"/>
    <cellStyle name="Normal 5 2 7 4 5" xfId="7086"/>
    <cellStyle name="Normal 5 2 7 5" xfId="2071"/>
    <cellStyle name="Normal 5 2 7 5 2" xfId="16984"/>
    <cellStyle name="Normal 5 2 7 5 3" xfId="13405"/>
    <cellStyle name="Normal 5 2 7 5 4" xfId="8148"/>
    <cellStyle name="Normal 5 2 7 6" xfId="5709"/>
    <cellStyle name="Normal 5 2 7 6 2" xfId="14795"/>
    <cellStyle name="Normal 5 2 7 7" xfId="9602"/>
    <cellStyle name="Normal 5 2 7 7 2" xfId="18429"/>
    <cellStyle name="Normal 5 2 7 8" xfId="11046"/>
    <cellStyle name="Normal 5 2 7 9" xfId="4680"/>
    <cellStyle name="Normal 5 2 7_Degree data" xfId="1304"/>
    <cellStyle name="Normal 5 2 8" xfId="1842"/>
    <cellStyle name="Normal 5 2 8 2" xfId="14968"/>
    <cellStyle name="Normal 5 2 8 3" xfId="12311"/>
    <cellStyle name="Normal 5 2 8 4" xfId="5882"/>
    <cellStyle name="Normal 5 2 9" xfId="3286"/>
    <cellStyle name="Normal 5 2 9 2" xfId="15841"/>
    <cellStyle name="Normal 5 2 9 3" xfId="12464"/>
    <cellStyle name="Normal 5 2 9 4" xfId="6768"/>
    <cellStyle name="Normal 5 3" xfId="123"/>
    <cellStyle name="Normal 5 3 10" xfId="1900"/>
    <cellStyle name="Normal 5 3 10 2" xfId="9431"/>
    <cellStyle name="Normal 5 3 10 2 2" xfId="18258"/>
    <cellStyle name="Normal 5 3 10 3" xfId="10875"/>
    <cellStyle name="Normal 5 3 10 4" xfId="7975"/>
    <cellStyle name="Normal 5 3 11" xfId="1870"/>
    <cellStyle name="Normal 5 3 11 2" xfId="14644"/>
    <cellStyle name="Normal 5 3 11 3" xfId="5558"/>
    <cellStyle name="Normal 5 3 12" xfId="9401"/>
    <cellStyle name="Normal 5 3 12 2" xfId="18228"/>
    <cellStyle name="Normal 5 3 13" xfId="10845"/>
    <cellStyle name="Normal 5 3 14" xfId="4359"/>
    <cellStyle name="Normal 5 3 2" xfId="156"/>
    <cellStyle name="Normal 5 3 2 10" xfId="5583"/>
    <cellStyle name="Normal 5 3 2 10 2" xfId="14669"/>
    <cellStyle name="Normal 5 3 2 11" xfId="9476"/>
    <cellStyle name="Normal 5 3 2 11 2" xfId="18303"/>
    <cellStyle name="Normal 5 3 2 12" xfId="10920"/>
    <cellStyle name="Normal 5 3 2 13" xfId="4394"/>
    <cellStyle name="Normal 5 3 2 2" xfId="226"/>
    <cellStyle name="Normal 5 3 2 2 10" xfId="10977"/>
    <cellStyle name="Normal 5 3 2 2 11" xfId="4498"/>
    <cellStyle name="Normal 5 3 2 2 2" xfId="439"/>
    <cellStyle name="Normal 5 3 2 2 2 2" xfId="684"/>
    <cellStyle name="Normal 5 3 2 2 2 2 2" xfId="2413"/>
    <cellStyle name="Normal 5 3 2 2 2 2 2 2" xfId="16301"/>
    <cellStyle name="Normal 5 3 2 2 2 2 2 3" xfId="12723"/>
    <cellStyle name="Normal 5 3 2 2 2 2 2 4" xfId="7433"/>
    <cellStyle name="Normal 5 3 2 2 2 2 3" xfId="3680"/>
    <cellStyle name="Normal 5 3 2 2 2 2 3 2" xfId="17326"/>
    <cellStyle name="Normal 5 3 2 2 2 2 3 3" xfId="13747"/>
    <cellStyle name="Normal 5 3 2 2 2 2 3 4" xfId="8490"/>
    <cellStyle name="Normal 5 3 2 2 2 2 4" xfId="6549"/>
    <cellStyle name="Normal 5 3 2 2 2 2 4 2" xfId="15633"/>
    <cellStyle name="Normal 5 3 2 2 2 2 5" xfId="9944"/>
    <cellStyle name="Normal 5 3 2 2 2 2 5 2" xfId="18771"/>
    <cellStyle name="Normal 5 3 2 2 2 2 6" xfId="11389"/>
    <cellStyle name="Normal 5 3 2 2 2 2 7" xfId="5027"/>
    <cellStyle name="Normal 5 3 2 2 2 3" xfId="1041"/>
    <cellStyle name="Normal 5 3 2 2 2 3 2" xfId="2761"/>
    <cellStyle name="Normal 5 3 2 2 2 3 2 2" xfId="16798"/>
    <cellStyle name="Normal 5 3 2 2 2 3 2 3" xfId="13219"/>
    <cellStyle name="Normal 5 3 2 2 2 3 2 4" xfId="7930"/>
    <cellStyle name="Normal 5 3 2 2 2 3 3" xfId="4029"/>
    <cellStyle name="Normal 5 3 2 2 2 3 3 2" xfId="17674"/>
    <cellStyle name="Normal 5 3 2 2 2 3 3 3" xfId="14095"/>
    <cellStyle name="Normal 5 3 2 2 2 3 3 4" xfId="8838"/>
    <cellStyle name="Normal 5 3 2 2 2 3 4" xfId="6337"/>
    <cellStyle name="Normal 5 3 2 2 2 3 4 2" xfId="15421"/>
    <cellStyle name="Normal 5 3 2 2 2 3 5" xfId="10292"/>
    <cellStyle name="Normal 5 3 2 2 2 3 5 2" xfId="19119"/>
    <cellStyle name="Normal 5 3 2 2 2 3 6" xfId="11738"/>
    <cellStyle name="Normal 5 3 2 2 2 3 7" xfId="5524"/>
    <cellStyle name="Normal 5 3 2 2 2 4" xfId="1653"/>
    <cellStyle name="Normal 5 3 2 2 2 4 2" xfId="3249"/>
    <cellStyle name="Normal 5 3 2 2 2 4 2 2" xfId="18162"/>
    <cellStyle name="Normal 5 3 2 2 2 4 2 3" xfId="14583"/>
    <cellStyle name="Normal 5 3 2 2 2 4 2 4" xfId="9326"/>
    <cellStyle name="Normal 5 3 2 2 2 4 3" xfId="10780"/>
    <cellStyle name="Normal 5 3 2 2 2 4 3 2" xfId="19607"/>
    <cellStyle name="Normal 5 3 2 2 2 4 4" xfId="12226"/>
    <cellStyle name="Normal 5 3 2 2 2 4 5" xfId="7221"/>
    <cellStyle name="Normal 5 3 2 2 2 5" xfId="2206"/>
    <cellStyle name="Normal 5 3 2 2 2 5 2" xfId="17119"/>
    <cellStyle name="Normal 5 3 2 2 2 5 3" xfId="13540"/>
    <cellStyle name="Normal 5 3 2 2 2 5 4" xfId="8283"/>
    <cellStyle name="Normal 5 3 2 2 2 6" xfId="5844"/>
    <cellStyle name="Normal 5 3 2 2 2 6 2" xfId="14930"/>
    <cellStyle name="Normal 5 3 2 2 2 7" xfId="9737"/>
    <cellStyle name="Normal 5 3 2 2 2 7 2" xfId="18564"/>
    <cellStyle name="Normal 5 3 2 2 2 8" xfId="11181"/>
    <cellStyle name="Normal 5 3 2 2 2 9" xfId="4815"/>
    <cellStyle name="Normal 5 3 2 2 2_Degree data" xfId="1216"/>
    <cellStyle name="Normal 5 3 2 2 3" xfId="683"/>
    <cellStyle name="Normal 5 3 2 2 3 2" xfId="2412"/>
    <cellStyle name="Normal 5 3 2 2 3 2 2" xfId="16031"/>
    <cellStyle name="Normal 5 3 2 2 3 2 3" xfId="12499"/>
    <cellStyle name="Normal 5 3 2 2 3 2 4" xfId="7017"/>
    <cellStyle name="Normal 5 3 2 2 3 3" xfId="3679"/>
    <cellStyle name="Normal 5 3 2 2 3 3 2" xfId="17325"/>
    <cellStyle name="Normal 5 3 2 2 3 3 3" xfId="13746"/>
    <cellStyle name="Normal 5 3 2 2 3 3 4" xfId="8489"/>
    <cellStyle name="Normal 5 3 2 2 3 4" xfId="6133"/>
    <cellStyle name="Normal 5 3 2 2 3 4 2" xfId="15217"/>
    <cellStyle name="Normal 5 3 2 2 3 5" xfId="9943"/>
    <cellStyle name="Normal 5 3 2 2 3 5 2" xfId="18770"/>
    <cellStyle name="Normal 5 3 2 2 3 6" xfId="11388"/>
    <cellStyle name="Normal 5 3 2 2 3 7" xfId="4611"/>
    <cellStyle name="Normal 5 3 2 2 4" xfId="1040"/>
    <cellStyle name="Normal 5 3 2 2 4 2" xfId="2760"/>
    <cellStyle name="Normal 5 3 2 2 4 2 2" xfId="16300"/>
    <cellStyle name="Normal 5 3 2 2 4 2 3" xfId="12722"/>
    <cellStyle name="Normal 5 3 2 2 4 2 4" xfId="7432"/>
    <cellStyle name="Normal 5 3 2 2 4 3" xfId="4028"/>
    <cellStyle name="Normal 5 3 2 2 4 3 2" xfId="17673"/>
    <cellStyle name="Normal 5 3 2 2 4 3 3" xfId="14094"/>
    <cellStyle name="Normal 5 3 2 2 4 3 4" xfId="8837"/>
    <cellStyle name="Normal 5 3 2 2 4 4" xfId="6548"/>
    <cellStyle name="Normal 5 3 2 2 4 4 2" xfId="15632"/>
    <cellStyle name="Normal 5 3 2 2 4 5" xfId="10291"/>
    <cellStyle name="Normal 5 3 2 2 4 5 2" xfId="19118"/>
    <cellStyle name="Normal 5 3 2 2 4 6" xfId="11737"/>
    <cellStyle name="Normal 5 3 2 2 4 7" xfId="5026"/>
    <cellStyle name="Normal 5 3 2 2 5" xfId="1444"/>
    <cellStyle name="Normal 5 3 2 2 5 2" xfId="3045"/>
    <cellStyle name="Normal 5 3 2 2 5 2 2" xfId="16594"/>
    <cellStyle name="Normal 5 3 2 2 5 2 3" xfId="13015"/>
    <cellStyle name="Normal 5 3 2 2 5 2 4" xfId="7726"/>
    <cellStyle name="Normal 5 3 2 2 5 3" xfId="4253"/>
    <cellStyle name="Normal 5 3 2 2 5 3 2" xfId="17958"/>
    <cellStyle name="Normal 5 3 2 2 5 3 3" xfId="14379"/>
    <cellStyle name="Normal 5 3 2 2 5 3 4" xfId="9122"/>
    <cellStyle name="Normal 5 3 2 2 5 4" xfId="6018"/>
    <cellStyle name="Normal 5 3 2 2 5 4 2" xfId="15104"/>
    <cellStyle name="Normal 5 3 2 2 5 5" xfId="10576"/>
    <cellStyle name="Normal 5 3 2 2 5 5 2" xfId="19403"/>
    <cellStyle name="Normal 5 3 2 2 5 6" xfId="12022"/>
    <cellStyle name="Normal 5 3 2 2 5 7" xfId="5320"/>
    <cellStyle name="Normal 5 3 2 2 6" xfId="2002"/>
    <cellStyle name="Normal 5 3 2 2 6 2" xfId="15947"/>
    <cellStyle name="Normal 5 3 2 2 6 3" xfId="10814"/>
    <cellStyle name="Normal 5 3 2 2 6 4" xfId="6904"/>
    <cellStyle name="Normal 5 3 2 2 7" xfId="3415"/>
    <cellStyle name="Normal 5 3 2 2 7 2" xfId="16915"/>
    <cellStyle name="Normal 5 3 2 2 7 3" xfId="13336"/>
    <cellStyle name="Normal 5 3 2 2 7 4" xfId="8079"/>
    <cellStyle name="Normal 5 3 2 2 8" xfId="5640"/>
    <cellStyle name="Normal 5 3 2 2 8 2" xfId="14726"/>
    <cellStyle name="Normal 5 3 2 2 9" xfId="9533"/>
    <cellStyle name="Normal 5 3 2 2 9 2" xfId="18360"/>
    <cellStyle name="Normal 5 3 2 2_Degree data" xfId="1217"/>
    <cellStyle name="Normal 5 3 2 3" xfId="396"/>
    <cellStyle name="Normal 5 3 2 3 10" xfId="4455"/>
    <cellStyle name="Normal 5 3 2 3 2" xfId="685"/>
    <cellStyle name="Normal 5 3 2 3 2 2" xfId="2414"/>
    <cellStyle name="Normal 5 3 2 3 2 2 2" xfId="16092"/>
    <cellStyle name="Normal 5 3 2 3 2 2 3" xfId="12380"/>
    <cellStyle name="Normal 5 3 2 3 2 2 4" xfId="7178"/>
    <cellStyle name="Normal 5 3 2 3 2 3" xfId="3681"/>
    <cellStyle name="Normal 5 3 2 3 2 3 2" xfId="17327"/>
    <cellStyle name="Normal 5 3 2 3 2 3 3" xfId="13748"/>
    <cellStyle name="Normal 5 3 2 3 2 3 4" xfId="8491"/>
    <cellStyle name="Normal 5 3 2 3 2 4" xfId="6294"/>
    <cellStyle name="Normal 5 3 2 3 2 4 2" xfId="15378"/>
    <cellStyle name="Normal 5 3 2 3 2 5" xfId="9945"/>
    <cellStyle name="Normal 5 3 2 3 2 5 2" xfId="18772"/>
    <cellStyle name="Normal 5 3 2 3 2 6" xfId="11390"/>
    <cellStyle name="Normal 5 3 2 3 2 7" xfId="4772"/>
    <cellStyle name="Normal 5 3 2 3 3" xfId="1042"/>
    <cellStyle name="Normal 5 3 2 3 3 2" xfId="2762"/>
    <cellStyle name="Normal 5 3 2 3 3 2 2" xfId="16302"/>
    <cellStyle name="Normal 5 3 2 3 3 2 3" xfId="12724"/>
    <cellStyle name="Normal 5 3 2 3 3 2 4" xfId="7434"/>
    <cellStyle name="Normal 5 3 2 3 3 3" xfId="4030"/>
    <cellStyle name="Normal 5 3 2 3 3 3 2" xfId="17675"/>
    <cellStyle name="Normal 5 3 2 3 3 3 3" xfId="14096"/>
    <cellStyle name="Normal 5 3 2 3 3 3 4" xfId="8839"/>
    <cellStyle name="Normal 5 3 2 3 3 4" xfId="6550"/>
    <cellStyle name="Normal 5 3 2 3 3 4 2" xfId="15634"/>
    <cellStyle name="Normal 5 3 2 3 3 5" xfId="10293"/>
    <cellStyle name="Normal 5 3 2 3 3 5 2" xfId="19120"/>
    <cellStyle name="Normal 5 3 2 3 3 6" xfId="11739"/>
    <cellStyle name="Normal 5 3 2 3 3 7" xfId="5028"/>
    <cellStyle name="Normal 5 3 2 3 4" xfId="1610"/>
    <cellStyle name="Normal 5 3 2 3 4 2" xfId="3206"/>
    <cellStyle name="Normal 5 3 2 3 4 2 2" xfId="16755"/>
    <cellStyle name="Normal 5 3 2 3 4 2 3" xfId="13176"/>
    <cellStyle name="Normal 5 3 2 3 4 2 4" xfId="7887"/>
    <cellStyle name="Normal 5 3 2 3 4 3" xfId="4314"/>
    <cellStyle name="Normal 5 3 2 3 4 3 2" xfId="18119"/>
    <cellStyle name="Normal 5 3 2 3 4 3 3" xfId="14540"/>
    <cellStyle name="Normal 5 3 2 3 4 3 4" xfId="9283"/>
    <cellStyle name="Normal 5 3 2 3 4 4" xfId="5975"/>
    <cellStyle name="Normal 5 3 2 3 4 4 2" xfId="15061"/>
    <cellStyle name="Normal 5 3 2 3 4 5" xfId="10737"/>
    <cellStyle name="Normal 5 3 2 3 4 5 2" xfId="19564"/>
    <cellStyle name="Normal 5 3 2 3 4 6" xfId="12183"/>
    <cellStyle name="Normal 5 3 2 3 4 7" xfId="5481"/>
    <cellStyle name="Normal 5 3 2 3 5" xfId="2163"/>
    <cellStyle name="Normal 5 3 2 3 5 2" xfId="15904"/>
    <cellStyle name="Normal 5 3 2 3 5 3" xfId="12365"/>
    <cellStyle name="Normal 5 3 2 3 5 4" xfId="6861"/>
    <cellStyle name="Normal 5 3 2 3 6" xfId="3476"/>
    <cellStyle name="Normal 5 3 2 3 6 2" xfId="17076"/>
    <cellStyle name="Normal 5 3 2 3 6 3" xfId="13497"/>
    <cellStyle name="Normal 5 3 2 3 6 4" xfId="8240"/>
    <cellStyle name="Normal 5 3 2 3 7" xfId="5801"/>
    <cellStyle name="Normal 5 3 2 3 7 2" xfId="14887"/>
    <cellStyle name="Normal 5 3 2 3 8" xfId="9694"/>
    <cellStyle name="Normal 5 3 2 3 8 2" xfId="18521"/>
    <cellStyle name="Normal 5 3 2 3 9" xfId="11138"/>
    <cellStyle name="Normal 5 3 2 3_Degree data" xfId="1215"/>
    <cellStyle name="Normal 5 3 2 4" xfId="334"/>
    <cellStyle name="Normal 5 3 2 4 2" xfId="686"/>
    <cellStyle name="Normal 5 3 2 4 2 2" xfId="2415"/>
    <cellStyle name="Normal 5 3 2 4 2 2 2" xfId="16303"/>
    <cellStyle name="Normal 5 3 2 4 2 2 3" xfId="12725"/>
    <cellStyle name="Normal 5 3 2 4 2 2 4" xfId="7435"/>
    <cellStyle name="Normal 5 3 2 4 2 3" xfId="3682"/>
    <cellStyle name="Normal 5 3 2 4 2 3 2" xfId="17328"/>
    <cellStyle name="Normal 5 3 2 4 2 3 3" xfId="13749"/>
    <cellStyle name="Normal 5 3 2 4 2 3 4" xfId="8492"/>
    <cellStyle name="Normal 5 3 2 4 2 4" xfId="6551"/>
    <cellStyle name="Normal 5 3 2 4 2 4 2" xfId="15635"/>
    <cellStyle name="Normal 5 3 2 4 2 5" xfId="9946"/>
    <cellStyle name="Normal 5 3 2 4 2 5 2" xfId="18773"/>
    <cellStyle name="Normal 5 3 2 4 2 6" xfId="11391"/>
    <cellStyle name="Normal 5 3 2 4 2 7" xfId="5029"/>
    <cellStyle name="Normal 5 3 2 4 3" xfId="1043"/>
    <cellStyle name="Normal 5 3 2 4 3 2" xfId="2763"/>
    <cellStyle name="Normal 5 3 2 4 3 2 2" xfId="16694"/>
    <cellStyle name="Normal 5 3 2 4 3 2 3" xfId="13115"/>
    <cellStyle name="Normal 5 3 2 4 3 2 4" xfId="7826"/>
    <cellStyle name="Normal 5 3 2 4 3 3" xfId="4031"/>
    <cellStyle name="Normal 5 3 2 4 3 3 2" xfId="17676"/>
    <cellStyle name="Normal 5 3 2 4 3 3 3" xfId="14097"/>
    <cellStyle name="Normal 5 3 2 4 3 3 4" xfId="8840"/>
    <cellStyle name="Normal 5 3 2 4 3 4" xfId="6233"/>
    <cellStyle name="Normal 5 3 2 4 3 4 2" xfId="15317"/>
    <cellStyle name="Normal 5 3 2 4 3 5" xfId="10294"/>
    <cellStyle name="Normal 5 3 2 4 3 5 2" xfId="19121"/>
    <cellStyle name="Normal 5 3 2 4 3 6" xfId="11740"/>
    <cellStyle name="Normal 5 3 2 4 3 7" xfId="5420"/>
    <cellStyle name="Normal 5 3 2 4 4" xfId="1546"/>
    <cellStyle name="Normal 5 3 2 4 4 2" xfId="3145"/>
    <cellStyle name="Normal 5 3 2 4 4 2 2" xfId="18058"/>
    <cellStyle name="Normal 5 3 2 4 4 2 3" xfId="14479"/>
    <cellStyle name="Normal 5 3 2 4 4 2 4" xfId="9222"/>
    <cellStyle name="Normal 5 3 2 4 4 3" xfId="10676"/>
    <cellStyle name="Normal 5 3 2 4 4 3 2" xfId="19503"/>
    <cellStyle name="Normal 5 3 2 4 4 4" xfId="12122"/>
    <cellStyle name="Normal 5 3 2 4 4 5" xfId="7117"/>
    <cellStyle name="Normal 5 3 2 4 5" xfId="2102"/>
    <cellStyle name="Normal 5 3 2 4 5 2" xfId="17015"/>
    <cellStyle name="Normal 5 3 2 4 5 3" xfId="13436"/>
    <cellStyle name="Normal 5 3 2 4 5 4" xfId="8179"/>
    <cellStyle name="Normal 5 3 2 4 6" xfId="5740"/>
    <cellStyle name="Normal 5 3 2 4 6 2" xfId="14826"/>
    <cellStyle name="Normal 5 3 2 4 7" xfId="9633"/>
    <cellStyle name="Normal 5 3 2 4 7 2" xfId="18460"/>
    <cellStyle name="Normal 5 3 2 4 8" xfId="11077"/>
    <cellStyle name="Normal 5 3 2 4 9" xfId="4711"/>
    <cellStyle name="Normal 5 3 2 4_Degree data" xfId="1310"/>
    <cellStyle name="Normal 5 3 2 5" xfId="682"/>
    <cellStyle name="Normal 5 3 2 5 2" xfId="2411"/>
    <cellStyle name="Normal 5 3 2 5 2 2" xfId="15986"/>
    <cellStyle name="Normal 5 3 2 5 2 3" xfId="12266"/>
    <cellStyle name="Normal 5 3 2 5 2 4" xfId="6960"/>
    <cellStyle name="Normal 5 3 2 5 3" xfId="3678"/>
    <cellStyle name="Normal 5 3 2 5 3 2" xfId="17324"/>
    <cellStyle name="Normal 5 3 2 5 3 3" xfId="13745"/>
    <cellStyle name="Normal 5 3 2 5 3 4" xfId="8488"/>
    <cellStyle name="Normal 5 3 2 5 4" xfId="6076"/>
    <cellStyle name="Normal 5 3 2 5 4 2" xfId="15160"/>
    <cellStyle name="Normal 5 3 2 5 5" xfId="9942"/>
    <cellStyle name="Normal 5 3 2 5 5 2" xfId="18769"/>
    <cellStyle name="Normal 5 3 2 5 6" xfId="11387"/>
    <cellStyle name="Normal 5 3 2 5 7" xfId="4554"/>
    <cellStyle name="Normal 5 3 2 6" xfId="1039"/>
    <cellStyle name="Normal 5 3 2 6 2" xfId="2759"/>
    <cellStyle name="Normal 5 3 2 6 2 2" xfId="16299"/>
    <cellStyle name="Normal 5 3 2 6 2 3" xfId="12721"/>
    <cellStyle name="Normal 5 3 2 6 2 4" xfId="7431"/>
    <cellStyle name="Normal 5 3 2 6 3" xfId="4027"/>
    <cellStyle name="Normal 5 3 2 6 3 2" xfId="17672"/>
    <cellStyle name="Normal 5 3 2 6 3 3" xfId="14093"/>
    <cellStyle name="Normal 5 3 2 6 3 4" xfId="8836"/>
    <cellStyle name="Normal 5 3 2 6 4" xfId="6547"/>
    <cellStyle name="Normal 5 3 2 6 4 2" xfId="15631"/>
    <cellStyle name="Normal 5 3 2 6 5" xfId="10290"/>
    <cellStyle name="Normal 5 3 2 6 5 2" xfId="19117"/>
    <cellStyle name="Normal 5 3 2 6 6" xfId="11736"/>
    <cellStyle name="Normal 5 3 2 6 7" xfId="5025"/>
    <cellStyle name="Normal 5 3 2 7" xfId="1378"/>
    <cellStyle name="Normal 5 3 2 7 2" xfId="2988"/>
    <cellStyle name="Normal 5 3 2 7 2 2" xfId="16537"/>
    <cellStyle name="Normal 5 3 2 7 2 3" xfId="12958"/>
    <cellStyle name="Normal 5 3 2 7 2 4" xfId="7669"/>
    <cellStyle name="Normal 5 3 2 7 3" xfId="4208"/>
    <cellStyle name="Normal 5 3 2 7 3 2" xfId="17901"/>
    <cellStyle name="Normal 5 3 2 7 3 3" xfId="14322"/>
    <cellStyle name="Normal 5 3 2 7 3 4" xfId="9065"/>
    <cellStyle name="Normal 5 3 2 7 4" xfId="5914"/>
    <cellStyle name="Normal 5 3 2 7 4 2" xfId="15000"/>
    <cellStyle name="Normal 5 3 2 7 5" xfId="10519"/>
    <cellStyle name="Normal 5 3 2 7 5 2" xfId="19346"/>
    <cellStyle name="Normal 5 3 2 7 6" xfId="11965"/>
    <cellStyle name="Normal 5 3 2 7 7" xfId="5263"/>
    <cellStyle name="Normal 5 3 2 8" xfId="1945"/>
    <cellStyle name="Normal 5 3 2 8 2" xfId="15847"/>
    <cellStyle name="Normal 5 3 2 8 3" xfId="12287"/>
    <cellStyle name="Normal 5 3 2 8 4" xfId="6800"/>
    <cellStyle name="Normal 5 3 2 9" xfId="3370"/>
    <cellStyle name="Normal 5 3 2 9 2" xfId="16856"/>
    <cellStyle name="Normal 5 3 2 9 3" xfId="13277"/>
    <cellStyle name="Normal 5 3 2 9 4" xfId="8020"/>
    <cellStyle name="Normal 5 3 2_Degree data" xfId="1240"/>
    <cellStyle name="Normal 5 3 3" xfId="269"/>
    <cellStyle name="Normal 5 3 3 10" xfId="11020"/>
    <cellStyle name="Normal 5 3 3 11" xfId="4437"/>
    <cellStyle name="Normal 5 3 3 2" xfId="377"/>
    <cellStyle name="Normal 5 3 3 2 2" xfId="688"/>
    <cellStyle name="Normal 5 3 3 2 2 2" xfId="2417"/>
    <cellStyle name="Normal 5 3 3 2 2 2 2" xfId="16305"/>
    <cellStyle name="Normal 5 3 3 2 2 2 3" xfId="12727"/>
    <cellStyle name="Normal 5 3 3 2 2 2 4" xfId="7437"/>
    <cellStyle name="Normal 5 3 3 2 2 3" xfId="3684"/>
    <cellStyle name="Normal 5 3 3 2 2 3 2" xfId="17330"/>
    <cellStyle name="Normal 5 3 3 2 2 3 3" xfId="13751"/>
    <cellStyle name="Normal 5 3 3 2 2 3 4" xfId="8494"/>
    <cellStyle name="Normal 5 3 3 2 2 4" xfId="6553"/>
    <cellStyle name="Normal 5 3 3 2 2 4 2" xfId="15637"/>
    <cellStyle name="Normal 5 3 3 2 2 5" xfId="9948"/>
    <cellStyle name="Normal 5 3 3 2 2 5 2" xfId="18775"/>
    <cellStyle name="Normal 5 3 3 2 2 6" xfId="11393"/>
    <cellStyle name="Normal 5 3 3 2 2 7" xfId="5031"/>
    <cellStyle name="Normal 5 3 3 2 3" xfId="1045"/>
    <cellStyle name="Normal 5 3 3 2 3 2" xfId="2765"/>
    <cellStyle name="Normal 5 3 3 2 3 2 2" xfId="16737"/>
    <cellStyle name="Normal 5 3 3 2 3 2 3" xfId="13158"/>
    <cellStyle name="Normal 5 3 3 2 3 2 4" xfId="7869"/>
    <cellStyle name="Normal 5 3 3 2 3 3" xfId="4033"/>
    <cellStyle name="Normal 5 3 3 2 3 3 2" xfId="17678"/>
    <cellStyle name="Normal 5 3 3 2 3 3 3" xfId="14099"/>
    <cellStyle name="Normal 5 3 3 2 3 3 4" xfId="8842"/>
    <cellStyle name="Normal 5 3 3 2 3 4" xfId="6276"/>
    <cellStyle name="Normal 5 3 3 2 3 4 2" xfId="15360"/>
    <cellStyle name="Normal 5 3 3 2 3 5" xfId="10296"/>
    <cellStyle name="Normal 5 3 3 2 3 5 2" xfId="19123"/>
    <cellStyle name="Normal 5 3 3 2 3 6" xfId="11742"/>
    <cellStyle name="Normal 5 3 3 2 3 7" xfId="5463"/>
    <cellStyle name="Normal 5 3 3 2 4" xfId="1591"/>
    <cellStyle name="Normal 5 3 3 2 4 2" xfId="3188"/>
    <cellStyle name="Normal 5 3 3 2 4 2 2" xfId="18101"/>
    <cellStyle name="Normal 5 3 3 2 4 2 3" xfId="14522"/>
    <cellStyle name="Normal 5 3 3 2 4 2 4" xfId="9265"/>
    <cellStyle name="Normal 5 3 3 2 4 3" xfId="10719"/>
    <cellStyle name="Normal 5 3 3 2 4 3 2" xfId="19546"/>
    <cellStyle name="Normal 5 3 3 2 4 4" xfId="12165"/>
    <cellStyle name="Normal 5 3 3 2 4 5" xfId="7160"/>
    <cellStyle name="Normal 5 3 3 2 5" xfId="2145"/>
    <cellStyle name="Normal 5 3 3 2 5 2" xfId="17058"/>
    <cellStyle name="Normal 5 3 3 2 5 3" xfId="13479"/>
    <cellStyle name="Normal 5 3 3 2 5 4" xfId="8222"/>
    <cellStyle name="Normal 5 3 3 2 6" xfId="5783"/>
    <cellStyle name="Normal 5 3 3 2 6 2" xfId="14869"/>
    <cellStyle name="Normal 5 3 3 2 7" xfId="9676"/>
    <cellStyle name="Normal 5 3 3 2 7 2" xfId="18503"/>
    <cellStyle name="Normal 5 3 3 2 8" xfId="11120"/>
    <cellStyle name="Normal 5 3 3 2 9" xfId="4754"/>
    <cellStyle name="Normal 5 3 3 2_Degree data" xfId="1327"/>
    <cellStyle name="Normal 5 3 3 3" xfId="687"/>
    <cellStyle name="Normal 5 3 3 3 2" xfId="2416"/>
    <cellStyle name="Normal 5 3 3 3 2 2" xfId="16074"/>
    <cellStyle name="Normal 5 3 3 3 2 3" xfId="12385"/>
    <cellStyle name="Normal 5 3 3 3 2 4" xfId="7060"/>
    <cellStyle name="Normal 5 3 3 3 3" xfId="3683"/>
    <cellStyle name="Normal 5 3 3 3 3 2" xfId="17329"/>
    <cellStyle name="Normal 5 3 3 3 3 3" xfId="13750"/>
    <cellStyle name="Normal 5 3 3 3 3 4" xfId="8493"/>
    <cellStyle name="Normal 5 3 3 3 4" xfId="6176"/>
    <cellStyle name="Normal 5 3 3 3 4 2" xfId="15260"/>
    <cellStyle name="Normal 5 3 3 3 5" xfId="9947"/>
    <cellStyle name="Normal 5 3 3 3 5 2" xfId="18774"/>
    <cellStyle name="Normal 5 3 3 3 6" xfId="11392"/>
    <cellStyle name="Normal 5 3 3 3 7" xfId="4654"/>
    <cellStyle name="Normal 5 3 3 4" xfId="1044"/>
    <cellStyle name="Normal 5 3 3 4 2" xfId="2764"/>
    <cellStyle name="Normal 5 3 3 4 2 2" xfId="16304"/>
    <cellStyle name="Normal 5 3 3 4 2 3" xfId="12726"/>
    <cellStyle name="Normal 5 3 3 4 2 4" xfId="7436"/>
    <cellStyle name="Normal 5 3 3 4 3" xfId="4032"/>
    <cellStyle name="Normal 5 3 3 4 3 2" xfId="17677"/>
    <cellStyle name="Normal 5 3 3 4 3 3" xfId="14098"/>
    <cellStyle name="Normal 5 3 3 4 3 4" xfId="8841"/>
    <cellStyle name="Normal 5 3 3 4 4" xfId="6552"/>
    <cellStyle name="Normal 5 3 3 4 4 2" xfId="15636"/>
    <cellStyle name="Normal 5 3 3 4 5" xfId="10295"/>
    <cellStyle name="Normal 5 3 3 4 5 2" xfId="19122"/>
    <cellStyle name="Normal 5 3 3 4 6" xfId="11741"/>
    <cellStyle name="Normal 5 3 3 4 7" xfId="5030"/>
    <cellStyle name="Normal 5 3 3 5" xfId="1489"/>
    <cellStyle name="Normal 5 3 3 5 2" xfId="3088"/>
    <cellStyle name="Normal 5 3 3 5 2 2" xfId="16637"/>
    <cellStyle name="Normal 5 3 3 5 2 3" xfId="13058"/>
    <cellStyle name="Normal 5 3 3 5 2 4" xfId="7769"/>
    <cellStyle name="Normal 5 3 3 5 3" xfId="4296"/>
    <cellStyle name="Normal 5 3 3 5 3 2" xfId="18001"/>
    <cellStyle name="Normal 5 3 3 5 3 3" xfId="14422"/>
    <cellStyle name="Normal 5 3 3 5 3 4" xfId="9165"/>
    <cellStyle name="Normal 5 3 3 5 4" xfId="5957"/>
    <cellStyle name="Normal 5 3 3 5 4 2" xfId="15043"/>
    <cellStyle name="Normal 5 3 3 5 5" xfId="10619"/>
    <cellStyle name="Normal 5 3 3 5 5 2" xfId="19446"/>
    <cellStyle name="Normal 5 3 3 5 6" xfId="12065"/>
    <cellStyle name="Normal 5 3 3 5 7" xfId="5363"/>
    <cellStyle name="Normal 5 3 3 6" xfId="2045"/>
    <cellStyle name="Normal 5 3 3 6 2" xfId="15886"/>
    <cellStyle name="Normal 5 3 3 6 3" xfId="12428"/>
    <cellStyle name="Normal 5 3 3 6 4" xfId="6843"/>
    <cellStyle name="Normal 5 3 3 7" xfId="3458"/>
    <cellStyle name="Normal 5 3 3 7 2" xfId="16958"/>
    <cellStyle name="Normal 5 3 3 7 3" xfId="13379"/>
    <cellStyle name="Normal 5 3 3 7 4" xfId="8122"/>
    <cellStyle name="Normal 5 3 3 8" xfId="5683"/>
    <cellStyle name="Normal 5 3 3 8 2" xfId="14769"/>
    <cellStyle name="Normal 5 3 3 9" xfId="9576"/>
    <cellStyle name="Normal 5 3 3 9 2" xfId="18403"/>
    <cellStyle name="Normal 5 3 3_Degree data" xfId="1309"/>
    <cellStyle name="Normal 5 3 4" xfId="188"/>
    <cellStyle name="Normal 5 3 4 10" xfId="10942"/>
    <cellStyle name="Normal 5 3 4 11" xfId="4464"/>
    <cellStyle name="Normal 5 3 4 2" xfId="405"/>
    <cellStyle name="Normal 5 3 4 2 2" xfId="690"/>
    <cellStyle name="Normal 5 3 4 2 2 2" xfId="2419"/>
    <cellStyle name="Normal 5 3 4 2 2 2 2" xfId="16307"/>
    <cellStyle name="Normal 5 3 4 2 2 2 3" xfId="12729"/>
    <cellStyle name="Normal 5 3 4 2 2 2 4" xfId="7439"/>
    <cellStyle name="Normal 5 3 4 2 2 3" xfId="3686"/>
    <cellStyle name="Normal 5 3 4 2 2 3 2" xfId="17332"/>
    <cellStyle name="Normal 5 3 4 2 2 3 3" xfId="13753"/>
    <cellStyle name="Normal 5 3 4 2 2 3 4" xfId="8496"/>
    <cellStyle name="Normal 5 3 4 2 2 4" xfId="6555"/>
    <cellStyle name="Normal 5 3 4 2 2 4 2" xfId="15639"/>
    <cellStyle name="Normal 5 3 4 2 2 5" xfId="9950"/>
    <cellStyle name="Normal 5 3 4 2 2 5 2" xfId="18777"/>
    <cellStyle name="Normal 5 3 4 2 2 6" xfId="11395"/>
    <cellStyle name="Normal 5 3 4 2 2 7" xfId="5033"/>
    <cellStyle name="Normal 5 3 4 2 3" xfId="1047"/>
    <cellStyle name="Normal 5 3 4 2 3 2" xfId="2767"/>
    <cellStyle name="Normal 5 3 4 2 3 2 2" xfId="16764"/>
    <cellStyle name="Normal 5 3 4 2 3 2 3" xfId="13185"/>
    <cellStyle name="Normal 5 3 4 2 3 2 4" xfId="7896"/>
    <cellStyle name="Normal 5 3 4 2 3 3" xfId="4035"/>
    <cellStyle name="Normal 5 3 4 2 3 3 2" xfId="17680"/>
    <cellStyle name="Normal 5 3 4 2 3 3 3" xfId="14101"/>
    <cellStyle name="Normal 5 3 4 2 3 3 4" xfId="8844"/>
    <cellStyle name="Normal 5 3 4 2 3 4" xfId="6303"/>
    <cellStyle name="Normal 5 3 4 2 3 4 2" xfId="15387"/>
    <cellStyle name="Normal 5 3 4 2 3 5" xfId="10298"/>
    <cellStyle name="Normal 5 3 4 2 3 5 2" xfId="19125"/>
    <cellStyle name="Normal 5 3 4 2 3 6" xfId="11744"/>
    <cellStyle name="Normal 5 3 4 2 3 7" xfId="5490"/>
    <cellStyle name="Normal 5 3 4 2 4" xfId="1619"/>
    <cellStyle name="Normal 5 3 4 2 4 2" xfId="3215"/>
    <cellStyle name="Normal 5 3 4 2 4 2 2" xfId="18128"/>
    <cellStyle name="Normal 5 3 4 2 4 2 3" xfId="14549"/>
    <cellStyle name="Normal 5 3 4 2 4 2 4" xfId="9292"/>
    <cellStyle name="Normal 5 3 4 2 4 3" xfId="10746"/>
    <cellStyle name="Normal 5 3 4 2 4 3 2" xfId="19573"/>
    <cellStyle name="Normal 5 3 4 2 4 4" xfId="12192"/>
    <cellStyle name="Normal 5 3 4 2 4 5" xfId="7187"/>
    <cellStyle name="Normal 5 3 4 2 5" xfId="2172"/>
    <cellStyle name="Normal 5 3 4 2 5 2" xfId="17085"/>
    <cellStyle name="Normal 5 3 4 2 5 3" xfId="13506"/>
    <cellStyle name="Normal 5 3 4 2 5 4" xfId="8249"/>
    <cellStyle name="Normal 5 3 4 2 6" xfId="5810"/>
    <cellStyle name="Normal 5 3 4 2 6 2" xfId="14896"/>
    <cellStyle name="Normal 5 3 4 2 7" xfId="9703"/>
    <cellStyle name="Normal 5 3 4 2 7 2" xfId="18530"/>
    <cellStyle name="Normal 5 3 4 2 8" xfId="11147"/>
    <cellStyle name="Normal 5 3 4 2 9" xfId="4781"/>
    <cellStyle name="Normal 5 3 4 2_Degree data" xfId="1397"/>
    <cellStyle name="Normal 5 3 4 3" xfId="689"/>
    <cellStyle name="Normal 5 3 4 3 2" xfId="2418"/>
    <cellStyle name="Normal 5 3 4 3 2 2" xfId="15996"/>
    <cellStyle name="Normal 5 3 4 3 2 3" xfId="12401"/>
    <cellStyle name="Normal 5 3 4 3 2 4" xfId="6982"/>
    <cellStyle name="Normal 5 3 4 3 3" xfId="3685"/>
    <cellStyle name="Normal 5 3 4 3 3 2" xfId="17331"/>
    <cellStyle name="Normal 5 3 4 3 3 3" xfId="13752"/>
    <cellStyle name="Normal 5 3 4 3 3 4" xfId="8495"/>
    <cellStyle name="Normal 5 3 4 3 4" xfId="6098"/>
    <cellStyle name="Normal 5 3 4 3 4 2" xfId="15182"/>
    <cellStyle name="Normal 5 3 4 3 5" xfId="9949"/>
    <cellStyle name="Normal 5 3 4 3 5 2" xfId="18776"/>
    <cellStyle name="Normal 5 3 4 3 6" xfId="11394"/>
    <cellStyle name="Normal 5 3 4 3 7" xfId="4576"/>
    <cellStyle name="Normal 5 3 4 4" xfId="1046"/>
    <cellStyle name="Normal 5 3 4 4 2" xfId="2766"/>
    <cellStyle name="Normal 5 3 4 4 2 2" xfId="16306"/>
    <cellStyle name="Normal 5 3 4 4 2 3" xfId="12728"/>
    <cellStyle name="Normal 5 3 4 4 2 4" xfId="7438"/>
    <cellStyle name="Normal 5 3 4 4 3" xfId="4034"/>
    <cellStyle name="Normal 5 3 4 4 3 2" xfId="17679"/>
    <cellStyle name="Normal 5 3 4 4 3 3" xfId="14100"/>
    <cellStyle name="Normal 5 3 4 4 3 4" xfId="8843"/>
    <cellStyle name="Normal 5 3 4 4 4" xfId="6554"/>
    <cellStyle name="Normal 5 3 4 4 4 2" xfId="15638"/>
    <cellStyle name="Normal 5 3 4 4 5" xfId="10297"/>
    <cellStyle name="Normal 5 3 4 4 5 2" xfId="19124"/>
    <cellStyle name="Normal 5 3 4 4 6" xfId="11743"/>
    <cellStyle name="Normal 5 3 4 4 7" xfId="5032"/>
    <cellStyle name="Normal 5 3 4 5" xfId="1405"/>
    <cellStyle name="Normal 5 3 4 5 2" xfId="3010"/>
    <cellStyle name="Normal 5 3 4 5 2 2" xfId="16559"/>
    <cellStyle name="Normal 5 3 4 5 2 3" xfId="12980"/>
    <cellStyle name="Normal 5 3 4 5 2 4" xfId="7691"/>
    <cellStyle name="Normal 5 3 4 5 3" xfId="4218"/>
    <cellStyle name="Normal 5 3 4 5 3 2" xfId="17923"/>
    <cellStyle name="Normal 5 3 4 5 3 3" xfId="14344"/>
    <cellStyle name="Normal 5 3 4 5 3 4" xfId="9087"/>
    <cellStyle name="Normal 5 3 4 5 4" xfId="5984"/>
    <cellStyle name="Normal 5 3 4 5 4 2" xfId="15070"/>
    <cellStyle name="Normal 5 3 4 5 5" xfId="10541"/>
    <cellStyle name="Normal 5 3 4 5 5 2" xfId="19368"/>
    <cellStyle name="Normal 5 3 4 5 6" xfId="11987"/>
    <cellStyle name="Normal 5 3 4 5 7" xfId="5285"/>
    <cellStyle name="Normal 5 3 4 6" xfId="1967"/>
    <cellStyle name="Normal 5 3 4 6 2" xfId="15913"/>
    <cellStyle name="Normal 5 3 4 6 3" xfId="12508"/>
    <cellStyle name="Normal 5 3 4 6 4" xfId="6870"/>
    <cellStyle name="Normal 5 3 4 7" xfId="3381"/>
    <cellStyle name="Normal 5 3 4 7 2" xfId="16880"/>
    <cellStyle name="Normal 5 3 4 7 3" xfId="13301"/>
    <cellStyle name="Normal 5 3 4 7 4" xfId="8044"/>
    <cellStyle name="Normal 5 3 4 8" xfId="5605"/>
    <cellStyle name="Normal 5 3 4 8 2" xfId="14691"/>
    <cellStyle name="Normal 5 3 4 9" xfId="9498"/>
    <cellStyle name="Normal 5 3 4 9 2" xfId="18325"/>
    <cellStyle name="Normal 5 3 4_Degree data" xfId="1272"/>
    <cellStyle name="Normal 5 3 5" xfId="299"/>
    <cellStyle name="Normal 5 3 5 2" xfId="691"/>
    <cellStyle name="Normal 5 3 5 2 2" xfId="2420"/>
    <cellStyle name="Normal 5 3 5 2 2 2" xfId="16308"/>
    <cellStyle name="Normal 5 3 5 2 2 3" xfId="12730"/>
    <cellStyle name="Normal 5 3 5 2 2 4" xfId="7440"/>
    <cellStyle name="Normal 5 3 5 2 3" xfId="3687"/>
    <cellStyle name="Normal 5 3 5 2 3 2" xfId="17333"/>
    <cellStyle name="Normal 5 3 5 2 3 3" xfId="13754"/>
    <cellStyle name="Normal 5 3 5 2 3 4" xfId="8497"/>
    <cellStyle name="Normal 5 3 5 2 4" xfId="6556"/>
    <cellStyle name="Normal 5 3 5 2 4 2" xfId="15640"/>
    <cellStyle name="Normal 5 3 5 2 5" xfId="9951"/>
    <cellStyle name="Normal 5 3 5 2 5 2" xfId="18778"/>
    <cellStyle name="Normal 5 3 5 2 6" xfId="11396"/>
    <cellStyle name="Normal 5 3 5 2 7" xfId="5034"/>
    <cellStyle name="Normal 5 3 5 3" xfId="1048"/>
    <cellStyle name="Normal 5 3 5 3 2" xfId="2768"/>
    <cellStyle name="Normal 5 3 5 3 2 2" xfId="16659"/>
    <cellStyle name="Normal 5 3 5 3 2 3" xfId="13080"/>
    <cellStyle name="Normal 5 3 5 3 2 4" xfId="7791"/>
    <cellStyle name="Normal 5 3 5 3 3" xfId="4036"/>
    <cellStyle name="Normal 5 3 5 3 3 2" xfId="17681"/>
    <cellStyle name="Normal 5 3 5 3 3 3" xfId="14102"/>
    <cellStyle name="Normal 5 3 5 3 3 4" xfId="8845"/>
    <cellStyle name="Normal 5 3 5 3 4" xfId="6198"/>
    <cellStyle name="Normal 5 3 5 3 4 2" xfId="15282"/>
    <cellStyle name="Normal 5 3 5 3 5" xfId="10299"/>
    <cellStyle name="Normal 5 3 5 3 5 2" xfId="19126"/>
    <cellStyle name="Normal 5 3 5 3 6" xfId="11745"/>
    <cellStyle name="Normal 5 3 5 3 7" xfId="5385"/>
    <cellStyle name="Normal 5 3 5 4" xfId="1511"/>
    <cellStyle name="Normal 5 3 5 4 2" xfId="3110"/>
    <cellStyle name="Normal 5 3 5 4 2 2" xfId="18023"/>
    <cellStyle name="Normal 5 3 5 4 2 3" xfId="14444"/>
    <cellStyle name="Normal 5 3 5 4 2 4" xfId="9187"/>
    <cellStyle name="Normal 5 3 5 4 3" xfId="10641"/>
    <cellStyle name="Normal 5 3 5 4 3 2" xfId="19468"/>
    <cellStyle name="Normal 5 3 5 4 4" xfId="12087"/>
    <cellStyle name="Normal 5 3 5 4 5" xfId="7082"/>
    <cellStyle name="Normal 5 3 5 5" xfId="2067"/>
    <cellStyle name="Normal 5 3 5 5 2" xfId="16980"/>
    <cellStyle name="Normal 5 3 5 5 3" xfId="13401"/>
    <cellStyle name="Normal 5 3 5 5 4" xfId="8144"/>
    <cellStyle name="Normal 5 3 5 6" xfId="5705"/>
    <cellStyle name="Normal 5 3 5 6 2" xfId="14791"/>
    <cellStyle name="Normal 5 3 5 7" xfId="9598"/>
    <cellStyle name="Normal 5 3 5 7 2" xfId="18425"/>
    <cellStyle name="Normal 5 3 5 8" xfId="11042"/>
    <cellStyle name="Normal 5 3 5 9" xfId="4676"/>
    <cellStyle name="Normal 5 3 5_Degree data" xfId="1359"/>
    <cellStyle name="Normal 5 3 6" xfId="474"/>
    <cellStyle name="Normal 5 3 6 2" xfId="692"/>
    <cellStyle name="Normal 5 3 6 2 2" xfId="2421"/>
    <cellStyle name="Normal 5 3 6 2 2 2" xfId="16309"/>
    <cellStyle name="Normal 5 3 6 2 2 3" xfId="12731"/>
    <cellStyle name="Normal 5 3 6 2 2 4" xfId="7441"/>
    <cellStyle name="Normal 5 3 6 2 3" xfId="3688"/>
    <cellStyle name="Normal 5 3 6 2 3 2" xfId="17334"/>
    <cellStyle name="Normal 5 3 6 2 3 3" xfId="13755"/>
    <cellStyle name="Normal 5 3 6 2 3 4" xfId="8498"/>
    <cellStyle name="Normal 5 3 6 2 4" xfId="6557"/>
    <cellStyle name="Normal 5 3 6 2 4 2" xfId="15641"/>
    <cellStyle name="Normal 5 3 6 2 5" xfId="9952"/>
    <cellStyle name="Normal 5 3 6 2 5 2" xfId="18779"/>
    <cellStyle name="Normal 5 3 6 2 6" xfId="11397"/>
    <cellStyle name="Normal 5 3 6 2 7" xfId="5035"/>
    <cellStyle name="Normal 5 3 6 3" xfId="1049"/>
    <cellStyle name="Normal 5 3 6 3 2" xfId="2769"/>
    <cellStyle name="Normal 5 3 6 3 2 2" xfId="16512"/>
    <cellStyle name="Normal 5 3 6 3 2 3" xfId="12934"/>
    <cellStyle name="Normal 5 3 6 3 2 4" xfId="7644"/>
    <cellStyle name="Normal 5 3 6 3 3" xfId="4037"/>
    <cellStyle name="Normal 5 3 6 3 3 2" xfId="17682"/>
    <cellStyle name="Normal 5 3 6 3 3 3" xfId="14103"/>
    <cellStyle name="Normal 5 3 6 3 3 4" xfId="8846"/>
    <cellStyle name="Normal 5 3 6 3 4" xfId="5871"/>
    <cellStyle name="Normal 5 3 6 3 4 2" xfId="14957"/>
    <cellStyle name="Normal 5 3 6 3 5" xfId="10300"/>
    <cellStyle name="Normal 5 3 6 3 5 2" xfId="19127"/>
    <cellStyle name="Normal 5 3 6 3 6" xfId="11746"/>
    <cellStyle name="Normal 5 3 6 3 7" xfId="5238"/>
    <cellStyle name="Normal 5 3 6 4" xfId="1350"/>
    <cellStyle name="Normal 5 3 6 4 2" xfId="2963"/>
    <cellStyle name="Normal 5 3 6 4 2 2" xfId="17876"/>
    <cellStyle name="Normal 5 3 6 4 2 3" xfId="14297"/>
    <cellStyle name="Normal 5 3 6 4 2 4" xfId="9040"/>
    <cellStyle name="Normal 5 3 6 4 3" xfId="10494"/>
    <cellStyle name="Normal 5 3 6 4 3 2" xfId="19321"/>
    <cellStyle name="Normal 5 3 6 4 4" xfId="11940"/>
    <cellStyle name="Normal 5 3 6 4 5" xfId="6935"/>
    <cellStyle name="Normal 5 3 6 5" xfId="1920"/>
    <cellStyle name="Normal 5 3 6 5 2" xfId="16831"/>
    <cellStyle name="Normal 5 3 6 5 3" xfId="13252"/>
    <cellStyle name="Normal 5 3 6 5 4" xfId="7995"/>
    <cellStyle name="Normal 5 3 6 6" xfId="6051"/>
    <cellStyle name="Normal 5 3 6 6 2" xfId="15135"/>
    <cellStyle name="Normal 5 3 6 7" xfId="9451"/>
    <cellStyle name="Normal 5 3 6 7 2" xfId="18278"/>
    <cellStyle name="Normal 5 3 6 8" xfId="10895"/>
    <cellStyle name="Normal 5 3 6 9" xfId="4529"/>
    <cellStyle name="Normal 5 3 6_Degree data" xfId="1322"/>
    <cellStyle name="Normal 5 3 7" xfId="681"/>
    <cellStyle name="Normal 5 3 7 2" xfId="2410"/>
    <cellStyle name="Normal 5 3 7 2 2" xfId="16298"/>
    <cellStyle name="Normal 5 3 7 2 3" xfId="12720"/>
    <cellStyle name="Normal 5 3 7 2 4" xfId="7430"/>
    <cellStyle name="Normal 5 3 7 3" xfId="3677"/>
    <cellStyle name="Normal 5 3 7 3 2" xfId="17323"/>
    <cellStyle name="Normal 5 3 7 3 3" xfId="13744"/>
    <cellStyle name="Normal 5 3 7 3 4" xfId="8487"/>
    <cellStyle name="Normal 5 3 7 4" xfId="6546"/>
    <cellStyle name="Normal 5 3 7 4 2" xfId="15630"/>
    <cellStyle name="Normal 5 3 7 5" xfId="9941"/>
    <cellStyle name="Normal 5 3 7 5 2" xfId="18768"/>
    <cellStyle name="Normal 5 3 7 6" xfId="11386"/>
    <cellStyle name="Normal 5 3 7 7" xfId="5024"/>
    <cellStyle name="Normal 5 3 8" xfId="1038"/>
    <cellStyle name="Normal 5 3 8 2" xfId="2758"/>
    <cellStyle name="Normal 5 3 8 2 2" xfId="16492"/>
    <cellStyle name="Normal 5 3 8 2 3" xfId="12914"/>
    <cellStyle name="Normal 5 3 8 2 4" xfId="7624"/>
    <cellStyle name="Normal 5 3 8 3" xfId="4026"/>
    <cellStyle name="Normal 5 3 8 3 2" xfId="17671"/>
    <cellStyle name="Normal 5 3 8 3 3" xfId="14092"/>
    <cellStyle name="Normal 5 3 8 3 4" xfId="8835"/>
    <cellStyle name="Normal 5 3 8 4" xfId="5878"/>
    <cellStyle name="Normal 5 3 8 4 2" xfId="14964"/>
    <cellStyle name="Normal 5 3 8 5" xfId="10289"/>
    <cellStyle name="Normal 5 3 8 5 2" xfId="19116"/>
    <cellStyle name="Normal 5 3 8 6" xfId="11735"/>
    <cellStyle name="Normal 5 3 8 7" xfId="5218"/>
    <cellStyle name="Normal 5 3 9" xfId="1324"/>
    <cellStyle name="Normal 5 3 9 2" xfId="2943"/>
    <cellStyle name="Normal 5 3 9 2 2" xfId="17856"/>
    <cellStyle name="Normal 5 3 9 2 3" xfId="14277"/>
    <cellStyle name="Normal 5 3 9 2 4" xfId="9020"/>
    <cellStyle name="Normal 5 3 9 3" xfId="10474"/>
    <cellStyle name="Normal 5 3 9 3 2" xfId="19301"/>
    <cellStyle name="Normal 5 3 9 4" xfId="11920"/>
    <cellStyle name="Normal 5 3 9 5" xfId="6764"/>
    <cellStyle name="Normal 5 3_Degree data" xfId="1336"/>
    <cellStyle name="Normal 5 4" xfId="102"/>
    <cellStyle name="Normal 5 4 10" xfId="1866"/>
    <cellStyle name="Normal 5 4 10 2" xfId="14666"/>
    <cellStyle name="Normal 5 4 10 3" xfId="5580"/>
    <cellStyle name="Normal 5 4 11" xfId="9400"/>
    <cellStyle name="Normal 5 4 11 2" xfId="18227"/>
    <cellStyle name="Normal 5 4 12" xfId="10841"/>
    <cellStyle name="Normal 5 4 13" xfId="4393"/>
    <cellStyle name="Normal 5 4 2" xfId="268"/>
    <cellStyle name="Normal 5 4 2 10" xfId="11019"/>
    <cellStyle name="Normal 5 4 2 11" xfId="4436"/>
    <cellStyle name="Normal 5 4 2 2" xfId="376"/>
    <cellStyle name="Normal 5 4 2 2 2" xfId="695"/>
    <cellStyle name="Normal 5 4 2 2 2 2" xfId="2424"/>
    <cellStyle name="Normal 5 4 2 2 2 2 2" xfId="16312"/>
    <cellStyle name="Normal 5 4 2 2 2 2 3" xfId="12734"/>
    <cellStyle name="Normal 5 4 2 2 2 2 4" xfId="7444"/>
    <cellStyle name="Normal 5 4 2 2 2 3" xfId="3691"/>
    <cellStyle name="Normal 5 4 2 2 2 3 2" xfId="17337"/>
    <cellStyle name="Normal 5 4 2 2 2 3 3" xfId="13758"/>
    <cellStyle name="Normal 5 4 2 2 2 3 4" xfId="8501"/>
    <cellStyle name="Normal 5 4 2 2 2 4" xfId="6560"/>
    <cellStyle name="Normal 5 4 2 2 2 4 2" xfId="15644"/>
    <cellStyle name="Normal 5 4 2 2 2 5" xfId="9955"/>
    <cellStyle name="Normal 5 4 2 2 2 5 2" xfId="18782"/>
    <cellStyle name="Normal 5 4 2 2 2 6" xfId="11400"/>
    <cellStyle name="Normal 5 4 2 2 2 7" xfId="5038"/>
    <cellStyle name="Normal 5 4 2 2 3" xfId="1052"/>
    <cellStyle name="Normal 5 4 2 2 3 2" xfId="2772"/>
    <cellStyle name="Normal 5 4 2 2 3 2 2" xfId="16736"/>
    <cellStyle name="Normal 5 4 2 2 3 2 3" xfId="13157"/>
    <cellStyle name="Normal 5 4 2 2 3 2 4" xfId="7868"/>
    <cellStyle name="Normal 5 4 2 2 3 3" xfId="4040"/>
    <cellStyle name="Normal 5 4 2 2 3 3 2" xfId="17685"/>
    <cellStyle name="Normal 5 4 2 2 3 3 3" xfId="14106"/>
    <cellStyle name="Normal 5 4 2 2 3 3 4" xfId="8849"/>
    <cellStyle name="Normal 5 4 2 2 3 4" xfId="6275"/>
    <cellStyle name="Normal 5 4 2 2 3 4 2" xfId="15359"/>
    <cellStyle name="Normal 5 4 2 2 3 5" xfId="10303"/>
    <cellStyle name="Normal 5 4 2 2 3 5 2" xfId="19130"/>
    <cellStyle name="Normal 5 4 2 2 3 6" xfId="11749"/>
    <cellStyle name="Normal 5 4 2 2 3 7" xfId="5462"/>
    <cellStyle name="Normal 5 4 2 2 4" xfId="1589"/>
    <cellStyle name="Normal 5 4 2 2 4 2" xfId="3187"/>
    <cellStyle name="Normal 5 4 2 2 4 2 2" xfId="18100"/>
    <cellStyle name="Normal 5 4 2 2 4 2 3" xfId="14521"/>
    <cellStyle name="Normal 5 4 2 2 4 2 4" xfId="9264"/>
    <cellStyle name="Normal 5 4 2 2 4 3" xfId="10718"/>
    <cellStyle name="Normal 5 4 2 2 4 3 2" xfId="19545"/>
    <cellStyle name="Normal 5 4 2 2 4 4" xfId="12164"/>
    <cellStyle name="Normal 5 4 2 2 4 5" xfId="7159"/>
    <cellStyle name="Normal 5 4 2 2 5" xfId="2144"/>
    <cellStyle name="Normal 5 4 2 2 5 2" xfId="17057"/>
    <cellStyle name="Normal 5 4 2 2 5 3" xfId="13478"/>
    <cellStyle name="Normal 5 4 2 2 5 4" xfId="8221"/>
    <cellStyle name="Normal 5 4 2 2 6" xfId="5782"/>
    <cellStyle name="Normal 5 4 2 2 6 2" xfId="14868"/>
    <cellStyle name="Normal 5 4 2 2 7" xfId="9675"/>
    <cellStyle name="Normal 5 4 2 2 7 2" xfId="18502"/>
    <cellStyle name="Normal 5 4 2 2 8" xfId="11119"/>
    <cellStyle name="Normal 5 4 2 2 9" xfId="4753"/>
    <cellStyle name="Normal 5 4 2 2_Degree data" xfId="1311"/>
    <cellStyle name="Normal 5 4 2 3" xfId="694"/>
    <cellStyle name="Normal 5 4 2 3 2" xfId="2423"/>
    <cellStyle name="Normal 5 4 2 3 2 2" xfId="16073"/>
    <cellStyle name="Normal 5 4 2 3 2 3" xfId="12495"/>
    <cellStyle name="Normal 5 4 2 3 2 4" xfId="7059"/>
    <cellStyle name="Normal 5 4 2 3 3" xfId="3690"/>
    <cellStyle name="Normal 5 4 2 3 3 2" xfId="17336"/>
    <cellStyle name="Normal 5 4 2 3 3 3" xfId="13757"/>
    <cellStyle name="Normal 5 4 2 3 3 4" xfId="8500"/>
    <cellStyle name="Normal 5 4 2 3 4" xfId="6175"/>
    <cellStyle name="Normal 5 4 2 3 4 2" xfId="15259"/>
    <cellStyle name="Normal 5 4 2 3 5" xfId="9954"/>
    <cellStyle name="Normal 5 4 2 3 5 2" xfId="18781"/>
    <cellStyle name="Normal 5 4 2 3 6" xfId="11399"/>
    <cellStyle name="Normal 5 4 2 3 7" xfId="4653"/>
    <cellStyle name="Normal 5 4 2 4" xfId="1051"/>
    <cellStyle name="Normal 5 4 2 4 2" xfId="2771"/>
    <cellStyle name="Normal 5 4 2 4 2 2" xfId="16311"/>
    <cellStyle name="Normal 5 4 2 4 2 3" xfId="12733"/>
    <cellStyle name="Normal 5 4 2 4 2 4" xfId="7443"/>
    <cellStyle name="Normal 5 4 2 4 3" xfId="4039"/>
    <cellStyle name="Normal 5 4 2 4 3 2" xfId="17684"/>
    <cellStyle name="Normal 5 4 2 4 3 3" xfId="14105"/>
    <cellStyle name="Normal 5 4 2 4 3 4" xfId="8848"/>
    <cellStyle name="Normal 5 4 2 4 4" xfId="6559"/>
    <cellStyle name="Normal 5 4 2 4 4 2" xfId="15643"/>
    <cellStyle name="Normal 5 4 2 4 5" xfId="10302"/>
    <cellStyle name="Normal 5 4 2 4 5 2" xfId="19129"/>
    <cellStyle name="Normal 5 4 2 4 6" xfId="11748"/>
    <cellStyle name="Normal 5 4 2 4 7" xfId="5037"/>
    <cellStyle name="Normal 5 4 2 5" xfId="1487"/>
    <cellStyle name="Normal 5 4 2 5 2" xfId="3087"/>
    <cellStyle name="Normal 5 4 2 5 2 2" xfId="16636"/>
    <cellStyle name="Normal 5 4 2 5 2 3" xfId="13057"/>
    <cellStyle name="Normal 5 4 2 5 2 4" xfId="7768"/>
    <cellStyle name="Normal 5 4 2 5 3" xfId="4295"/>
    <cellStyle name="Normal 5 4 2 5 3 2" xfId="18000"/>
    <cellStyle name="Normal 5 4 2 5 3 3" xfId="14421"/>
    <cellStyle name="Normal 5 4 2 5 3 4" xfId="9164"/>
    <cellStyle name="Normal 5 4 2 5 4" xfId="5956"/>
    <cellStyle name="Normal 5 4 2 5 4 2" xfId="15042"/>
    <cellStyle name="Normal 5 4 2 5 5" xfId="10618"/>
    <cellStyle name="Normal 5 4 2 5 5 2" xfId="19445"/>
    <cellStyle name="Normal 5 4 2 5 6" xfId="12064"/>
    <cellStyle name="Normal 5 4 2 5 7" xfId="5362"/>
    <cellStyle name="Normal 5 4 2 6" xfId="2044"/>
    <cellStyle name="Normal 5 4 2 6 2" xfId="15885"/>
    <cellStyle name="Normal 5 4 2 6 3" xfId="12483"/>
    <cellStyle name="Normal 5 4 2 6 4" xfId="6842"/>
    <cellStyle name="Normal 5 4 2 7" xfId="3457"/>
    <cellStyle name="Normal 5 4 2 7 2" xfId="16957"/>
    <cellStyle name="Normal 5 4 2 7 3" xfId="13378"/>
    <cellStyle name="Normal 5 4 2 7 4" xfId="8121"/>
    <cellStyle name="Normal 5 4 2 8" xfId="5682"/>
    <cellStyle name="Normal 5 4 2 8 2" xfId="14768"/>
    <cellStyle name="Normal 5 4 2 9" xfId="9575"/>
    <cellStyle name="Normal 5 4 2 9 2" xfId="18402"/>
    <cellStyle name="Normal 5 4 2_Degree data" xfId="1214"/>
    <cellStyle name="Normal 5 4 3" xfId="224"/>
    <cellStyle name="Normal 5 4 3 10" xfId="10976"/>
    <cellStyle name="Normal 5 4 3 11" xfId="4497"/>
    <cellStyle name="Normal 5 4 3 2" xfId="438"/>
    <cellStyle name="Normal 5 4 3 2 2" xfId="697"/>
    <cellStyle name="Normal 5 4 3 2 2 2" xfId="2426"/>
    <cellStyle name="Normal 5 4 3 2 2 2 2" xfId="16314"/>
    <cellStyle name="Normal 5 4 3 2 2 2 3" xfId="12736"/>
    <cellStyle name="Normal 5 4 3 2 2 2 4" xfId="7446"/>
    <cellStyle name="Normal 5 4 3 2 2 3" xfId="3693"/>
    <cellStyle name="Normal 5 4 3 2 2 3 2" xfId="17339"/>
    <cellStyle name="Normal 5 4 3 2 2 3 3" xfId="13760"/>
    <cellStyle name="Normal 5 4 3 2 2 3 4" xfId="8503"/>
    <cellStyle name="Normal 5 4 3 2 2 4" xfId="6562"/>
    <cellStyle name="Normal 5 4 3 2 2 4 2" xfId="15646"/>
    <cellStyle name="Normal 5 4 3 2 2 5" xfId="9957"/>
    <cellStyle name="Normal 5 4 3 2 2 5 2" xfId="18784"/>
    <cellStyle name="Normal 5 4 3 2 2 6" xfId="11402"/>
    <cellStyle name="Normal 5 4 3 2 2 7" xfId="5040"/>
    <cellStyle name="Normal 5 4 3 2 3" xfId="1054"/>
    <cellStyle name="Normal 5 4 3 2 3 2" xfId="2774"/>
    <cellStyle name="Normal 5 4 3 2 3 2 2" xfId="16797"/>
    <cellStyle name="Normal 5 4 3 2 3 2 3" xfId="13218"/>
    <cellStyle name="Normal 5 4 3 2 3 2 4" xfId="7929"/>
    <cellStyle name="Normal 5 4 3 2 3 3" xfId="4042"/>
    <cellStyle name="Normal 5 4 3 2 3 3 2" xfId="17687"/>
    <cellStyle name="Normal 5 4 3 2 3 3 3" xfId="14108"/>
    <cellStyle name="Normal 5 4 3 2 3 3 4" xfId="8851"/>
    <cellStyle name="Normal 5 4 3 2 3 4" xfId="6336"/>
    <cellStyle name="Normal 5 4 3 2 3 4 2" xfId="15420"/>
    <cellStyle name="Normal 5 4 3 2 3 5" xfId="10305"/>
    <cellStyle name="Normal 5 4 3 2 3 5 2" xfId="19132"/>
    <cellStyle name="Normal 5 4 3 2 3 6" xfId="11751"/>
    <cellStyle name="Normal 5 4 3 2 3 7" xfId="5523"/>
    <cellStyle name="Normal 5 4 3 2 4" xfId="1652"/>
    <cellStyle name="Normal 5 4 3 2 4 2" xfId="3248"/>
    <cellStyle name="Normal 5 4 3 2 4 2 2" xfId="18161"/>
    <cellStyle name="Normal 5 4 3 2 4 2 3" xfId="14582"/>
    <cellStyle name="Normal 5 4 3 2 4 2 4" xfId="9325"/>
    <cellStyle name="Normal 5 4 3 2 4 3" xfId="10779"/>
    <cellStyle name="Normal 5 4 3 2 4 3 2" xfId="19606"/>
    <cellStyle name="Normal 5 4 3 2 4 4" xfId="12225"/>
    <cellStyle name="Normal 5 4 3 2 4 5" xfId="7220"/>
    <cellStyle name="Normal 5 4 3 2 5" xfId="2205"/>
    <cellStyle name="Normal 5 4 3 2 5 2" xfId="17118"/>
    <cellStyle name="Normal 5 4 3 2 5 3" xfId="13539"/>
    <cellStyle name="Normal 5 4 3 2 5 4" xfId="8282"/>
    <cellStyle name="Normal 5 4 3 2 6" xfId="5843"/>
    <cellStyle name="Normal 5 4 3 2 6 2" xfId="14929"/>
    <cellStyle name="Normal 5 4 3 2 7" xfId="9736"/>
    <cellStyle name="Normal 5 4 3 2 7 2" xfId="18563"/>
    <cellStyle name="Normal 5 4 3 2 8" xfId="11180"/>
    <cellStyle name="Normal 5 4 3 2 9" xfId="4814"/>
    <cellStyle name="Normal 5 4 3 2_Degree data" xfId="1273"/>
    <cellStyle name="Normal 5 4 3 3" xfId="696"/>
    <cellStyle name="Normal 5 4 3 3 2" xfId="2425"/>
    <cellStyle name="Normal 5 4 3 3 2 2" xfId="16030"/>
    <cellStyle name="Normal 5 4 3 3 2 3" xfId="12333"/>
    <cellStyle name="Normal 5 4 3 3 2 4" xfId="7016"/>
    <cellStyle name="Normal 5 4 3 3 3" xfId="3692"/>
    <cellStyle name="Normal 5 4 3 3 3 2" xfId="17338"/>
    <cellStyle name="Normal 5 4 3 3 3 3" xfId="13759"/>
    <cellStyle name="Normal 5 4 3 3 3 4" xfId="8502"/>
    <cellStyle name="Normal 5 4 3 3 4" xfId="6132"/>
    <cellStyle name="Normal 5 4 3 3 4 2" xfId="15216"/>
    <cellStyle name="Normal 5 4 3 3 5" xfId="9956"/>
    <cellStyle name="Normal 5 4 3 3 5 2" xfId="18783"/>
    <cellStyle name="Normal 5 4 3 3 6" xfId="11401"/>
    <cellStyle name="Normal 5 4 3 3 7" xfId="4610"/>
    <cellStyle name="Normal 5 4 3 4" xfId="1053"/>
    <cellStyle name="Normal 5 4 3 4 2" xfId="2773"/>
    <cellStyle name="Normal 5 4 3 4 2 2" xfId="16313"/>
    <cellStyle name="Normal 5 4 3 4 2 3" xfId="12735"/>
    <cellStyle name="Normal 5 4 3 4 2 4" xfId="7445"/>
    <cellStyle name="Normal 5 4 3 4 3" xfId="4041"/>
    <cellStyle name="Normal 5 4 3 4 3 2" xfId="17686"/>
    <cellStyle name="Normal 5 4 3 4 3 3" xfId="14107"/>
    <cellStyle name="Normal 5 4 3 4 3 4" xfId="8850"/>
    <cellStyle name="Normal 5 4 3 4 4" xfId="6561"/>
    <cellStyle name="Normal 5 4 3 4 4 2" xfId="15645"/>
    <cellStyle name="Normal 5 4 3 4 5" xfId="10304"/>
    <cellStyle name="Normal 5 4 3 4 5 2" xfId="19131"/>
    <cellStyle name="Normal 5 4 3 4 6" xfId="11750"/>
    <cellStyle name="Normal 5 4 3 4 7" xfId="5039"/>
    <cellStyle name="Normal 5 4 3 5" xfId="1442"/>
    <cellStyle name="Normal 5 4 3 5 2" xfId="3044"/>
    <cellStyle name="Normal 5 4 3 5 2 2" xfId="16593"/>
    <cellStyle name="Normal 5 4 3 5 2 3" xfId="13014"/>
    <cellStyle name="Normal 5 4 3 5 2 4" xfId="7725"/>
    <cellStyle name="Normal 5 4 3 5 3" xfId="4252"/>
    <cellStyle name="Normal 5 4 3 5 3 2" xfId="17957"/>
    <cellStyle name="Normal 5 4 3 5 3 3" xfId="14378"/>
    <cellStyle name="Normal 5 4 3 5 3 4" xfId="9121"/>
    <cellStyle name="Normal 5 4 3 5 4" xfId="6017"/>
    <cellStyle name="Normal 5 4 3 5 4 2" xfId="15103"/>
    <cellStyle name="Normal 5 4 3 5 5" xfId="10575"/>
    <cellStyle name="Normal 5 4 3 5 5 2" xfId="19402"/>
    <cellStyle name="Normal 5 4 3 5 6" xfId="12021"/>
    <cellStyle name="Normal 5 4 3 5 7" xfId="5319"/>
    <cellStyle name="Normal 5 4 3 6" xfId="2001"/>
    <cellStyle name="Normal 5 4 3 6 2" xfId="15946"/>
    <cellStyle name="Normal 5 4 3 6 3" xfId="12254"/>
    <cellStyle name="Normal 5 4 3 6 4" xfId="6903"/>
    <cellStyle name="Normal 5 4 3 7" xfId="3414"/>
    <cellStyle name="Normal 5 4 3 7 2" xfId="16914"/>
    <cellStyle name="Normal 5 4 3 7 3" xfId="13335"/>
    <cellStyle name="Normal 5 4 3 7 4" xfId="8078"/>
    <cellStyle name="Normal 5 4 3 8" xfId="5639"/>
    <cellStyle name="Normal 5 4 3 8 2" xfId="14725"/>
    <cellStyle name="Normal 5 4 3 9" xfId="9532"/>
    <cellStyle name="Normal 5 4 3 9 2" xfId="18359"/>
    <cellStyle name="Normal 5 4 3_Degree data" xfId="1328"/>
    <cellStyle name="Normal 5 4 4" xfId="333"/>
    <cellStyle name="Normal 5 4 4 2" xfId="698"/>
    <cellStyle name="Normal 5 4 4 2 2" xfId="2427"/>
    <cellStyle name="Normal 5 4 4 2 2 2" xfId="16315"/>
    <cellStyle name="Normal 5 4 4 2 2 3" xfId="12737"/>
    <cellStyle name="Normal 5 4 4 2 2 4" xfId="7447"/>
    <cellStyle name="Normal 5 4 4 2 3" xfId="3694"/>
    <cellStyle name="Normal 5 4 4 2 3 2" xfId="17340"/>
    <cellStyle name="Normal 5 4 4 2 3 3" xfId="13761"/>
    <cellStyle name="Normal 5 4 4 2 3 4" xfId="8504"/>
    <cellStyle name="Normal 5 4 4 2 4" xfId="6563"/>
    <cellStyle name="Normal 5 4 4 2 4 2" xfId="15647"/>
    <cellStyle name="Normal 5 4 4 2 5" xfId="9958"/>
    <cellStyle name="Normal 5 4 4 2 5 2" xfId="18785"/>
    <cellStyle name="Normal 5 4 4 2 6" xfId="11403"/>
    <cellStyle name="Normal 5 4 4 2 7" xfId="5041"/>
    <cellStyle name="Normal 5 4 4 3" xfId="1055"/>
    <cellStyle name="Normal 5 4 4 3 2" xfId="2775"/>
    <cellStyle name="Normal 5 4 4 3 2 2" xfId="16693"/>
    <cellStyle name="Normal 5 4 4 3 2 3" xfId="13114"/>
    <cellStyle name="Normal 5 4 4 3 2 4" xfId="7825"/>
    <cellStyle name="Normal 5 4 4 3 3" xfId="4043"/>
    <cellStyle name="Normal 5 4 4 3 3 2" xfId="17688"/>
    <cellStyle name="Normal 5 4 4 3 3 3" xfId="14109"/>
    <cellStyle name="Normal 5 4 4 3 3 4" xfId="8852"/>
    <cellStyle name="Normal 5 4 4 3 4" xfId="6232"/>
    <cellStyle name="Normal 5 4 4 3 4 2" xfId="15316"/>
    <cellStyle name="Normal 5 4 4 3 5" xfId="10306"/>
    <cellStyle name="Normal 5 4 4 3 5 2" xfId="19133"/>
    <cellStyle name="Normal 5 4 4 3 6" xfId="11752"/>
    <cellStyle name="Normal 5 4 4 3 7" xfId="5419"/>
    <cellStyle name="Normal 5 4 4 4" xfId="1545"/>
    <cellStyle name="Normal 5 4 4 4 2" xfId="3144"/>
    <cellStyle name="Normal 5 4 4 4 2 2" xfId="18057"/>
    <cellStyle name="Normal 5 4 4 4 2 3" xfId="14478"/>
    <cellStyle name="Normal 5 4 4 4 2 4" xfId="9221"/>
    <cellStyle name="Normal 5 4 4 4 3" xfId="10675"/>
    <cellStyle name="Normal 5 4 4 4 3 2" xfId="19502"/>
    <cellStyle name="Normal 5 4 4 4 4" xfId="12121"/>
    <cellStyle name="Normal 5 4 4 4 5" xfId="7116"/>
    <cellStyle name="Normal 5 4 4 5" xfId="2101"/>
    <cellStyle name="Normal 5 4 4 5 2" xfId="17014"/>
    <cellStyle name="Normal 5 4 4 5 3" xfId="13435"/>
    <cellStyle name="Normal 5 4 4 5 4" xfId="8178"/>
    <cellStyle name="Normal 5 4 4 6" xfId="5739"/>
    <cellStyle name="Normal 5 4 4 6 2" xfId="14825"/>
    <cellStyle name="Normal 5 4 4 7" xfId="9632"/>
    <cellStyle name="Normal 5 4 4 7 2" xfId="18459"/>
    <cellStyle name="Normal 5 4 4 8" xfId="11076"/>
    <cellStyle name="Normal 5 4 4 9" xfId="4710"/>
    <cellStyle name="Normal 5 4 4_Degree data" xfId="1320"/>
    <cellStyle name="Normal 5 4 5" xfId="485"/>
    <cellStyle name="Normal 5 4 5 2" xfId="699"/>
    <cellStyle name="Normal 5 4 5 2 2" xfId="2428"/>
    <cellStyle name="Normal 5 4 5 2 2 2" xfId="16316"/>
    <cellStyle name="Normal 5 4 5 2 2 3" xfId="12738"/>
    <cellStyle name="Normal 5 4 5 2 2 4" xfId="7448"/>
    <cellStyle name="Normal 5 4 5 2 3" xfId="3695"/>
    <cellStyle name="Normal 5 4 5 2 3 2" xfId="17341"/>
    <cellStyle name="Normal 5 4 5 2 3 3" xfId="13762"/>
    <cellStyle name="Normal 5 4 5 2 3 4" xfId="8505"/>
    <cellStyle name="Normal 5 4 5 2 4" xfId="6564"/>
    <cellStyle name="Normal 5 4 5 2 4 2" xfId="15648"/>
    <cellStyle name="Normal 5 4 5 2 5" xfId="9959"/>
    <cellStyle name="Normal 5 4 5 2 5 2" xfId="18786"/>
    <cellStyle name="Normal 5 4 5 2 6" xfId="11404"/>
    <cellStyle name="Normal 5 4 5 2 7" xfId="5042"/>
    <cellStyle name="Normal 5 4 5 3" xfId="1056"/>
    <cellStyle name="Normal 5 4 5 3 2" xfId="2776"/>
    <cellStyle name="Normal 5 4 5 3 2 2" xfId="16534"/>
    <cellStyle name="Normal 5 4 5 3 2 3" xfId="12956"/>
    <cellStyle name="Normal 5 4 5 3 2 4" xfId="7666"/>
    <cellStyle name="Normal 5 4 5 3 3" xfId="4044"/>
    <cellStyle name="Normal 5 4 5 3 3 2" xfId="17689"/>
    <cellStyle name="Normal 5 4 5 3 3 3" xfId="14110"/>
    <cellStyle name="Normal 5 4 5 3 3 4" xfId="8853"/>
    <cellStyle name="Normal 5 4 5 3 4" xfId="6732"/>
    <cellStyle name="Normal 5 4 5 3 4 2" xfId="15815"/>
    <cellStyle name="Normal 5 4 5 3 5" xfId="10307"/>
    <cellStyle name="Normal 5 4 5 3 5 2" xfId="19134"/>
    <cellStyle name="Normal 5 4 5 3 6" xfId="11753"/>
    <cellStyle name="Normal 5 4 5 3 7" xfId="5260"/>
    <cellStyle name="Normal 5 4 5 4" xfId="1374"/>
    <cellStyle name="Normal 5 4 5 4 2" xfId="2985"/>
    <cellStyle name="Normal 5 4 5 4 2 2" xfId="17898"/>
    <cellStyle name="Normal 5 4 5 4 2 3" xfId="14319"/>
    <cellStyle name="Normal 5 4 5 4 2 4" xfId="9062"/>
    <cellStyle name="Normal 5 4 5 4 3" xfId="10516"/>
    <cellStyle name="Normal 5 4 5 4 3 2" xfId="19343"/>
    <cellStyle name="Normal 5 4 5 4 4" xfId="11962"/>
    <cellStyle name="Normal 5 4 5 4 5" xfId="6957"/>
    <cellStyle name="Normal 5 4 5 5" xfId="1942"/>
    <cellStyle name="Normal 5 4 5 5 2" xfId="16853"/>
    <cellStyle name="Normal 5 4 5 5 3" xfId="13274"/>
    <cellStyle name="Normal 5 4 5 5 4" xfId="8017"/>
    <cellStyle name="Normal 5 4 5 6" xfId="6073"/>
    <cellStyle name="Normal 5 4 5 6 2" xfId="15157"/>
    <cellStyle name="Normal 5 4 5 7" xfId="9473"/>
    <cellStyle name="Normal 5 4 5 7 2" xfId="18300"/>
    <cellStyle name="Normal 5 4 5 8" xfId="10917"/>
    <cellStyle name="Normal 5 4 5 9" xfId="4551"/>
    <cellStyle name="Normal 5 4 5_Degree data" xfId="1443"/>
    <cellStyle name="Normal 5 4 6" xfId="693"/>
    <cellStyle name="Normal 5 4 6 2" xfId="2422"/>
    <cellStyle name="Normal 5 4 6 2 2" xfId="16310"/>
    <cellStyle name="Normal 5 4 6 2 3" xfId="12732"/>
    <cellStyle name="Normal 5 4 6 2 4" xfId="7442"/>
    <cellStyle name="Normal 5 4 6 3" xfId="3689"/>
    <cellStyle name="Normal 5 4 6 3 2" xfId="17335"/>
    <cellStyle name="Normal 5 4 6 3 3" xfId="13756"/>
    <cellStyle name="Normal 5 4 6 3 4" xfId="8499"/>
    <cellStyle name="Normal 5 4 6 4" xfId="6558"/>
    <cellStyle name="Normal 5 4 6 4 2" xfId="15642"/>
    <cellStyle name="Normal 5 4 6 5" xfId="9953"/>
    <cellStyle name="Normal 5 4 6 5 2" xfId="18780"/>
    <cellStyle name="Normal 5 4 6 6" xfId="11398"/>
    <cellStyle name="Normal 5 4 6 7" xfId="5036"/>
    <cellStyle name="Normal 5 4 7" xfId="1050"/>
    <cellStyle name="Normal 5 4 7 2" xfId="2770"/>
    <cellStyle name="Normal 5 4 7 2 2" xfId="16491"/>
    <cellStyle name="Normal 5 4 7 2 3" xfId="12913"/>
    <cellStyle name="Normal 5 4 7 2 4" xfId="7623"/>
    <cellStyle name="Normal 5 4 7 3" xfId="4038"/>
    <cellStyle name="Normal 5 4 7 3 2" xfId="17683"/>
    <cellStyle name="Normal 5 4 7 3 3" xfId="14104"/>
    <cellStyle name="Normal 5 4 7 3 4" xfId="8847"/>
    <cellStyle name="Normal 5 4 7 4" xfId="5912"/>
    <cellStyle name="Normal 5 4 7 4 2" xfId="14998"/>
    <cellStyle name="Normal 5 4 7 5" xfId="10301"/>
    <cellStyle name="Normal 5 4 7 5 2" xfId="19128"/>
    <cellStyle name="Normal 5 4 7 6" xfId="11747"/>
    <cellStyle name="Normal 5 4 7 7" xfId="5217"/>
    <cellStyle name="Normal 5 4 8" xfId="1303"/>
    <cellStyle name="Normal 5 4 8 2" xfId="2942"/>
    <cellStyle name="Normal 5 4 8 2 2" xfId="17855"/>
    <cellStyle name="Normal 5 4 8 2 3" xfId="14276"/>
    <cellStyle name="Normal 5 4 8 2 4" xfId="9019"/>
    <cellStyle name="Normal 5 4 8 3" xfId="10473"/>
    <cellStyle name="Normal 5 4 8 3 2" xfId="19300"/>
    <cellStyle name="Normal 5 4 8 4" xfId="11919"/>
    <cellStyle name="Normal 5 4 8 5" xfId="6799"/>
    <cellStyle name="Normal 5 4 9" xfId="1899"/>
    <cellStyle name="Normal 5 4 9 2" xfId="9430"/>
    <cellStyle name="Normal 5 4 9 2 2" xfId="18257"/>
    <cellStyle name="Normal 5 4 9 3" xfId="10874"/>
    <cellStyle name="Normal 5 4 9 4" xfId="7974"/>
    <cellStyle name="Normal 5 4_Degree data" xfId="1274"/>
    <cellStyle name="Normal 5 5" xfId="144"/>
    <cellStyle name="Normal 5 5 10" xfId="5568"/>
    <cellStyle name="Normal 5 5 10 2" xfId="14654"/>
    <cellStyle name="Normal 5 5 11" xfId="9388"/>
    <cellStyle name="Normal 5 5 11 2" xfId="18215"/>
    <cellStyle name="Normal 5 5 12" xfId="10828"/>
    <cellStyle name="Normal 5 5 13" xfId="4381"/>
    <cellStyle name="Normal 5 5 2" xfId="256"/>
    <cellStyle name="Normal 5 5 2 10" xfId="11007"/>
    <cellStyle name="Normal 5 5 2 11" xfId="4424"/>
    <cellStyle name="Normal 5 5 2 2" xfId="364"/>
    <cellStyle name="Normal 5 5 2 2 2" xfId="702"/>
    <cellStyle name="Normal 5 5 2 2 2 2" xfId="2431"/>
    <cellStyle name="Normal 5 5 2 2 2 2 2" xfId="16319"/>
    <cellStyle name="Normal 5 5 2 2 2 2 3" xfId="12741"/>
    <cellStyle name="Normal 5 5 2 2 2 2 4" xfId="7451"/>
    <cellStyle name="Normal 5 5 2 2 2 3" xfId="3698"/>
    <cellStyle name="Normal 5 5 2 2 2 3 2" xfId="17344"/>
    <cellStyle name="Normal 5 5 2 2 2 3 3" xfId="13765"/>
    <cellStyle name="Normal 5 5 2 2 2 3 4" xfId="8508"/>
    <cellStyle name="Normal 5 5 2 2 2 4" xfId="6567"/>
    <cellStyle name="Normal 5 5 2 2 2 4 2" xfId="15651"/>
    <cellStyle name="Normal 5 5 2 2 2 5" xfId="9962"/>
    <cellStyle name="Normal 5 5 2 2 2 5 2" xfId="18789"/>
    <cellStyle name="Normal 5 5 2 2 2 6" xfId="11407"/>
    <cellStyle name="Normal 5 5 2 2 2 7" xfId="5045"/>
    <cellStyle name="Normal 5 5 2 2 3" xfId="1059"/>
    <cellStyle name="Normal 5 5 2 2 3 2" xfId="2779"/>
    <cellStyle name="Normal 5 5 2 2 3 2 2" xfId="16724"/>
    <cellStyle name="Normal 5 5 2 2 3 2 3" xfId="13145"/>
    <cellStyle name="Normal 5 5 2 2 3 2 4" xfId="7856"/>
    <cellStyle name="Normal 5 5 2 2 3 3" xfId="4047"/>
    <cellStyle name="Normal 5 5 2 2 3 3 2" xfId="17692"/>
    <cellStyle name="Normal 5 5 2 2 3 3 3" xfId="14113"/>
    <cellStyle name="Normal 5 5 2 2 3 3 4" xfId="8856"/>
    <cellStyle name="Normal 5 5 2 2 3 4" xfId="6263"/>
    <cellStyle name="Normal 5 5 2 2 3 4 2" xfId="15347"/>
    <cellStyle name="Normal 5 5 2 2 3 5" xfId="10310"/>
    <cellStyle name="Normal 5 5 2 2 3 5 2" xfId="19137"/>
    <cellStyle name="Normal 5 5 2 2 3 6" xfId="11756"/>
    <cellStyle name="Normal 5 5 2 2 3 7" xfId="5450"/>
    <cellStyle name="Normal 5 5 2 2 4" xfId="1577"/>
    <cellStyle name="Normal 5 5 2 2 4 2" xfId="3175"/>
    <cellStyle name="Normal 5 5 2 2 4 2 2" xfId="18088"/>
    <cellStyle name="Normal 5 5 2 2 4 2 3" xfId="14509"/>
    <cellStyle name="Normal 5 5 2 2 4 2 4" xfId="9252"/>
    <cellStyle name="Normal 5 5 2 2 4 3" xfId="10706"/>
    <cellStyle name="Normal 5 5 2 2 4 3 2" xfId="19533"/>
    <cellStyle name="Normal 5 5 2 2 4 4" xfId="12152"/>
    <cellStyle name="Normal 5 5 2 2 4 5" xfId="7147"/>
    <cellStyle name="Normal 5 5 2 2 5" xfId="2132"/>
    <cellStyle name="Normal 5 5 2 2 5 2" xfId="17045"/>
    <cellStyle name="Normal 5 5 2 2 5 3" xfId="13466"/>
    <cellStyle name="Normal 5 5 2 2 5 4" xfId="8209"/>
    <cellStyle name="Normal 5 5 2 2 6" xfId="5770"/>
    <cellStyle name="Normal 5 5 2 2 6 2" xfId="14856"/>
    <cellStyle name="Normal 5 5 2 2 7" xfId="9663"/>
    <cellStyle name="Normal 5 5 2 2 7 2" xfId="18490"/>
    <cellStyle name="Normal 5 5 2 2 8" xfId="11107"/>
    <cellStyle name="Normal 5 5 2 2 9" xfId="4741"/>
    <cellStyle name="Normal 5 5 2 2_Degree data" xfId="1305"/>
    <cellStyle name="Normal 5 5 2 3" xfId="701"/>
    <cellStyle name="Normal 5 5 2 3 2" xfId="2430"/>
    <cellStyle name="Normal 5 5 2 3 2 2" xfId="16061"/>
    <cellStyle name="Normal 5 5 2 3 2 3" xfId="12317"/>
    <cellStyle name="Normal 5 5 2 3 2 4" xfId="7047"/>
    <cellStyle name="Normal 5 5 2 3 3" xfId="3697"/>
    <cellStyle name="Normal 5 5 2 3 3 2" xfId="17343"/>
    <cellStyle name="Normal 5 5 2 3 3 3" xfId="13764"/>
    <cellStyle name="Normal 5 5 2 3 3 4" xfId="8507"/>
    <cellStyle name="Normal 5 5 2 3 4" xfId="6163"/>
    <cellStyle name="Normal 5 5 2 3 4 2" xfId="15247"/>
    <cellStyle name="Normal 5 5 2 3 5" xfId="9961"/>
    <cellStyle name="Normal 5 5 2 3 5 2" xfId="18788"/>
    <cellStyle name="Normal 5 5 2 3 6" xfId="11406"/>
    <cellStyle name="Normal 5 5 2 3 7" xfId="4641"/>
    <cellStyle name="Normal 5 5 2 4" xfId="1058"/>
    <cellStyle name="Normal 5 5 2 4 2" xfId="2778"/>
    <cellStyle name="Normal 5 5 2 4 2 2" xfId="16318"/>
    <cellStyle name="Normal 5 5 2 4 2 3" xfId="12740"/>
    <cellStyle name="Normal 5 5 2 4 2 4" xfId="7450"/>
    <cellStyle name="Normal 5 5 2 4 3" xfId="4046"/>
    <cellStyle name="Normal 5 5 2 4 3 2" xfId="17691"/>
    <cellStyle name="Normal 5 5 2 4 3 3" xfId="14112"/>
    <cellStyle name="Normal 5 5 2 4 3 4" xfId="8855"/>
    <cellStyle name="Normal 5 5 2 4 4" xfId="6566"/>
    <cellStyle name="Normal 5 5 2 4 4 2" xfId="15650"/>
    <cellStyle name="Normal 5 5 2 4 5" xfId="10309"/>
    <cellStyle name="Normal 5 5 2 4 5 2" xfId="19136"/>
    <cellStyle name="Normal 5 5 2 4 6" xfId="11755"/>
    <cellStyle name="Normal 5 5 2 4 7" xfId="5044"/>
    <cellStyle name="Normal 5 5 2 5" xfId="1475"/>
    <cellStyle name="Normal 5 5 2 5 2" xfId="3075"/>
    <cellStyle name="Normal 5 5 2 5 2 2" xfId="16624"/>
    <cellStyle name="Normal 5 5 2 5 2 3" xfId="13045"/>
    <cellStyle name="Normal 5 5 2 5 2 4" xfId="7756"/>
    <cellStyle name="Normal 5 5 2 5 3" xfId="4283"/>
    <cellStyle name="Normal 5 5 2 5 3 2" xfId="17988"/>
    <cellStyle name="Normal 5 5 2 5 3 3" xfId="14409"/>
    <cellStyle name="Normal 5 5 2 5 3 4" xfId="9152"/>
    <cellStyle name="Normal 5 5 2 5 4" xfId="5944"/>
    <cellStyle name="Normal 5 5 2 5 4 2" xfId="15030"/>
    <cellStyle name="Normal 5 5 2 5 5" xfId="10606"/>
    <cellStyle name="Normal 5 5 2 5 5 2" xfId="19433"/>
    <cellStyle name="Normal 5 5 2 5 6" xfId="12052"/>
    <cellStyle name="Normal 5 5 2 5 7" xfId="5350"/>
    <cellStyle name="Normal 5 5 2 6" xfId="2032"/>
    <cellStyle name="Normal 5 5 2 6 2" xfId="15873"/>
    <cellStyle name="Normal 5 5 2 6 3" xfId="12293"/>
    <cellStyle name="Normal 5 5 2 6 4" xfId="6830"/>
    <cellStyle name="Normal 5 5 2 7" xfId="3445"/>
    <cellStyle name="Normal 5 5 2 7 2" xfId="16945"/>
    <cellStyle name="Normal 5 5 2 7 3" xfId="13366"/>
    <cellStyle name="Normal 5 5 2 7 4" xfId="8109"/>
    <cellStyle name="Normal 5 5 2 8" xfId="5670"/>
    <cellStyle name="Normal 5 5 2 8 2" xfId="14756"/>
    <cellStyle name="Normal 5 5 2 9" xfId="9563"/>
    <cellStyle name="Normal 5 5 2 9 2" xfId="18390"/>
    <cellStyle name="Normal 5 5 2_Degree data" xfId="1208"/>
    <cellStyle name="Normal 5 5 3" xfId="213"/>
    <cellStyle name="Normal 5 5 3 10" xfId="10964"/>
    <cellStyle name="Normal 5 5 3 11" xfId="4486"/>
    <cellStyle name="Normal 5 5 3 2" xfId="427"/>
    <cellStyle name="Normal 5 5 3 2 2" xfId="704"/>
    <cellStyle name="Normal 5 5 3 2 2 2" xfId="2433"/>
    <cellStyle name="Normal 5 5 3 2 2 2 2" xfId="16321"/>
    <cellStyle name="Normal 5 5 3 2 2 2 3" xfId="12743"/>
    <cellStyle name="Normal 5 5 3 2 2 2 4" xfId="7453"/>
    <cellStyle name="Normal 5 5 3 2 2 3" xfId="3700"/>
    <cellStyle name="Normal 5 5 3 2 2 3 2" xfId="17346"/>
    <cellStyle name="Normal 5 5 3 2 2 3 3" xfId="13767"/>
    <cellStyle name="Normal 5 5 3 2 2 3 4" xfId="8510"/>
    <cellStyle name="Normal 5 5 3 2 2 4" xfId="6569"/>
    <cellStyle name="Normal 5 5 3 2 2 4 2" xfId="15653"/>
    <cellStyle name="Normal 5 5 3 2 2 5" xfId="9964"/>
    <cellStyle name="Normal 5 5 3 2 2 5 2" xfId="18791"/>
    <cellStyle name="Normal 5 5 3 2 2 6" xfId="11409"/>
    <cellStyle name="Normal 5 5 3 2 2 7" xfId="5047"/>
    <cellStyle name="Normal 5 5 3 2 3" xfId="1061"/>
    <cellStyle name="Normal 5 5 3 2 3 2" xfId="2781"/>
    <cellStyle name="Normal 5 5 3 2 3 2 2" xfId="16786"/>
    <cellStyle name="Normal 5 5 3 2 3 2 3" xfId="13207"/>
    <cellStyle name="Normal 5 5 3 2 3 2 4" xfId="7918"/>
    <cellStyle name="Normal 5 5 3 2 3 3" xfId="4049"/>
    <cellStyle name="Normal 5 5 3 2 3 3 2" xfId="17694"/>
    <cellStyle name="Normal 5 5 3 2 3 3 3" xfId="14115"/>
    <cellStyle name="Normal 5 5 3 2 3 3 4" xfId="8858"/>
    <cellStyle name="Normal 5 5 3 2 3 4" xfId="6325"/>
    <cellStyle name="Normal 5 5 3 2 3 4 2" xfId="15409"/>
    <cellStyle name="Normal 5 5 3 2 3 5" xfId="10312"/>
    <cellStyle name="Normal 5 5 3 2 3 5 2" xfId="19139"/>
    <cellStyle name="Normal 5 5 3 2 3 6" xfId="11758"/>
    <cellStyle name="Normal 5 5 3 2 3 7" xfId="5512"/>
    <cellStyle name="Normal 5 5 3 2 4" xfId="1641"/>
    <cellStyle name="Normal 5 5 3 2 4 2" xfId="3237"/>
    <cellStyle name="Normal 5 5 3 2 4 2 2" xfId="18150"/>
    <cellStyle name="Normal 5 5 3 2 4 2 3" xfId="14571"/>
    <cellStyle name="Normal 5 5 3 2 4 2 4" xfId="9314"/>
    <cellStyle name="Normal 5 5 3 2 4 3" xfId="10768"/>
    <cellStyle name="Normal 5 5 3 2 4 3 2" xfId="19595"/>
    <cellStyle name="Normal 5 5 3 2 4 4" xfId="12214"/>
    <cellStyle name="Normal 5 5 3 2 4 5" xfId="7209"/>
    <cellStyle name="Normal 5 5 3 2 5" xfId="2194"/>
    <cellStyle name="Normal 5 5 3 2 5 2" xfId="17107"/>
    <cellStyle name="Normal 5 5 3 2 5 3" xfId="13528"/>
    <cellStyle name="Normal 5 5 3 2 5 4" xfId="8271"/>
    <cellStyle name="Normal 5 5 3 2 6" xfId="5832"/>
    <cellStyle name="Normal 5 5 3 2 6 2" xfId="14918"/>
    <cellStyle name="Normal 5 5 3 2 7" xfId="9725"/>
    <cellStyle name="Normal 5 5 3 2 7 2" xfId="18552"/>
    <cellStyle name="Normal 5 5 3 2 8" xfId="11169"/>
    <cellStyle name="Normal 5 5 3 2 9" xfId="4803"/>
    <cellStyle name="Normal 5 5 3 2_Degree data" xfId="1253"/>
    <cellStyle name="Normal 5 5 3 3" xfId="703"/>
    <cellStyle name="Normal 5 5 3 3 2" xfId="2432"/>
    <cellStyle name="Normal 5 5 3 3 2 2" xfId="16018"/>
    <cellStyle name="Normal 5 5 3 3 2 3" xfId="12337"/>
    <cellStyle name="Normal 5 5 3 3 2 4" xfId="7004"/>
    <cellStyle name="Normal 5 5 3 3 3" xfId="3699"/>
    <cellStyle name="Normal 5 5 3 3 3 2" xfId="17345"/>
    <cellStyle name="Normal 5 5 3 3 3 3" xfId="13766"/>
    <cellStyle name="Normal 5 5 3 3 3 4" xfId="8509"/>
    <cellStyle name="Normal 5 5 3 3 4" xfId="6120"/>
    <cellStyle name="Normal 5 5 3 3 4 2" xfId="15204"/>
    <cellStyle name="Normal 5 5 3 3 5" xfId="9963"/>
    <cellStyle name="Normal 5 5 3 3 5 2" xfId="18790"/>
    <cellStyle name="Normal 5 5 3 3 6" xfId="11408"/>
    <cellStyle name="Normal 5 5 3 3 7" xfId="4598"/>
    <cellStyle name="Normal 5 5 3 4" xfId="1060"/>
    <cellStyle name="Normal 5 5 3 4 2" xfId="2780"/>
    <cellStyle name="Normal 5 5 3 4 2 2" xfId="16320"/>
    <cellStyle name="Normal 5 5 3 4 2 3" xfId="12742"/>
    <cellStyle name="Normal 5 5 3 4 2 4" xfId="7452"/>
    <cellStyle name="Normal 5 5 3 4 3" xfId="4048"/>
    <cellStyle name="Normal 5 5 3 4 3 2" xfId="17693"/>
    <cellStyle name="Normal 5 5 3 4 3 3" xfId="14114"/>
    <cellStyle name="Normal 5 5 3 4 3 4" xfId="8857"/>
    <cellStyle name="Normal 5 5 3 4 4" xfId="6568"/>
    <cellStyle name="Normal 5 5 3 4 4 2" xfId="15652"/>
    <cellStyle name="Normal 5 5 3 4 5" xfId="10311"/>
    <cellStyle name="Normal 5 5 3 4 5 2" xfId="19138"/>
    <cellStyle name="Normal 5 5 3 4 6" xfId="11757"/>
    <cellStyle name="Normal 5 5 3 4 7" xfId="5046"/>
    <cellStyle name="Normal 5 5 3 5" xfId="1430"/>
    <cellStyle name="Normal 5 5 3 5 2" xfId="3032"/>
    <cellStyle name="Normal 5 5 3 5 2 2" xfId="16581"/>
    <cellStyle name="Normal 5 5 3 5 2 3" xfId="13002"/>
    <cellStyle name="Normal 5 5 3 5 2 4" xfId="7713"/>
    <cellStyle name="Normal 5 5 3 5 3" xfId="4240"/>
    <cellStyle name="Normal 5 5 3 5 3 2" xfId="17945"/>
    <cellStyle name="Normal 5 5 3 5 3 3" xfId="14366"/>
    <cellStyle name="Normal 5 5 3 5 3 4" xfId="9109"/>
    <cellStyle name="Normal 5 5 3 5 4" xfId="6006"/>
    <cellStyle name="Normal 5 5 3 5 4 2" xfId="15092"/>
    <cellStyle name="Normal 5 5 3 5 5" xfId="10563"/>
    <cellStyle name="Normal 5 5 3 5 5 2" xfId="19390"/>
    <cellStyle name="Normal 5 5 3 5 6" xfId="12009"/>
    <cellStyle name="Normal 5 5 3 5 7" xfId="5307"/>
    <cellStyle name="Normal 5 5 3 6" xfId="1989"/>
    <cellStyle name="Normal 5 5 3 6 2" xfId="15935"/>
    <cellStyle name="Normal 5 5 3 6 3" xfId="12358"/>
    <cellStyle name="Normal 5 5 3 6 4" xfId="6892"/>
    <cellStyle name="Normal 5 5 3 7" xfId="3403"/>
    <cellStyle name="Normal 5 5 3 7 2" xfId="16902"/>
    <cellStyle name="Normal 5 5 3 7 3" xfId="13323"/>
    <cellStyle name="Normal 5 5 3 7 4" xfId="8066"/>
    <cellStyle name="Normal 5 5 3 8" xfId="5627"/>
    <cellStyle name="Normal 5 5 3 8 2" xfId="14713"/>
    <cellStyle name="Normal 5 5 3 9" xfId="9520"/>
    <cellStyle name="Normal 5 5 3 9 2" xfId="18347"/>
    <cellStyle name="Normal 5 5 3_Degree data" xfId="1270"/>
    <cellStyle name="Normal 5 5 4" xfId="321"/>
    <cellStyle name="Normal 5 5 4 2" xfId="705"/>
    <cellStyle name="Normal 5 5 4 2 2" xfId="2434"/>
    <cellStyle name="Normal 5 5 4 2 2 2" xfId="16322"/>
    <cellStyle name="Normal 5 5 4 2 2 3" xfId="12744"/>
    <cellStyle name="Normal 5 5 4 2 2 4" xfId="7454"/>
    <cellStyle name="Normal 5 5 4 2 3" xfId="3701"/>
    <cellStyle name="Normal 5 5 4 2 3 2" xfId="17347"/>
    <cellStyle name="Normal 5 5 4 2 3 3" xfId="13768"/>
    <cellStyle name="Normal 5 5 4 2 3 4" xfId="8511"/>
    <cellStyle name="Normal 5 5 4 2 4" xfId="6570"/>
    <cellStyle name="Normal 5 5 4 2 4 2" xfId="15654"/>
    <cellStyle name="Normal 5 5 4 2 5" xfId="9965"/>
    <cellStyle name="Normal 5 5 4 2 5 2" xfId="18792"/>
    <cellStyle name="Normal 5 5 4 2 6" xfId="11410"/>
    <cellStyle name="Normal 5 5 4 2 7" xfId="5048"/>
    <cellStyle name="Normal 5 5 4 3" xfId="1062"/>
    <cellStyle name="Normal 5 5 4 3 2" xfId="2782"/>
    <cellStyle name="Normal 5 5 4 3 2 2" xfId="16681"/>
    <cellStyle name="Normal 5 5 4 3 2 3" xfId="13102"/>
    <cellStyle name="Normal 5 5 4 3 2 4" xfId="7813"/>
    <cellStyle name="Normal 5 5 4 3 3" xfId="4050"/>
    <cellStyle name="Normal 5 5 4 3 3 2" xfId="17695"/>
    <cellStyle name="Normal 5 5 4 3 3 3" xfId="14116"/>
    <cellStyle name="Normal 5 5 4 3 3 4" xfId="8859"/>
    <cellStyle name="Normal 5 5 4 3 4" xfId="6220"/>
    <cellStyle name="Normal 5 5 4 3 4 2" xfId="15304"/>
    <cellStyle name="Normal 5 5 4 3 5" xfId="10313"/>
    <cellStyle name="Normal 5 5 4 3 5 2" xfId="19140"/>
    <cellStyle name="Normal 5 5 4 3 6" xfId="11759"/>
    <cellStyle name="Normal 5 5 4 3 7" xfId="5407"/>
    <cellStyle name="Normal 5 5 4 4" xfId="1533"/>
    <cellStyle name="Normal 5 5 4 4 2" xfId="3132"/>
    <cellStyle name="Normal 5 5 4 4 2 2" xfId="18045"/>
    <cellStyle name="Normal 5 5 4 4 2 3" xfId="14466"/>
    <cellStyle name="Normal 5 5 4 4 2 4" xfId="9209"/>
    <cellStyle name="Normal 5 5 4 4 3" xfId="10663"/>
    <cellStyle name="Normal 5 5 4 4 3 2" xfId="19490"/>
    <cellStyle name="Normal 5 5 4 4 4" xfId="12109"/>
    <cellStyle name="Normal 5 5 4 4 5" xfId="7104"/>
    <cellStyle name="Normal 5 5 4 5" xfId="2089"/>
    <cellStyle name="Normal 5 5 4 5 2" xfId="17002"/>
    <cellStyle name="Normal 5 5 4 5 3" xfId="13423"/>
    <cellStyle name="Normal 5 5 4 5 4" xfId="8166"/>
    <cellStyle name="Normal 5 5 4 6" xfId="5727"/>
    <cellStyle name="Normal 5 5 4 6 2" xfId="14813"/>
    <cellStyle name="Normal 5 5 4 7" xfId="9620"/>
    <cellStyle name="Normal 5 5 4 7 2" xfId="18447"/>
    <cellStyle name="Normal 5 5 4 8" xfId="11064"/>
    <cellStyle name="Normal 5 5 4 9" xfId="4698"/>
    <cellStyle name="Normal 5 5 4_Degree data" xfId="1281"/>
    <cellStyle name="Normal 5 5 5" xfId="700"/>
    <cellStyle name="Normal 5 5 5 2" xfId="2429"/>
    <cellStyle name="Normal 5 5 5 2 2" xfId="15975"/>
    <cellStyle name="Normal 5 5 5 2 3" xfId="12479"/>
    <cellStyle name="Normal 5 5 5 2 4" xfId="6945"/>
    <cellStyle name="Normal 5 5 5 3" xfId="3696"/>
    <cellStyle name="Normal 5 5 5 3 2" xfId="17342"/>
    <cellStyle name="Normal 5 5 5 3 3" xfId="13763"/>
    <cellStyle name="Normal 5 5 5 3 4" xfId="8506"/>
    <cellStyle name="Normal 5 5 5 4" xfId="6061"/>
    <cellStyle name="Normal 5 5 5 4 2" xfId="15145"/>
    <cellStyle name="Normal 5 5 5 5" xfId="9960"/>
    <cellStyle name="Normal 5 5 5 5 2" xfId="18787"/>
    <cellStyle name="Normal 5 5 5 6" xfId="11405"/>
    <cellStyle name="Normal 5 5 5 7" xfId="4539"/>
    <cellStyle name="Normal 5 5 6" xfId="1057"/>
    <cellStyle name="Normal 5 5 6 2" xfId="2777"/>
    <cellStyle name="Normal 5 5 6 2 2" xfId="16317"/>
    <cellStyle name="Normal 5 5 6 2 3" xfId="12739"/>
    <cellStyle name="Normal 5 5 6 2 4" xfId="7449"/>
    <cellStyle name="Normal 5 5 6 3" xfId="4045"/>
    <cellStyle name="Normal 5 5 6 3 2" xfId="17690"/>
    <cellStyle name="Normal 5 5 6 3 3" xfId="14111"/>
    <cellStyle name="Normal 5 5 6 3 4" xfId="8854"/>
    <cellStyle name="Normal 5 5 6 4" xfId="6565"/>
    <cellStyle name="Normal 5 5 6 4 2" xfId="15649"/>
    <cellStyle name="Normal 5 5 6 5" xfId="10308"/>
    <cellStyle name="Normal 5 5 6 5 2" xfId="19135"/>
    <cellStyle name="Normal 5 5 6 6" xfId="11754"/>
    <cellStyle name="Normal 5 5 6 7" xfId="5043"/>
    <cellStyle name="Normal 5 5 7" xfId="1362"/>
    <cellStyle name="Normal 5 5 7 2" xfId="2973"/>
    <cellStyle name="Normal 5 5 7 2 2" xfId="16522"/>
    <cellStyle name="Normal 5 5 7 2 3" xfId="12944"/>
    <cellStyle name="Normal 5 5 7 2 4" xfId="7654"/>
    <cellStyle name="Normal 5 5 7 3" xfId="4198"/>
    <cellStyle name="Normal 5 5 7 3 2" xfId="17886"/>
    <cellStyle name="Normal 5 5 7 3 3" xfId="14307"/>
    <cellStyle name="Normal 5 5 7 3 4" xfId="9050"/>
    <cellStyle name="Normal 5 5 7 4" xfId="5900"/>
    <cellStyle name="Normal 5 5 7 4 2" xfId="14986"/>
    <cellStyle name="Normal 5 5 7 5" xfId="10504"/>
    <cellStyle name="Normal 5 5 7 5 2" xfId="19331"/>
    <cellStyle name="Normal 5 5 7 6" xfId="11950"/>
    <cellStyle name="Normal 5 5 7 7" xfId="5248"/>
    <cellStyle name="Normal 5 5 8" xfId="1930"/>
    <cellStyle name="Normal 5 5 8 2" xfId="9461"/>
    <cellStyle name="Normal 5 5 8 2 2" xfId="18288"/>
    <cellStyle name="Normal 5 5 8 3" xfId="10905"/>
    <cellStyle name="Normal 5 5 8 4" xfId="6787"/>
    <cellStyle name="Normal 5 5 9" xfId="1854"/>
    <cellStyle name="Normal 5 5 9 2" xfId="16841"/>
    <cellStyle name="Normal 5 5 9 3" xfId="13262"/>
    <cellStyle name="Normal 5 5 9 4" xfId="8005"/>
    <cellStyle name="Normal 5 5_Degree data" xfId="1319"/>
    <cellStyle name="Normal 5 6" xfId="247"/>
    <cellStyle name="Normal 5 6 10" xfId="10998"/>
    <cellStyle name="Normal 5 6 11" xfId="4415"/>
    <cellStyle name="Normal 5 6 2" xfId="355"/>
    <cellStyle name="Normal 5 6 2 2" xfId="707"/>
    <cellStyle name="Normal 5 6 2 2 2" xfId="2436"/>
    <cellStyle name="Normal 5 6 2 2 2 2" xfId="16324"/>
    <cellStyle name="Normal 5 6 2 2 2 3" xfId="12746"/>
    <cellStyle name="Normal 5 6 2 2 2 4" xfId="7456"/>
    <cellStyle name="Normal 5 6 2 2 3" xfId="3703"/>
    <cellStyle name="Normal 5 6 2 2 3 2" xfId="17349"/>
    <cellStyle name="Normal 5 6 2 2 3 3" xfId="13770"/>
    <cellStyle name="Normal 5 6 2 2 3 4" xfId="8513"/>
    <cellStyle name="Normal 5 6 2 2 4" xfId="6572"/>
    <cellStyle name="Normal 5 6 2 2 4 2" xfId="15656"/>
    <cellStyle name="Normal 5 6 2 2 5" xfId="9967"/>
    <cellStyle name="Normal 5 6 2 2 5 2" xfId="18794"/>
    <cellStyle name="Normal 5 6 2 2 6" xfId="11412"/>
    <cellStyle name="Normal 5 6 2 2 7" xfId="5050"/>
    <cellStyle name="Normal 5 6 2 3" xfId="1064"/>
    <cellStyle name="Normal 5 6 2 3 2" xfId="2784"/>
    <cellStyle name="Normal 5 6 2 3 2 2" xfId="16715"/>
    <cellStyle name="Normal 5 6 2 3 2 3" xfId="13136"/>
    <cellStyle name="Normal 5 6 2 3 2 4" xfId="7847"/>
    <cellStyle name="Normal 5 6 2 3 3" xfId="4052"/>
    <cellStyle name="Normal 5 6 2 3 3 2" xfId="17697"/>
    <cellStyle name="Normal 5 6 2 3 3 3" xfId="14118"/>
    <cellStyle name="Normal 5 6 2 3 3 4" xfId="8861"/>
    <cellStyle name="Normal 5 6 2 3 4" xfId="6254"/>
    <cellStyle name="Normal 5 6 2 3 4 2" xfId="15338"/>
    <cellStyle name="Normal 5 6 2 3 5" xfId="10315"/>
    <cellStyle name="Normal 5 6 2 3 5 2" xfId="19142"/>
    <cellStyle name="Normal 5 6 2 3 6" xfId="11761"/>
    <cellStyle name="Normal 5 6 2 3 7" xfId="5441"/>
    <cellStyle name="Normal 5 6 2 4" xfId="1568"/>
    <cellStyle name="Normal 5 6 2 4 2" xfId="3166"/>
    <cellStyle name="Normal 5 6 2 4 2 2" xfId="18079"/>
    <cellStyle name="Normal 5 6 2 4 2 3" xfId="14500"/>
    <cellStyle name="Normal 5 6 2 4 2 4" xfId="9243"/>
    <cellStyle name="Normal 5 6 2 4 3" xfId="10697"/>
    <cellStyle name="Normal 5 6 2 4 3 2" xfId="19524"/>
    <cellStyle name="Normal 5 6 2 4 4" xfId="12143"/>
    <cellStyle name="Normal 5 6 2 4 5" xfId="7138"/>
    <cellStyle name="Normal 5 6 2 5" xfId="2123"/>
    <cellStyle name="Normal 5 6 2 5 2" xfId="17036"/>
    <cellStyle name="Normal 5 6 2 5 3" xfId="13457"/>
    <cellStyle name="Normal 5 6 2 5 4" xfId="8200"/>
    <cellStyle name="Normal 5 6 2 6" xfId="5761"/>
    <cellStyle name="Normal 5 6 2 6 2" xfId="14847"/>
    <cellStyle name="Normal 5 6 2 7" xfId="9654"/>
    <cellStyle name="Normal 5 6 2 7 2" xfId="18481"/>
    <cellStyle name="Normal 5 6 2 8" xfId="11098"/>
    <cellStyle name="Normal 5 6 2 9" xfId="4732"/>
    <cellStyle name="Normal 5 6 2_Degree data" xfId="1321"/>
    <cellStyle name="Normal 5 6 3" xfId="706"/>
    <cellStyle name="Normal 5 6 3 2" xfId="2435"/>
    <cellStyle name="Normal 5 6 3 2 2" xfId="16052"/>
    <cellStyle name="Normal 5 6 3 2 3" xfId="12328"/>
    <cellStyle name="Normal 5 6 3 2 4" xfId="7038"/>
    <cellStyle name="Normal 5 6 3 3" xfId="3702"/>
    <cellStyle name="Normal 5 6 3 3 2" xfId="17348"/>
    <cellStyle name="Normal 5 6 3 3 3" xfId="13769"/>
    <cellStyle name="Normal 5 6 3 3 4" xfId="8512"/>
    <cellStyle name="Normal 5 6 3 4" xfId="6154"/>
    <cellStyle name="Normal 5 6 3 4 2" xfId="15238"/>
    <cellStyle name="Normal 5 6 3 5" xfId="9966"/>
    <cellStyle name="Normal 5 6 3 5 2" xfId="18793"/>
    <cellStyle name="Normal 5 6 3 6" xfId="11411"/>
    <cellStyle name="Normal 5 6 3 7" xfId="4632"/>
    <cellStyle name="Normal 5 6 4" xfId="1063"/>
    <cellStyle name="Normal 5 6 4 2" xfId="2783"/>
    <cellStyle name="Normal 5 6 4 2 2" xfId="16323"/>
    <cellStyle name="Normal 5 6 4 2 3" xfId="12745"/>
    <cellStyle name="Normal 5 6 4 2 4" xfId="7455"/>
    <cellStyle name="Normal 5 6 4 3" xfId="4051"/>
    <cellStyle name="Normal 5 6 4 3 2" xfId="17696"/>
    <cellStyle name="Normal 5 6 4 3 3" xfId="14117"/>
    <cellStyle name="Normal 5 6 4 3 4" xfId="8860"/>
    <cellStyle name="Normal 5 6 4 4" xfId="6571"/>
    <cellStyle name="Normal 5 6 4 4 2" xfId="15655"/>
    <cellStyle name="Normal 5 6 4 5" xfId="10314"/>
    <cellStyle name="Normal 5 6 4 5 2" xfId="19141"/>
    <cellStyle name="Normal 5 6 4 6" xfId="11760"/>
    <cellStyle name="Normal 5 6 4 7" xfId="5049"/>
    <cellStyle name="Normal 5 6 5" xfId="1466"/>
    <cellStyle name="Normal 5 6 5 2" xfId="3066"/>
    <cellStyle name="Normal 5 6 5 2 2" xfId="16615"/>
    <cellStyle name="Normal 5 6 5 2 3" xfId="13036"/>
    <cellStyle name="Normal 5 6 5 2 4" xfId="7747"/>
    <cellStyle name="Normal 5 6 5 3" xfId="4274"/>
    <cellStyle name="Normal 5 6 5 3 2" xfId="17979"/>
    <cellStyle name="Normal 5 6 5 3 3" xfId="14400"/>
    <cellStyle name="Normal 5 6 5 3 4" xfId="9143"/>
    <cellStyle name="Normal 5 6 5 4" xfId="5935"/>
    <cellStyle name="Normal 5 6 5 4 2" xfId="15021"/>
    <cellStyle name="Normal 5 6 5 5" xfId="10597"/>
    <cellStyle name="Normal 5 6 5 5 2" xfId="19424"/>
    <cellStyle name="Normal 5 6 5 6" xfId="12043"/>
    <cellStyle name="Normal 5 6 5 7" xfId="5341"/>
    <cellStyle name="Normal 5 6 6" xfId="2023"/>
    <cellStyle name="Normal 5 6 6 2" xfId="15864"/>
    <cellStyle name="Normal 5 6 6 3" xfId="12441"/>
    <cellStyle name="Normal 5 6 6 4" xfId="6821"/>
    <cellStyle name="Normal 5 6 7" xfId="3436"/>
    <cellStyle name="Normal 5 6 7 2" xfId="16936"/>
    <cellStyle name="Normal 5 6 7 3" xfId="13357"/>
    <cellStyle name="Normal 5 6 7 4" xfId="8100"/>
    <cellStyle name="Normal 5 6 8" xfId="5661"/>
    <cellStyle name="Normal 5 6 8 2" xfId="14747"/>
    <cellStyle name="Normal 5 6 9" xfId="9554"/>
    <cellStyle name="Normal 5 6 9 2" xfId="18381"/>
    <cellStyle name="Normal 5 6_Degree data" xfId="1298"/>
    <cellStyle name="Normal 5 7" xfId="460"/>
    <cellStyle name="Normal 5 7 10" xfId="4520"/>
    <cellStyle name="Normal 5 7 2" xfId="708"/>
    <cellStyle name="Normal 5 7 2 2" xfId="2437"/>
    <cellStyle name="Normal 5 7 2 2 2" xfId="16112"/>
    <cellStyle name="Normal 5 7 2 2 3" xfId="12534"/>
    <cellStyle name="Normal 5 7 2 2 4" xfId="7243"/>
    <cellStyle name="Normal 5 7 2 3" xfId="3704"/>
    <cellStyle name="Normal 5 7 2 3 2" xfId="17350"/>
    <cellStyle name="Normal 5 7 2 3 3" xfId="13771"/>
    <cellStyle name="Normal 5 7 2 3 4" xfId="8514"/>
    <cellStyle name="Normal 5 7 2 4" xfId="6359"/>
    <cellStyle name="Normal 5 7 2 4 2" xfId="15443"/>
    <cellStyle name="Normal 5 7 2 5" xfId="9968"/>
    <cellStyle name="Normal 5 7 2 5 2" xfId="18795"/>
    <cellStyle name="Normal 5 7 2 6" xfId="11413"/>
    <cellStyle name="Normal 5 7 2 7" xfId="4837"/>
    <cellStyle name="Normal 5 7 3" xfId="1065"/>
    <cellStyle name="Normal 5 7 3 2" xfId="2785"/>
    <cellStyle name="Normal 5 7 3 2 2" xfId="16325"/>
    <cellStyle name="Normal 5 7 3 2 3" xfId="12747"/>
    <cellStyle name="Normal 5 7 3 2 4" xfId="7457"/>
    <cellStyle name="Normal 5 7 3 3" xfId="4053"/>
    <cellStyle name="Normal 5 7 3 3 2" xfId="17698"/>
    <cellStyle name="Normal 5 7 3 3 3" xfId="14119"/>
    <cellStyle name="Normal 5 7 3 3 4" xfId="8862"/>
    <cellStyle name="Normal 5 7 3 4" xfId="6573"/>
    <cellStyle name="Normal 5 7 3 4 2" xfId="15657"/>
    <cellStyle name="Normal 5 7 3 5" xfId="10316"/>
    <cellStyle name="Normal 5 7 3 5 2" xfId="19143"/>
    <cellStyle name="Normal 5 7 3 6" xfId="11762"/>
    <cellStyle name="Normal 5 7 3 7" xfId="5051"/>
    <cellStyle name="Normal 5 7 4" xfId="1676"/>
    <cellStyle name="Normal 5 7 4 2" xfId="3271"/>
    <cellStyle name="Normal 5 7 4 2 2" xfId="16820"/>
    <cellStyle name="Normal 5 7 4 2 3" xfId="13241"/>
    <cellStyle name="Normal 5 7 4 2 4" xfId="7952"/>
    <cellStyle name="Normal 5 7 4 3" xfId="4334"/>
    <cellStyle name="Normal 5 7 4 3 2" xfId="18184"/>
    <cellStyle name="Normal 5 7 4 3 3" xfId="14605"/>
    <cellStyle name="Normal 5 7 4 3 4" xfId="9348"/>
    <cellStyle name="Normal 5 7 4 4" xfId="6040"/>
    <cellStyle name="Normal 5 7 4 4 2" xfId="15126"/>
    <cellStyle name="Normal 5 7 4 5" xfId="10802"/>
    <cellStyle name="Normal 5 7 4 5 2" xfId="19629"/>
    <cellStyle name="Normal 5 7 4 6" xfId="12248"/>
    <cellStyle name="Normal 5 7 4 7" xfId="5546"/>
    <cellStyle name="Normal 5 7 5" xfId="2228"/>
    <cellStyle name="Normal 5 7 5 2" xfId="15969"/>
    <cellStyle name="Normal 5 7 5 3" xfId="12349"/>
    <cellStyle name="Normal 5 7 5 4" xfId="6926"/>
    <cellStyle name="Normal 5 7 6" xfId="3496"/>
    <cellStyle name="Normal 5 7 6 2" xfId="17141"/>
    <cellStyle name="Normal 5 7 6 3" xfId="13562"/>
    <cellStyle name="Normal 5 7 6 4" xfId="8305"/>
    <cellStyle name="Normal 5 7 7" xfId="5866"/>
    <cellStyle name="Normal 5 7 7 2" xfId="14952"/>
    <cellStyle name="Normal 5 7 8" xfId="9759"/>
    <cellStyle name="Normal 5 7 8 2" xfId="18586"/>
    <cellStyle name="Normal 5 7 9" xfId="11203"/>
    <cellStyle name="Normal 5 7_Degree data" xfId="1252"/>
    <cellStyle name="Normal 5 8" xfId="473"/>
    <cellStyle name="Normal 5 8 2" xfId="709"/>
    <cellStyle name="Normal 5 8 2 2" xfId="2438"/>
    <cellStyle name="Normal 5 8 2 2 2" xfId="16326"/>
    <cellStyle name="Normal 5 8 2 2 3" xfId="12748"/>
    <cellStyle name="Normal 5 8 2 2 4" xfId="7458"/>
    <cellStyle name="Normal 5 8 2 3" xfId="3705"/>
    <cellStyle name="Normal 5 8 2 3 2" xfId="17351"/>
    <cellStyle name="Normal 5 8 2 3 3" xfId="13772"/>
    <cellStyle name="Normal 5 8 2 3 4" xfId="8515"/>
    <cellStyle name="Normal 5 8 2 4" xfId="6574"/>
    <cellStyle name="Normal 5 8 2 4 2" xfId="15658"/>
    <cellStyle name="Normal 5 8 2 5" xfId="9969"/>
    <cellStyle name="Normal 5 8 2 5 2" xfId="18796"/>
    <cellStyle name="Normal 5 8 2 6" xfId="11414"/>
    <cellStyle name="Normal 5 8 2 7" xfId="5052"/>
    <cellStyle name="Normal 5 8 3" xfId="1066"/>
    <cellStyle name="Normal 5 8 3 2" xfId="2786"/>
    <cellStyle name="Normal 5 8 3 2 2" xfId="16511"/>
    <cellStyle name="Normal 5 8 3 2 3" xfId="12933"/>
    <cellStyle name="Normal 5 8 3 2 4" xfId="7643"/>
    <cellStyle name="Normal 5 8 3 3" xfId="4054"/>
    <cellStyle name="Normal 5 8 3 3 2" xfId="17699"/>
    <cellStyle name="Normal 5 8 3 3 3" xfId="14120"/>
    <cellStyle name="Normal 5 8 3 3 4" xfId="8863"/>
    <cellStyle name="Normal 5 8 3 4" xfId="6736"/>
    <cellStyle name="Normal 5 8 3 4 2" xfId="15819"/>
    <cellStyle name="Normal 5 8 3 5" xfId="10317"/>
    <cellStyle name="Normal 5 8 3 5 2" xfId="19144"/>
    <cellStyle name="Normal 5 8 3 6" xfId="11763"/>
    <cellStyle name="Normal 5 8 3 7" xfId="5237"/>
    <cellStyle name="Normal 5 8 4" xfId="1349"/>
    <cellStyle name="Normal 5 8 4 2" xfId="2962"/>
    <cellStyle name="Normal 5 8 4 2 2" xfId="17875"/>
    <cellStyle name="Normal 5 8 4 2 3" xfId="14296"/>
    <cellStyle name="Normal 5 8 4 2 4" xfId="9039"/>
    <cellStyle name="Normal 5 8 4 3" xfId="10493"/>
    <cellStyle name="Normal 5 8 4 3 2" xfId="19320"/>
    <cellStyle name="Normal 5 8 4 4" xfId="11939"/>
    <cellStyle name="Normal 5 8 4 5" xfId="6934"/>
    <cellStyle name="Normal 5 8 5" xfId="1919"/>
    <cellStyle name="Normal 5 8 5 2" xfId="16830"/>
    <cellStyle name="Normal 5 8 5 3" xfId="13251"/>
    <cellStyle name="Normal 5 8 5 4" xfId="7994"/>
    <cellStyle name="Normal 5 8 6" xfId="6050"/>
    <cellStyle name="Normal 5 8 6 2" xfId="15134"/>
    <cellStyle name="Normal 5 8 7" xfId="9450"/>
    <cellStyle name="Normal 5 8 7 2" xfId="18277"/>
    <cellStyle name="Normal 5 8 8" xfId="10894"/>
    <cellStyle name="Normal 5 8 9" xfId="4528"/>
    <cellStyle name="Normal 5 8_Degree data" xfId="1683"/>
    <cellStyle name="Normal 5 9" xfId="667"/>
    <cellStyle name="Normal 5 9 2" xfId="2396"/>
    <cellStyle name="Normal 5 9 2 2" xfId="16284"/>
    <cellStyle name="Normal 5 9 2 3" xfId="12706"/>
    <cellStyle name="Normal 5 9 2 4" xfId="7416"/>
    <cellStyle name="Normal 5 9 3" xfId="3663"/>
    <cellStyle name="Normal 5 9 3 2" xfId="17309"/>
    <cellStyle name="Normal 5 9 3 3" xfId="13730"/>
    <cellStyle name="Normal 5 9 3 4" xfId="8473"/>
    <cellStyle name="Normal 5 9 4" xfId="6532"/>
    <cellStyle name="Normal 5 9 4 2" xfId="15616"/>
    <cellStyle name="Normal 5 9 5" xfId="9927"/>
    <cellStyle name="Normal 5 9 5 2" xfId="18754"/>
    <cellStyle name="Normal 5 9 6" xfId="11372"/>
    <cellStyle name="Normal 5 9 7" xfId="5010"/>
    <cellStyle name="Normal 5_Degree data" xfId="1315"/>
    <cellStyle name="Normal 50" xfId="88"/>
    <cellStyle name="Normal 51" xfId="89"/>
    <cellStyle name="Normal 52" xfId="79"/>
    <cellStyle name="Normal 53" xfId="111"/>
    <cellStyle name="Normal 54" xfId="112"/>
    <cellStyle name="Normal 55" xfId="113"/>
    <cellStyle name="Normal 56" xfId="37"/>
    <cellStyle name="Normal 57" xfId="23"/>
    <cellStyle name="Normal 57 10" xfId="454"/>
    <cellStyle name="Normal 57 10 10" xfId="4513"/>
    <cellStyle name="Normal 57 10 2" xfId="711"/>
    <cellStyle name="Normal 57 10 2 2" xfId="2440"/>
    <cellStyle name="Normal 57 10 2 2 2" xfId="16105"/>
    <cellStyle name="Normal 57 10 2 2 3" xfId="12527"/>
    <cellStyle name="Normal 57 10 2 2 4" xfId="7236"/>
    <cellStyle name="Normal 57 10 2 3" xfId="3707"/>
    <cellStyle name="Normal 57 10 2 3 2" xfId="17353"/>
    <cellStyle name="Normal 57 10 2 3 3" xfId="13774"/>
    <cellStyle name="Normal 57 10 2 3 4" xfId="8517"/>
    <cellStyle name="Normal 57 10 2 4" xfId="6352"/>
    <cellStyle name="Normal 57 10 2 4 2" xfId="15436"/>
    <cellStyle name="Normal 57 10 2 5" xfId="9971"/>
    <cellStyle name="Normal 57 10 2 5 2" xfId="18798"/>
    <cellStyle name="Normal 57 10 2 6" xfId="11416"/>
    <cellStyle name="Normal 57 10 2 7" xfId="4830"/>
    <cellStyle name="Normal 57 10 3" xfId="1068"/>
    <cellStyle name="Normal 57 10 3 2" xfId="2788"/>
    <cellStyle name="Normal 57 10 3 2 2" xfId="16328"/>
    <cellStyle name="Normal 57 10 3 2 3" xfId="12750"/>
    <cellStyle name="Normal 57 10 3 2 4" xfId="7460"/>
    <cellStyle name="Normal 57 10 3 3" xfId="4056"/>
    <cellStyle name="Normal 57 10 3 3 2" xfId="17701"/>
    <cellStyle name="Normal 57 10 3 3 3" xfId="14122"/>
    <cellStyle name="Normal 57 10 3 3 4" xfId="8865"/>
    <cellStyle name="Normal 57 10 3 4" xfId="6576"/>
    <cellStyle name="Normal 57 10 3 4 2" xfId="15660"/>
    <cellStyle name="Normal 57 10 3 5" xfId="10319"/>
    <cellStyle name="Normal 57 10 3 5 2" xfId="19146"/>
    <cellStyle name="Normal 57 10 3 6" xfId="11765"/>
    <cellStyle name="Normal 57 10 3 7" xfId="5054"/>
    <cellStyle name="Normal 57 10 4" xfId="1668"/>
    <cellStyle name="Normal 57 10 4 2" xfId="3264"/>
    <cellStyle name="Normal 57 10 4 2 2" xfId="16813"/>
    <cellStyle name="Normal 57 10 4 2 3" xfId="13234"/>
    <cellStyle name="Normal 57 10 4 2 4" xfId="7945"/>
    <cellStyle name="Normal 57 10 4 3" xfId="4327"/>
    <cellStyle name="Normal 57 10 4 3 2" xfId="18177"/>
    <cellStyle name="Normal 57 10 4 3 3" xfId="14598"/>
    <cellStyle name="Normal 57 10 4 3 4" xfId="9341"/>
    <cellStyle name="Normal 57 10 4 4" xfId="6033"/>
    <cellStyle name="Normal 57 10 4 4 2" xfId="15119"/>
    <cellStyle name="Normal 57 10 4 5" xfId="10795"/>
    <cellStyle name="Normal 57 10 4 5 2" xfId="19622"/>
    <cellStyle name="Normal 57 10 4 6" xfId="12241"/>
    <cellStyle name="Normal 57 10 4 7" xfId="5539"/>
    <cellStyle name="Normal 57 10 5" xfId="2221"/>
    <cellStyle name="Normal 57 10 5 2" xfId="15962"/>
    <cellStyle name="Normal 57 10 5 3" xfId="12304"/>
    <cellStyle name="Normal 57 10 5 4" xfId="6919"/>
    <cellStyle name="Normal 57 10 6" xfId="3489"/>
    <cellStyle name="Normal 57 10 6 2" xfId="17134"/>
    <cellStyle name="Normal 57 10 6 3" xfId="13555"/>
    <cellStyle name="Normal 57 10 6 4" xfId="8298"/>
    <cellStyle name="Normal 57 10 7" xfId="5859"/>
    <cellStyle name="Normal 57 10 7 2" xfId="14945"/>
    <cellStyle name="Normal 57 10 8" xfId="9752"/>
    <cellStyle name="Normal 57 10 8 2" xfId="18579"/>
    <cellStyle name="Normal 57 10 9" xfId="11196"/>
    <cellStyle name="Normal 57 10_Degree data" xfId="1685"/>
    <cellStyle name="Normal 57 11" xfId="292"/>
    <cellStyle name="Normal 57 11 2" xfId="712"/>
    <cellStyle name="Normal 57 11 2 2" xfId="2441"/>
    <cellStyle name="Normal 57 11 2 2 2" xfId="16329"/>
    <cellStyle name="Normal 57 11 2 2 3" xfId="12751"/>
    <cellStyle name="Normal 57 11 2 2 4" xfId="7461"/>
    <cellStyle name="Normal 57 11 2 3" xfId="3708"/>
    <cellStyle name="Normal 57 11 2 3 2" xfId="17354"/>
    <cellStyle name="Normal 57 11 2 3 3" xfId="13775"/>
    <cellStyle name="Normal 57 11 2 3 4" xfId="8518"/>
    <cellStyle name="Normal 57 11 2 4" xfId="6577"/>
    <cellStyle name="Normal 57 11 2 4 2" xfId="15661"/>
    <cellStyle name="Normal 57 11 2 5" xfId="9972"/>
    <cellStyle name="Normal 57 11 2 5 2" xfId="18799"/>
    <cellStyle name="Normal 57 11 2 6" xfId="11417"/>
    <cellStyle name="Normal 57 11 2 7" xfId="5055"/>
    <cellStyle name="Normal 57 11 3" xfId="1069"/>
    <cellStyle name="Normal 57 11 3 2" xfId="2789"/>
    <cellStyle name="Normal 57 11 3 2 2" xfId="16652"/>
    <cellStyle name="Normal 57 11 3 2 3" xfId="13073"/>
    <cellStyle name="Normal 57 11 3 2 4" xfId="7784"/>
    <cellStyle name="Normal 57 11 3 3" xfId="4057"/>
    <cellStyle name="Normal 57 11 3 3 2" xfId="17702"/>
    <cellStyle name="Normal 57 11 3 3 3" xfId="14123"/>
    <cellStyle name="Normal 57 11 3 3 4" xfId="8866"/>
    <cellStyle name="Normal 57 11 3 4" xfId="6191"/>
    <cellStyle name="Normal 57 11 3 4 2" xfId="15275"/>
    <cellStyle name="Normal 57 11 3 5" xfId="10320"/>
    <cellStyle name="Normal 57 11 3 5 2" xfId="19147"/>
    <cellStyle name="Normal 57 11 3 6" xfId="11766"/>
    <cellStyle name="Normal 57 11 3 7" xfId="5378"/>
    <cellStyle name="Normal 57 11 4" xfId="1504"/>
    <cellStyle name="Normal 57 11 4 2" xfId="3103"/>
    <cellStyle name="Normal 57 11 4 2 2" xfId="18016"/>
    <cellStyle name="Normal 57 11 4 2 3" xfId="14437"/>
    <cellStyle name="Normal 57 11 4 2 4" xfId="9180"/>
    <cellStyle name="Normal 57 11 4 3" xfId="10634"/>
    <cellStyle name="Normal 57 11 4 3 2" xfId="19461"/>
    <cellStyle name="Normal 57 11 4 4" xfId="12080"/>
    <cellStyle name="Normal 57 11 4 5" xfId="7075"/>
    <cellStyle name="Normal 57 11 5" xfId="2060"/>
    <cellStyle name="Normal 57 11 5 2" xfId="16973"/>
    <cellStyle name="Normal 57 11 5 3" xfId="13394"/>
    <cellStyle name="Normal 57 11 5 4" xfId="8137"/>
    <cellStyle name="Normal 57 11 6" xfId="5698"/>
    <cellStyle name="Normal 57 11 6 2" xfId="14784"/>
    <cellStyle name="Normal 57 11 7" xfId="9591"/>
    <cellStyle name="Normal 57 11 7 2" xfId="18418"/>
    <cellStyle name="Normal 57 11 8" xfId="11035"/>
    <cellStyle name="Normal 57 11 9" xfId="4669"/>
    <cellStyle name="Normal 57 11_Degree data" xfId="1686"/>
    <cellStyle name="Normal 57 12" xfId="469"/>
    <cellStyle name="Normal 57 12 2" xfId="713"/>
    <cellStyle name="Normal 57 12 2 2" xfId="2442"/>
    <cellStyle name="Normal 57 12 2 2 2" xfId="16330"/>
    <cellStyle name="Normal 57 12 2 2 3" xfId="12752"/>
    <cellStyle name="Normal 57 12 2 2 4" xfId="7462"/>
    <cellStyle name="Normal 57 12 2 3" xfId="3709"/>
    <cellStyle name="Normal 57 12 2 3 2" xfId="17355"/>
    <cellStyle name="Normal 57 12 2 3 3" xfId="13776"/>
    <cellStyle name="Normal 57 12 2 3 4" xfId="8519"/>
    <cellStyle name="Normal 57 12 2 4" xfId="6578"/>
    <cellStyle name="Normal 57 12 2 4 2" xfId="15662"/>
    <cellStyle name="Normal 57 12 2 5" xfId="9973"/>
    <cellStyle name="Normal 57 12 2 5 2" xfId="18800"/>
    <cellStyle name="Normal 57 12 2 6" xfId="11418"/>
    <cellStyle name="Normal 57 12 2 7" xfId="5056"/>
    <cellStyle name="Normal 57 12 3" xfId="1070"/>
    <cellStyle name="Normal 57 12 3 2" xfId="2790"/>
    <cellStyle name="Normal 57 12 3 2 2" xfId="16507"/>
    <cellStyle name="Normal 57 12 3 2 3" xfId="12929"/>
    <cellStyle name="Normal 57 12 3 2 4" xfId="7639"/>
    <cellStyle name="Normal 57 12 3 3" xfId="4058"/>
    <cellStyle name="Normal 57 12 3 3 2" xfId="17703"/>
    <cellStyle name="Normal 57 12 3 3 3" xfId="14124"/>
    <cellStyle name="Normal 57 12 3 3 4" xfId="8867"/>
    <cellStyle name="Normal 57 12 3 4" xfId="6730"/>
    <cellStyle name="Normal 57 12 3 4 2" xfId="15813"/>
    <cellStyle name="Normal 57 12 3 5" xfId="10321"/>
    <cellStyle name="Normal 57 12 3 5 2" xfId="19148"/>
    <cellStyle name="Normal 57 12 3 6" xfId="11767"/>
    <cellStyle name="Normal 57 12 3 7" xfId="5233"/>
    <cellStyle name="Normal 57 12 4" xfId="1345"/>
    <cellStyle name="Normal 57 12 4 2" xfId="2958"/>
    <cellStyle name="Normal 57 12 4 2 2" xfId="17871"/>
    <cellStyle name="Normal 57 12 4 2 3" xfId="14292"/>
    <cellStyle name="Normal 57 12 4 2 4" xfId="9035"/>
    <cellStyle name="Normal 57 12 4 3" xfId="10489"/>
    <cellStyle name="Normal 57 12 4 3 2" xfId="19316"/>
    <cellStyle name="Normal 57 12 4 4" xfId="11935"/>
    <cellStyle name="Normal 57 12 4 5" xfId="6930"/>
    <cellStyle name="Normal 57 12 5" xfId="1915"/>
    <cellStyle name="Normal 57 12 5 2" xfId="16826"/>
    <cellStyle name="Normal 57 12 5 3" xfId="13247"/>
    <cellStyle name="Normal 57 12 5 4" xfId="7990"/>
    <cellStyle name="Normal 57 12 6" xfId="6046"/>
    <cellStyle name="Normal 57 12 6 2" xfId="15130"/>
    <cellStyle name="Normal 57 12 7" xfId="9446"/>
    <cellStyle name="Normal 57 12 7 2" xfId="18273"/>
    <cellStyle name="Normal 57 12 8" xfId="10890"/>
    <cellStyle name="Normal 57 12 9" xfId="4524"/>
    <cellStyle name="Normal 57 12_Degree data" xfId="1687"/>
    <cellStyle name="Normal 57 13" xfId="710"/>
    <cellStyle name="Normal 57 13 2" xfId="2439"/>
    <cellStyle name="Normal 57 13 2 2" xfId="16327"/>
    <cellStyle name="Normal 57 13 2 3" xfId="12749"/>
    <cellStyle name="Normal 57 13 2 4" xfId="7459"/>
    <cellStyle name="Normal 57 13 3" xfId="3706"/>
    <cellStyle name="Normal 57 13 3 2" xfId="17352"/>
    <cellStyle name="Normal 57 13 3 3" xfId="13773"/>
    <cellStyle name="Normal 57 13 3 4" xfId="8516"/>
    <cellStyle name="Normal 57 13 4" xfId="6575"/>
    <cellStyle name="Normal 57 13 4 2" xfId="15659"/>
    <cellStyle name="Normal 57 13 5" xfId="9970"/>
    <cellStyle name="Normal 57 13 5 2" xfId="18797"/>
    <cellStyle name="Normal 57 13 6" xfId="11415"/>
    <cellStyle name="Normal 57 13 7" xfId="5053"/>
    <cellStyle name="Normal 57 14" xfId="1067"/>
    <cellStyle name="Normal 57 14 2" xfId="2787"/>
    <cellStyle name="Normal 57 14 2 2" xfId="16477"/>
    <cellStyle name="Normal 57 14 2 3" xfId="12899"/>
    <cellStyle name="Normal 57 14 2 4" xfId="7609"/>
    <cellStyle name="Normal 57 14 3" xfId="4055"/>
    <cellStyle name="Normal 57 14 3 2" xfId="17700"/>
    <cellStyle name="Normal 57 14 3 3" xfId="14121"/>
    <cellStyle name="Normal 57 14 3 4" xfId="8864"/>
    <cellStyle name="Normal 57 14 4" xfId="5870"/>
    <cellStyle name="Normal 57 14 4 2" xfId="14956"/>
    <cellStyle name="Normal 57 14 5" xfId="10318"/>
    <cellStyle name="Normal 57 14 5 2" xfId="19145"/>
    <cellStyle name="Normal 57 14 6" xfId="11764"/>
    <cellStyle name="Normal 57 14 7" xfId="5203"/>
    <cellStyle name="Normal 57 15" xfId="1257"/>
    <cellStyle name="Normal 57 15 2" xfId="2928"/>
    <cellStyle name="Normal 57 15 2 2" xfId="17841"/>
    <cellStyle name="Normal 57 15 2 3" xfId="14262"/>
    <cellStyle name="Normal 57 15 2 4" xfId="9005"/>
    <cellStyle name="Normal 57 15 3" xfId="10459"/>
    <cellStyle name="Normal 57 15 3 2" xfId="19286"/>
    <cellStyle name="Normal 57 15 4" xfId="11905"/>
    <cellStyle name="Normal 57 15 5" xfId="6757"/>
    <cellStyle name="Normal 57 16" xfId="1885"/>
    <cellStyle name="Normal 57 16 2" xfId="9416"/>
    <cellStyle name="Normal 57 16 2 2" xfId="18243"/>
    <cellStyle name="Normal 57 16 3" xfId="10860"/>
    <cellStyle name="Normal 57 16 4" xfId="7959"/>
    <cellStyle name="Normal 57 17" xfId="1837"/>
    <cellStyle name="Normal 57 17 2" xfId="14639"/>
    <cellStyle name="Normal 57 17 3" xfId="5553"/>
    <cellStyle name="Normal 57 18" xfId="9373"/>
    <cellStyle name="Normal 57 18 2" xfId="18200"/>
    <cellStyle name="Normal 57 19" xfId="10811"/>
    <cellStyle name="Normal 57 2" xfId="33"/>
    <cellStyle name="Normal 57 20" xfId="4352"/>
    <cellStyle name="Normal 57 3" xfId="94"/>
    <cellStyle name="Normal 57 3 10" xfId="1267"/>
    <cellStyle name="Normal 57 3 10 2" xfId="2932"/>
    <cellStyle name="Normal 57 3 10 2 2" xfId="17845"/>
    <cellStyle name="Normal 57 3 10 2 3" xfId="14266"/>
    <cellStyle name="Normal 57 3 10 2 4" xfId="9009"/>
    <cellStyle name="Normal 57 3 10 3" xfId="10463"/>
    <cellStyle name="Normal 57 3 10 3 2" xfId="19290"/>
    <cellStyle name="Normal 57 3 10 4" xfId="11909"/>
    <cellStyle name="Normal 57 3 10 5" xfId="6770"/>
    <cellStyle name="Normal 57 3 11" xfId="1889"/>
    <cellStyle name="Normal 57 3 11 2" xfId="9420"/>
    <cellStyle name="Normal 57 3 11 2 2" xfId="18247"/>
    <cellStyle name="Normal 57 3 11 3" xfId="10864"/>
    <cellStyle name="Normal 57 3 11 4" xfId="7963"/>
    <cellStyle name="Normal 57 3 12" xfId="1844"/>
    <cellStyle name="Normal 57 3 12 2" xfId="14645"/>
    <cellStyle name="Normal 57 3 12 3" xfId="5559"/>
    <cellStyle name="Normal 57 3 13" xfId="9380"/>
    <cellStyle name="Normal 57 3 13 2" xfId="18207"/>
    <cellStyle name="Normal 57 3 14" xfId="10819"/>
    <cellStyle name="Normal 57 3 15" xfId="4365"/>
    <cellStyle name="Normal 57 3 2" xfId="124"/>
    <cellStyle name="Normal 57 3 2 10" xfId="1871"/>
    <cellStyle name="Normal 57 3 2 10 2" xfId="14670"/>
    <cellStyle name="Normal 57 3 2 10 3" xfId="5584"/>
    <cellStyle name="Normal 57 3 2 11" xfId="9402"/>
    <cellStyle name="Normal 57 3 2 11 2" xfId="18229"/>
    <cellStyle name="Normal 57 3 2 12" xfId="10846"/>
    <cellStyle name="Normal 57 3 2 13" xfId="4395"/>
    <cellStyle name="Normal 57 3 2 2" xfId="270"/>
    <cellStyle name="Normal 57 3 2 2 10" xfId="11021"/>
    <cellStyle name="Normal 57 3 2 2 11" xfId="4438"/>
    <cellStyle name="Normal 57 3 2 2 2" xfId="378"/>
    <cellStyle name="Normal 57 3 2 2 2 2" xfId="717"/>
    <cellStyle name="Normal 57 3 2 2 2 2 2" xfId="2446"/>
    <cellStyle name="Normal 57 3 2 2 2 2 2 2" xfId="16334"/>
    <cellStyle name="Normal 57 3 2 2 2 2 2 3" xfId="12756"/>
    <cellStyle name="Normal 57 3 2 2 2 2 2 4" xfId="7466"/>
    <cellStyle name="Normal 57 3 2 2 2 2 3" xfId="3713"/>
    <cellStyle name="Normal 57 3 2 2 2 2 3 2" xfId="17359"/>
    <cellStyle name="Normal 57 3 2 2 2 2 3 3" xfId="13780"/>
    <cellStyle name="Normal 57 3 2 2 2 2 3 4" xfId="8523"/>
    <cellStyle name="Normal 57 3 2 2 2 2 4" xfId="6582"/>
    <cellStyle name="Normal 57 3 2 2 2 2 4 2" xfId="15666"/>
    <cellStyle name="Normal 57 3 2 2 2 2 5" xfId="9977"/>
    <cellStyle name="Normal 57 3 2 2 2 2 5 2" xfId="18804"/>
    <cellStyle name="Normal 57 3 2 2 2 2 6" xfId="11422"/>
    <cellStyle name="Normal 57 3 2 2 2 2 7" xfId="5060"/>
    <cellStyle name="Normal 57 3 2 2 2 3" xfId="1074"/>
    <cellStyle name="Normal 57 3 2 2 2 3 2" xfId="2794"/>
    <cellStyle name="Normal 57 3 2 2 2 3 2 2" xfId="16738"/>
    <cellStyle name="Normal 57 3 2 2 2 3 2 3" xfId="13159"/>
    <cellStyle name="Normal 57 3 2 2 2 3 2 4" xfId="7870"/>
    <cellStyle name="Normal 57 3 2 2 2 3 3" xfId="4062"/>
    <cellStyle name="Normal 57 3 2 2 2 3 3 2" xfId="17707"/>
    <cellStyle name="Normal 57 3 2 2 2 3 3 3" xfId="14128"/>
    <cellStyle name="Normal 57 3 2 2 2 3 3 4" xfId="8871"/>
    <cellStyle name="Normal 57 3 2 2 2 3 4" xfId="6277"/>
    <cellStyle name="Normal 57 3 2 2 2 3 4 2" xfId="15361"/>
    <cellStyle name="Normal 57 3 2 2 2 3 5" xfId="10325"/>
    <cellStyle name="Normal 57 3 2 2 2 3 5 2" xfId="19152"/>
    <cellStyle name="Normal 57 3 2 2 2 3 6" xfId="11771"/>
    <cellStyle name="Normal 57 3 2 2 2 3 7" xfId="5464"/>
    <cellStyle name="Normal 57 3 2 2 2 4" xfId="1592"/>
    <cellStyle name="Normal 57 3 2 2 2 4 2" xfId="3189"/>
    <cellStyle name="Normal 57 3 2 2 2 4 2 2" xfId="18102"/>
    <cellStyle name="Normal 57 3 2 2 2 4 2 3" xfId="14523"/>
    <cellStyle name="Normal 57 3 2 2 2 4 2 4" xfId="9266"/>
    <cellStyle name="Normal 57 3 2 2 2 4 3" xfId="10720"/>
    <cellStyle name="Normal 57 3 2 2 2 4 3 2" xfId="19547"/>
    <cellStyle name="Normal 57 3 2 2 2 4 4" xfId="12166"/>
    <cellStyle name="Normal 57 3 2 2 2 4 5" xfId="7161"/>
    <cellStyle name="Normal 57 3 2 2 2 5" xfId="2146"/>
    <cellStyle name="Normal 57 3 2 2 2 5 2" xfId="17059"/>
    <cellStyle name="Normal 57 3 2 2 2 5 3" xfId="13480"/>
    <cellStyle name="Normal 57 3 2 2 2 5 4" xfId="8223"/>
    <cellStyle name="Normal 57 3 2 2 2 6" xfId="5784"/>
    <cellStyle name="Normal 57 3 2 2 2 6 2" xfId="14870"/>
    <cellStyle name="Normal 57 3 2 2 2 7" xfId="9677"/>
    <cellStyle name="Normal 57 3 2 2 2 7 2" xfId="18504"/>
    <cellStyle name="Normal 57 3 2 2 2 8" xfId="11121"/>
    <cellStyle name="Normal 57 3 2 2 2 9" xfId="4755"/>
    <cellStyle name="Normal 57 3 2 2 2_Degree data" xfId="1691"/>
    <cellStyle name="Normal 57 3 2 2 3" xfId="716"/>
    <cellStyle name="Normal 57 3 2 2 3 2" xfId="2445"/>
    <cellStyle name="Normal 57 3 2 2 3 2 2" xfId="16075"/>
    <cellStyle name="Normal 57 3 2 2 3 2 3" xfId="12323"/>
    <cellStyle name="Normal 57 3 2 2 3 2 4" xfId="7061"/>
    <cellStyle name="Normal 57 3 2 2 3 3" xfId="3712"/>
    <cellStyle name="Normal 57 3 2 2 3 3 2" xfId="17358"/>
    <cellStyle name="Normal 57 3 2 2 3 3 3" xfId="13779"/>
    <cellStyle name="Normal 57 3 2 2 3 3 4" xfId="8522"/>
    <cellStyle name="Normal 57 3 2 2 3 4" xfId="6177"/>
    <cellStyle name="Normal 57 3 2 2 3 4 2" xfId="15261"/>
    <cellStyle name="Normal 57 3 2 2 3 5" xfId="9976"/>
    <cellStyle name="Normal 57 3 2 2 3 5 2" xfId="18803"/>
    <cellStyle name="Normal 57 3 2 2 3 6" xfId="11421"/>
    <cellStyle name="Normal 57 3 2 2 3 7" xfId="4655"/>
    <cellStyle name="Normal 57 3 2 2 4" xfId="1073"/>
    <cellStyle name="Normal 57 3 2 2 4 2" xfId="2793"/>
    <cellStyle name="Normal 57 3 2 2 4 2 2" xfId="16333"/>
    <cellStyle name="Normal 57 3 2 2 4 2 3" xfId="12755"/>
    <cellStyle name="Normal 57 3 2 2 4 2 4" xfId="7465"/>
    <cellStyle name="Normal 57 3 2 2 4 3" xfId="4061"/>
    <cellStyle name="Normal 57 3 2 2 4 3 2" xfId="17706"/>
    <cellStyle name="Normal 57 3 2 2 4 3 3" xfId="14127"/>
    <cellStyle name="Normal 57 3 2 2 4 3 4" xfId="8870"/>
    <cellStyle name="Normal 57 3 2 2 4 4" xfId="6581"/>
    <cellStyle name="Normal 57 3 2 2 4 4 2" xfId="15665"/>
    <cellStyle name="Normal 57 3 2 2 4 5" xfId="10324"/>
    <cellStyle name="Normal 57 3 2 2 4 5 2" xfId="19151"/>
    <cellStyle name="Normal 57 3 2 2 4 6" xfId="11770"/>
    <cellStyle name="Normal 57 3 2 2 4 7" xfId="5059"/>
    <cellStyle name="Normal 57 3 2 2 5" xfId="1490"/>
    <cellStyle name="Normal 57 3 2 2 5 2" xfId="3089"/>
    <cellStyle name="Normal 57 3 2 2 5 2 2" xfId="16638"/>
    <cellStyle name="Normal 57 3 2 2 5 2 3" xfId="13059"/>
    <cellStyle name="Normal 57 3 2 2 5 2 4" xfId="7770"/>
    <cellStyle name="Normal 57 3 2 2 5 3" xfId="4297"/>
    <cellStyle name="Normal 57 3 2 2 5 3 2" xfId="18002"/>
    <cellStyle name="Normal 57 3 2 2 5 3 3" xfId="14423"/>
    <cellStyle name="Normal 57 3 2 2 5 3 4" xfId="9166"/>
    <cellStyle name="Normal 57 3 2 2 5 4" xfId="5958"/>
    <cellStyle name="Normal 57 3 2 2 5 4 2" xfId="15044"/>
    <cellStyle name="Normal 57 3 2 2 5 5" xfId="10620"/>
    <cellStyle name="Normal 57 3 2 2 5 5 2" xfId="19447"/>
    <cellStyle name="Normal 57 3 2 2 5 6" xfId="12066"/>
    <cellStyle name="Normal 57 3 2 2 5 7" xfId="5364"/>
    <cellStyle name="Normal 57 3 2 2 6" xfId="2046"/>
    <cellStyle name="Normal 57 3 2 2 6 2" xfId="15887"/>
    <cellStyle name="Normal 57 3 2 2 6 3" xfId="12367"/>
    <cellStyle name="Normal 57 3 2 2 6 4" xfId="6844"/>
    <cellStyle name="Normal 57 3 2 2 7" xfId="3459"/>
    <cellStyle name="Normal 57 3 2 2 7 2" xfId="16959"/>
    <cellStyle name="Normal 57 3 2 2 7 3" xfId="13380"/>
    <cellStyle name="Normal 57 3 2 2 7 4" xfId="8123"/>
    <cellStyle name="Normal 57 3 2 2 8" xfId="5684"/>
    <cellStyle name="Normal 57 3 2 2 8 2" xfId="14770"/>
    <cellStyle name="Normal 57 3 2 2 9" xfId="9577"/>
    <cellStyle name="Normal 57 3 2 2 9 2" xfId="18404"/>
    <cellStyle name="Normal 57 3 2 2_Degree data" xfId="1690"/>
    <cellStyle name="Normal 57 3 2 3" xfId="227"/>
    <cellStyle name="Normal 57 3 2 3 10" xfId="10978"/>
    <cellStyle name="Normal 57 3 2 3 11" xfId="4499"/>
    <cellStyle name="Normal 57 3 2 3 2" xfId="440"/>
    <cellStyle name="Normal 57 3 2 3 2 2" xfId="719"/>
    <cellStyle name="Normal 57 3 2 3 2 2 2" xfId="2448"/>
    <cellStyle name="Normal 57 3 2 3 2 2 2 2" xfId="16336"/>
    <cellStyle name="Normal 57 3 2 3 2 2 2 3" xfId="12758"/>
    <cellStyle name="Normal 57 3 2 3 2 2 2 4" xfId="7468"/>
    <cellStyle name="Normal 57 3 2 3 2 2 3" xfId="3715"/>
    <cellStyle name="Normal 57 3 2 3 2 2 3 2" xfId="17361"/>
    <cellStyle name="Normal 57 3 2 3 2 2 3 3" xfId="13782"/>
    <cellStyle name="Normal 57 3 2 3 2 2 3 4" xfId="8525"/>
    <cellStyle name="Normal 57 3 2 3 2 2 4" xfId="6584"/>
    <cellStyle name="Normal 57 3 2 3 2 2 4 2" xfId="15668"/>
    <cellStyle name="Normal 57 3 2 3 2 2 5" xfId="9979"/>
    <cellStyle name="Normal 57 3 2 3 2 2 5 2" xfId="18806"/>
    <cellStyle name="Normal 57 3 2 3 2 2 6" xfId="11424"/>
    <cellStyle name="Normal 57 3 2 3 2 2 7" xfId="5062"/>
    <cellStyle name="Normal 57 3 2 3 2 3" xfId="1076"/>
    <cellStyle name="Normal 57 3 2 3 2 3 2" xfId="2796"/>
    <cellStyle name="Normal 57 3 2 3 2 3 2 2" xfId="16799"/>
    <cellStyle name="Normal 57 3 2 3 2 3 2 3" xfId="13220"/>
    <cellStyle name="Normal 57 3 2 3 2 3 2 4" xfId="7931"/>
    <cellStyle name="Normal 57 3 2 3 2 3 3" xfId="4064"/>
    <cellStyle name="Normal 57 3 2 3 2 3 3 2" xfId="17709"/>
    <cellStyle name="Normal 57 3 2 3 2 3 3 3" xfId="14130"/>
    <cellStyle name="Normal 57 3 2 3 2 3 3 4" xfId="8873"/>
    <cellStyle name="Normal 57 3 2 3 2 3 4" xfId="6338"/>
    <cellStyle name="Normal 57 3 2 3 2 3 4 2" xfId="15422"/>
    <cellStyle name="Normal 57 3 2 3 2 3 5" xfId="10327"/>
    <cellStyle name="Normal 57 3 2 3 2 3 5 2" xfId="19154"/>
    <cellStyle name="Normal 57 3 2 3 2 3 6" xfId="11773"/>
    <cellStyle name="Normal 57 3 2 3 2 3 7" xfId="5525"/>
    <cellStyle name="Normal 57 3 2 3 2 4" xfId="1654"/>
    <cellStyle name="Normal 57 3 2 3 2 4 2" xfId="3250"/>
    <cellStyle name="Normal 57 3 2 3 2 4 2 2" xfId="18163"/>
    <cellStyle name="Normal 57 3 2 3 2 4 2 3" xfId="14584"/>
    <cellStyle name="Normal 57 3 2 3 2 4 2 4" xfId="9327"/>
    <cellStyle name="Normal 57 3 2 3 2 4 3" xfId="10781"/>
    <cellStyle name="Normal 57 3 2 3 2 4 3 2" xfId="19608"/>
    <cellStyle name="Normal 57 3 2 3 2 4 4" xfId="12227"/>
    <cellStyle name="Normal 57 3 2 3 2 4 5" xfId="7222"/>
    <cellStyle name="Normal 57 3 2 3 2 5" xfId="2207"/>
    <cellStyle name="Normal 57 3 2 3 2 5 2" xfId="17120"/>
    <cellStyle name="Normal 57 3 2 3 2 5 3" xfId="13541"/>
    <cellStyle name="Normal 57 3 2 3 2 5 4" xfId="8284"/>
    <cellStyle name="Normal 57 3 2 3 2 6" xfId="5845"/>
    <cellStyle name="Normal 57 3 2 3 2 6 2" xfId="14931"/>
    <cellStyle name="Normal 57 3 2 3 2 7" xfId="9738"/>
    <cellStyle name="Normal 57 3 2 3 2 7 2" xfId="18565"/>
    <cellStyle name="Normal 57 3 2 3 2 8" xfId="11182"/>
    <cellStyle name="Normal 57 3 2 3 2 9" xfId="4816"/>
    <cellStyle name="Normal 57 3 2 3 2_Degree data" xfId="1693"/>
    <cellStyle name="Normal 57 3 2 3 3" xfId="718"/>
    <cellStyle name="Normal 57 3 2 3 3 2" xfId="2447"/>
    <cellStyle name="Normal 57 3 2 3 3 2 2" xfId="16032"/>
    <cellStyle name="Normal 57 3 2 3 3 2 3" xfId="12396"/>
    <cellStyle name="Normal 57 3 2 3 3 2 4" xfId="7018"/>
    <cellStyle name="Normal 57 3 2 3 3 3" xfId="3714"/>
    <cellStyle name="Normal 57 3 2 3 3 3 2" xfId="17360"/>
    <cellStyle name="Normal 57 3 2 3 3 3 3" xfId="13781"/>
    <cellStyle name="Normal 57 3 2 3 3 3 4" xfId="8524"/>
    <cellStyle name="Normal 57 3 2 3 3 4" xfId="6134"/>
    <cellStyle name="Normal 57 3 2 3 3 4 2" xfId="15218"/>
    <cellStyle name="Normal 57 3 2 3 3 5" xfId="9978"/>
    <cellStyle name="Normal 57 3 2 3 3 5 2" xfId="18805"/>
    <cellStyle name="Normal 57 3 2 3 3 6" xfId="11423"/>
    <cellStyle name="Normal 57 3 2 3 3 7" xfId="4612"/>
    <cellStyle name="Normal 57 3 2 3 4" xfId="1075"/>
    <cellStyle name="Normal 57 3 2 3 4 2" xfId="2795"/>
    <cellStyle name="Normal 57 3 2 3 4 2 2" xfId="16335"/>
    <cellStyle name="Normal 57 3 2 3 4 2 3" xfId="12757"/>
    <cellStyle name="Normal 57 3 2 3 4 2 4" xfId="7467"/>
    <cellStyle name="Normal 57 3 2 3 4 3" xfId="4063"/>
    <cellStyle name="Normal 57 3 2 3 4 3 2" xfId="17708"/>
    <cellStyle name="Normal 57 3 2 3 4 3 3" xfId="14129"/>
    <cellStyle name="Normal 57 3 2 3 4 3 4" xfId="8872"/>
    <cellStyle name="Normal 57 3 2 3 4 4" xfId="6583"/>
    <cellStyle name="Normal 57 3 2 3 4 4 2" xfId="15667"/>
    <cellStyle name="Normal 57 3 2 3 4 5" xfId="10326"/>
    <cellStyle name="Normal 57 3 2 3 4 5 2" xfId="19153"/>
    <cellStyle name="Normal 57 3 2 3 4 6" xfId="11772"/>
    <cellStyle name="Normal 57 3 2 3 4 7" xfId="5061"/>
    <cellStyle name="Normal 57 3 2 3 5" xfId="1445"/>
    <cellStyle name="Normal 57 3 2 3 5 2" xfId="3046"/>
    <cellStyle name="Normal 57 3 2 3 5 2 2" xfId="16595"/>
    <cellStyle name="Normal 57 3 2 3 5 2 3" xfId="13016"/>
    <cellStyle name="Normal 57 3 2 3 5 2 4" xfId="7727"/>
    <cellStyle name="Normal 57 3 2 3 5 3" xfId="4254"/>
    <cellStyle name="Normal 57 3 2 3 5 3 2" xfId="17959"/>
    <cellStyle name="Normal 57 3 2 3 5 3 3" xfId="14380"/>
    <cellStyle name="Normal 57 3 2 3 5 3 4" xfId="9123"/>
    <cellStyle name="Normal 57 3 2 3 5 4" xfId="6019"/>
    <cellStyle name="Normal 57 3 2 3 5 4 2" xfId="15105"/>
    <cellStyle name="Normal 57 3 2 3 5 5" xfId="10577"/>
    <cellStyle name="Normal 57 3 2 3 5 5 2" xfId="19404"/>
    <cellStyle name="Normal 57 3 2 3 5 6" xfId="12023"/>
    <cellStyle name="Normal 57 3 2 3 5 7" xfId="5321"/>
    <cellStyle name="Normal 57 3 2 3 6" xfId="2003"/>
    <cellStyle name="Normal 57 3 2 3 6 2" xfId="15948"/>
    <cellStyle name="Normal 57 3 2 3 6 3" xfId="12484"/>
    <cellStyle name="Normal 57 3 2 3 6 4" xfId="6905"/>
    <cellStyle name="Normal 57 3 2 3 7" xfId="3416"/>
    <cellStyle name="Normal 57 3 2 3 7 2" xfId="16916"/>
    <cellStyle name="Normal 57 3 2 3 7 3" xfId="13337"/>
    <cellStyle name="Normal 57 3 2 3 7 4" xfId="8080"/>
    <cellStyle name="Normal 57 3 2 3 8" xfId="5641"/>
    <cellStyle name="Normal 57 3 2 3 8 2" xfId="14727"/>
    <cellStyle name="Normal 57 3 2 3 9" xfId="9534"/>
    <cellStyle name="Normal 57 3 2 3 9 2" xfId="18361"/>
    <cellStyle name="Normal 57 3 2 3_Degree data" xfId="1692"/>
    <cellStyle name="Normal 57 3 2 4" xfId="335"/>
    <cellStyle name="Normal 57 3 2 4 2" xfId="720"/>
    <cellStyle name="Normal 57 3 2 4 2 2" xfId="2449"/>
    <cellStyle name="Normal 57 3 2 4 2 2 2" xfId="16337"/>
    <cellStyle name="Normal 57 3 2 4 2 2 3" xfId="12759"/>
    <cellStyle name="Normal 57 3 2 4 2 2 4" xfId="7469"/>
    <cellStyle name="Normal 57 3 2 4 2 3" xfId="3716"/>
    <cellStyle name="Normal 57 3 2 4 2 3 2" xfId="17362"/>
    <cellStyle name="Normal 57 3 2 4 2 3 3" xfId="13783"/>
    <cellStyle name="Normal 57 3 2 4 2 3 4" xfId="8526"/>
    <cellStyle name="Normal 57 3 2 4 2 4" xfId="6585"/>
    <cellStyle name="Normal 57 3 2 4 2 4 2" xfId="15669"/>
    <cellStyle name="Normal 57 3 2 4 2 5" xfId="9980"/>
    <cellStyle name="Normal 57 3 2 4 2 5 2" xfId="18807"/>
    <cellStyle name="Normal 57 3 2 4 2 6" xfId="11425"/>
    <cellStyle name="Normal 57 3 2 4 2 7" xfId="5063"/>
    <cellStyle name="Normal 57 3 2 4 3" xfId="1077"/>
    <cellStyle name="Normal 57 3 2 4 3 2" xfId="2797"/>
    <cellStyle name="Normal 57 3 2 4 3 2 2" xfId="16695"/>
    <cellStyle name="Normal 57 3 2 4 3 2 3" xfId="13116"/>
    <cellStyle name="Normal 57 3 2 4 3 2 4" xfId="7827"/>
    <cellStyle name="Normal 57 3 2 4 3 3" xfId="4065"/>
    <cellStyle name="Normal 57 3 2 4 3 3 2" xfId="17710"/>
    <cellStyle name="Normal 57 3 2 4 3 3 3" xfId="14131"/>
    <cellStyle name="Normal 57 3 2 4 3 3 4" xfId="8874"/>
    <cellStyle name="Normal 57 3 2 4 3 4" xfId="6234"/>
    <cellStyle name="Normal 57 3 2 4 3 4 2" xfId="15318"/>
    <cellStyle name="Normal 57 3 2 4 3 5" xfId="10328"/>
    <cellStyle name="Normal 57 3 2 4 3 5 2" xfId="19155"/>
    <cellStyle name="Normal 57 3 2 4 3 6" xfId="11774"/>
    <cellStyle name="Normal 57 3 2 4 3 7" xfId="5421"/>
    <cellStyle name="Normal 57 3 2 4 4" xfId="1547"/>
    <cellStyle name="Normal 57 3 2 4 4 2" xfId="3146"/>
    <cellStyle name="Normal 57 3 2 4 4 2 2" xfId="18059"/>
    <cellStyle name="Normal 57 3 2 4 4 2 3" xfId="14480"/>
    <cellStyle name="Normal 57 3 2 4 4 2 4" xfId="9223"/>
    <cellStyle name="Normal 57 3 2 4 4 3" xfId="10677"/>
    <cellStyle name="Normal 57 3 2 4 4 3 2" xfId="19504"/>
    <cellStyle name="Normal 57 3 2 4 4 4" xfId="12123"/>
    <cellStyle name="Normal 57 3 2 4 4 5" xfId="7118"/>
    <cellStyle name="Normal 57 3 2 4 5" xfId="2103"/>
    <cellStyle name="Normal 57 3 2 4 5 2" xfId="17016"/>
    <cellStyle name="Normal 57 3 2 4 5 3" xfId="13437"/>
    <cellStyle name="Normal 57 3 2 4 5 4" xfId="8180"/>
    <cellStyle name="Normal 57 3 2 4 6" xfId="5741"/>
    <cellStyle name="Normal 57 3 2 4 6 2" xfId="14827"/>
    <cellStyle name="Normal 57 3 2 4 7" xfId="9634"/>
    <cellStyle name="Normal 57 3 2 4 7 2" xfId="18461"/>
    <cellStyle name="Normal 57 3 2 4 8" xfId="11078"/>
    <cellStyle name="Normal 57 3 2 4 9" xfId="4712"/>
    <cellStyle name="Normal 57 3 2 4_Degree data" xfId="1694"/>
    <cellStyle name="Normal 57 3 2 5" xfId="486"/>
    <cellStyle name="Normal 57 3 2 5 2" xfId="721"/>
    <cellStyle name="Normal 57 3 2 5 2 2" xfId="2450"/>
    <cellStyle name="Normal 57 3 2 5 2 2 2" xfId="16338"/>
    <cellStyle name="Normal 57 3 2 5 2 2 3" xfId="12760"/>
    <cellStyle name="Normal 57 3 2 5 2 2 4" xfId="7470"/>
    <cellStyle name="Normal 57 3 2 5 2 3" xfId="3717"/>
    <cellStyle name="Normal 57 3 2 5 2 3 2" xfId="17363"/>
    <cellStyle name="Normal 57 3 2 5 2 3 3" xfId="13784"/>
    <cellStyle name="Normal 57 3 2 5 2 3 4" xfId="8527"/>
    <cellStyle name="Normal 57 3 2 5 2 4" xfId="6586"/>
    <cellStyle name="Normal 57 3 2 5 2 4 2" xfId="15670"/>
    <cellStyle name="Normal 57 3 2 5 2 5" xfId="9981"/>
    <cellStyle name="Normal 57 3 2 5 2 5 2" xfId="18808"/>
    <cellStyle name="Normal 57 3 2 5 2 6" xfId="11426"/>
    <cellStyle name="Normal 57 3 2 5 2 7" xfId="5064"/>
    <cellStyle name="Normal 57 3 2 5 3" xfId="1078"/>
    <cellStyle name="Normal 57 3 2 5 3 2" xfId="2798"/>
    <cellStyle name="Normal 57 3 2 5 3 2 2" xfId="16538"/>
    <cellStyle name="Normal 57 3 2 5 3 2 3" xfId="12959"/>
    <cellStyle name="Normal 57 3 2 5 3 2 4" xfId="7670"/>
    <cellStyle name="Normal 57 3 2 5 3 3" xfId="4066"/>
    <cellStyle name="Normal 57 3 2 5 3 3 2" xfId="17711"/>
    <cellStyle name="Normal 57 3 2 5 3 3 3" xfId="14132"/>
    <cellStyle name="Normal 57 3 2 5 3 3 4" xfId="8875"/>
    <cellStyle name="Normal 57 3 2 5 3 4" xfId="6746"/>
    <cellStyle name="Normal 57 3 2 5 3 4 2" xfId="15829"/>
    <cellStyle name="Normal 57 3 2 5 3 5" xfId="10329"/>
    <cellStyle name="Normal 57 3 2 5 3 5 2" xfId="19156"/>
    <cellStyle name="Normal 57 3 2 5 3 6" xfId="11775"/>
    <cellStyle name="Normal 57 3 2 5 3 7" xfId="5264"/>
    <cellStyle name="Normal 57 3 2 5 4" xfId="1379"/>
    <cellStyle name="Normal 57 3 2 5 4 2" xfId="2989"/>
    <cellStyle name="Normal 57 3 2 5 4 2 2" xfId="17902"/>
    <cellStyle name="Normal 57 3 2 5 4 2 3" xfId="14323"/>
    <cellStyle name="Normal 57 3 2 5 4 2 4" xfId="9066"/>
    <cellStyle name="Normal 57 3 2 5 4 3" xfId="10520"/>
    <cellStyle name="Normal 57 3 2 5 4 3 2" xfId="19347"/>
    <cellStyle name="Normal 57 3 2 5 4 4" xfId="11966"/>
    <cellStyle name="Normal 57 3 2 5 4 5" xfId="6961"/>
    <cellStyle name="Normal 57 3 2 5 5" xfId="1946"/>
    <cellStyle name="Normal 57 3 2 5 5 2" xfId="16857"/>
    <cellStyle name="Normal 57 3 2 5 5 3" xfId="13278"/>
    <cellStyle name="Normal 57 3 2 5 5 4" xfId="8021"/>
    <cellStyle name="Normal 57 3 2 5 6" xfId="6077"/>
    <cellStyle name="Normal 57 3 2 5 6 2" xfId="15161"/>
    <cellStyle name="Normal 57 3 2 5 7" xfId="9477"/>
    <cellStyle name="Normal 57 3 2 5 7 2" xfId="18304"/>
    <cellStyle name="Normal 57 3 2 5 8" xfId="10921"/>
    <cellStyle name="Normal 57 3 2 5 9" xfId="4555"/>
    <cellStyle name="Normal 57 3 2 5_Degree data" xfId="1695"/>
    <cellStyle name="Normal 57 3 2 6" xfId="715"/>
    <cellStyle name="Normal 57 3 2 6 2" xfId="2444"/>
    <cellStyle name="Normal 57 3 2 6 2 2" xfId="16332"/>
    <cellStyle name="Normal 57 3 2 6 2 3" xfId="12754"/>
    <cellStyle name="Normal 57 3 2 6 2 4" xfId="7464"/>
    <cellStyle name="Normal 57 3 2 6 3" xfId="3711"/>
    <cellStyle name="Normal 57 3 2 6 3 2" xfId="17357"/>
    <cellStyle name="Normal 57 3 2 6 3 3" xfId="13778"/>
    <cellStyle name="Normal 57 3 2 6 3 4" xfId="8521"/>
    <cellStyle name="Normal 57 3 2 6 4" xfId="6580"/>
    <cellStyle name="Normal 57 3 2 6 4 2" xfId="15664"/>
    <cellStyle name="Normal 57 3 2 6 5" xfId="9975"/>
    <cellStyle name="Normal 57 3 2 6 5 2" xfId="18802"/>
    <cellStyle name="Normal 57 3 2 6 6" xfId="11420"/>
    <cellStyle name="Normal 57 3 2 6 7" xfId="5058"/>
    <cellStyle name="Normal 57 3 2 7" xfId="1072"/>
    <cellStyle name="Normal 57 3 2 7 2" xfId="2792"/>
    <cellStyle name="Normal 57 3 2 7 2 2" xfId="16493"/>
    <cellStyle name="Normal 57 3 2 7 2 3" xfId="12915"/>
    <cellStyle name="Normal 57 3 2 7 2 4" xfId="7625"/>
    <cellStyle name="Normal 57 3 2 7 3" xfId="4060"/>
    <cellStyle name="Normal 57 3 2 7 3 2" xfId="17705"/>
    <cellStyle name="Normal 57 3 2 7 3 3" xfId="14126"/>
    <cellStyle name="Normal 57 3 2 7 3 4" xfId="8869"/>
    <cellStyle name="Normal 57 3 2 7 4" xfId="5915"/>
    <cellStyle name="Normal 57 3 2 7 4 2" xfId="15001"/>
    <cellStyle name="Normal 57 3 2 7 5" xfId="10323"/>
    <cellStyle name="Normal 57 3 2 7 5 2" xfId="19150"/>
    <cellStyle name="Normal 57 3 2 7 6" xfId="11769"/>
    <cellStyle name="Normal 57 3 2 7 7" xfId="5219"/>
    <cellStyle name="Normal 57 3 2 8" xfId="1325"/>
    <cellStyle name="Normal 57 3 2 8 2" xfId="2944"/>
    <cellStyle name="Normal 57 3 2 8 2 2" xfId="17857"/>
    <cellStyle name="Normal 57 3 2 8 2 3" xfId="14278"/>
    <cellStyle name="Normal 57 3 2 8 2 4" xfId="9021"/>
    <cellStyle name="Normal 57 3 2 8 3" xfId="10475"/>
    <cellStyle name="Normal 57 3 2 8 3 2" xfId="19302"/>
    <cellStyle name="Normal 57 3 2 8 4" xfId="11921"/>
    <cellStyle name="Normal 57 3 2 8 5" xfId="6801"/>
    <cellStyle name="Normal 57 3 2 9" xfId="1901"/>
    <cellStyle name="Normal 57 3 2 9 2" xfId="9432"/>
    <cellStyle name="Normal 57 3 2 9 2 2" xfId="18259"/>
    <cellStyle name="Normal 57 3 2 9 3" xfId="10876"/>
    <cellStyle name="Normal 57 3 2 9 4" xfId="7976"/>
    <cellStyle name="Normal 57 3 2_Degree data" xfId="1689"/>
    <cellStyle name="Normal 57 3 3" xfId="146"/>
    <cellStyle name="Normal 57 3 3 10" xfId="5570"/>
    <cellStyle name="Normal 57 3 3 10 2" xfId="14656"/>
    <cellStyle name="Normal 57 3 3 11" xfId="9390"/>
    <cellStyle name="Normal 57 3 3 11 2" xfId="18217"/>
    <cellStyle name="Normal 57 3 3 12" xfId="10830"/>
    <cellStyle name="Normal 57 3 3 13" xfId="4383"/>
    <cellStyle name="Normal 57 3 3 2" xfId="258"/>
    <cellStyle name="Normal 57 3 3 2 10" xfId="11009"/>
    <cellStyle name="Normal 57 3 3 2 11" xfId="4426"/>
    <cellStyle name="Normal 57 3 3 2 2" xfId="366"/>
    <cellStyle name="Normal 57 3 3 2 2 2" xfId="724"/>
    <cellStyle name="Normal 57 3 3 2 2 2 2" xfId="2453"/>
    <cellStyle name="Normal 57 3 3 2 2 2 2 2" xfId="16341"/>
    <cellStyle name="Normal 57 3 3 2 2 2 2 3" xfId="12763"/>
    <cellStyle name="Normal 57 3 3 2 2 2 2 4" xfId="7473"/>
    <cellStyle name="Normal 57 3 3 2 2 2 3" xfId="3720"/>
    <cellStyle name="Normal 57 3 3 2 2 2 3 2" xfId="17366"/>
    <cellStyle name="Normal 57 3 3 2 2 2 3 3" xfId="13787"/>
    <cellStyle name="Normal 57 3 3 2 2 2 3 4" xfId="8530"/>
    <cellStyle name="Normal 57 3 3 2 2 2 4" xfId="6589"/>
    <cellStyle name="Normal 57 3 3 2 2 2 4 2" xfId="15673"/>
    <cellStyle name="Normal 57 3 3 2 2 2 5" xfId="9984"/>
    <cellStyle name="Normal 57 3 3 2 2 2 5 2" xfId="18811"/>
    <cellStyle name="Normal 57 3 3 2 2 2 6" xfId="11429"/>
    <cellStyle name="Normal 57 3 3 2 2 2 7" xfId="5067"/>
    <cellStyle name="Normal 57 3 3 2 2 3" xfId="1081"/>
    <cellStyle name="Normal 57 3 3 2 2 3 2" xfId="2801"/>
    <cellStyle name="Normal 57 3 3 2 2 3 2 2" xfId="16726"/>
    <cellStyle name="Normal 57 3 3 2 2 3 2 3" xfId="13147"/>
    <cellStyle name="Normal 57 3 3 2 2 3 2 4" xfId="7858"/>
    <cellStyle name="Normal 57 3 3 2 2 3 3" xfId="4069"/>
    <cellStyle name="Normal 57 3 3 2 2 3 3 2" xfId="17714"/>
    <cellStyle name="Normal 57 3 3 2 2 3 3 3" xfId="14135"/>
    <cellStyle name="Normal 57 3 3 2 2 3 3 4" xfId="8878"/>
    <cellStyle name="Normal 57 3 3 2 2 3 4" xfId="6265"/>
    <cellStyle name="Normal 57 3 3 2 2 3 4 2" xfId="15349"/>
    <cellStyle name="Normal 57 3 3 2 2 3 5" xfId="10332"/>
    <cellStyle name="Normal 57 3 3 2 2 3 5 2" xfId="19159"/>
    <cellStyle name="Normal 57 3 3 2 2 3 6" xfId="11778"/>
    <cellStyle name="Normal 57 3 3 2 2 3 7" xfId="5452"/>
    <cellStyle name="Normal 57 3 3 2 2 4" xfId="1579"/>
    <cellStyle name="Normal 57 3 3 2 2 4 2" xfId="3177"/>
    <cellStyle name="Normal 57 3 3 2 2 4 2 2" xfId="18090"/>
    <cellStyle name="Normal 57 3 3 2 2 4 2 3" xfId="14511"/>
    <cellStyle name="Normal 57 3 3 2 2 4 2 4" xfId="9254"/>
    <cellStyle name="Normal 57 3 3 2 2 4 3" xfId="10708"/>
    <cellStyle name="Normal 57 3 3 2 2 4 3 2" xfId="19535"/>
    <cellStyle name="Normal 57 3 3 2 2 4 4" xfId="12154"/>
    <cellStyle name="Normal 57 3 3 2 2 4 5" xfId="7149"/>
    <cellStyle name="Normal 57 3 3 2 2 5" xfId="2134"/>
    <cellStyle name="Normal 57 3 3 2 2 5 2" xfId="17047"/>
    <cellStyle name="Normal 57 3 3 2 2 5 3" xfId="13468"/>
    <cellStyle name="Normal 57 3 3 2 2 5 4" xfId="8211"/>
    <cellStyle name="Normal 57 3 3 2 2 6" xfId="5772"/>
    <cellStyle name="Normal 57 3 3 2 2 6 2" xfId="14858"/>
    <cellStyle name="Normal 57 3 3 2 2 7" xfId="9665"/>
    <cellStyle name="Normal 57 3 3 2 2 7 2" xfId="18492"/>
    <cellStyle name="Normal 57 3 3 2 2 8" xfId="11109"/>
    <cellStyle name="Normal 57 3 3 2 2 9" xfId="4743"/>
    <cellStyle name="Normal 57 3 3 2 2_Degree data" xfId="1698"/>
    <cellStyle name="Normal 57 3 3 2 3" xfId="723"/>
    <cellStyle name="Normal 57 3 3 2 3 2" xfId="2452"/>
    <cellStyle name="Normal 57 3 3 2 3 2 2" xfId="16063"/>
    <cellStyle name="Normal 57 3 3 2 3 2 3" xfId="12386"/>
    <cellStyle name="Normal 57 3 3 2 3 2 4" xfId="7049"/>
    <cellStyle name="Normal 57 3 3 2 3 3" xfId="3719"/>
    <cellStyle name="Normal 57 3 3 2 3 3 2" xfId="17365"/>
    <cellStyle name="Normal 57 3 3 2 3 3 3" xfId="13786"/>
    <cellStyle name="Normal 57 3 3 2 3 3 4" xfId="8529"/>
    <cellStyle name="Normal 57 3 3 2 3 4" xfId="6165"/>
    <cellStyle name="Normal 57 3 3 2 3 4 2" xfId="15249"/>
    <cellStyle name="Normal 57 3 3 2 3 5" xfId="9983"/>
    <cellStyle name="Normal 57 3 3 2 3 5 2" xfId="18810"/>
    <cellStyle name="Normal 57 3 3 2 3 6" xfId="11428"/>
    <cellStyle name="Normal 57 3 3 2 3 7" xfId="4643"/>
    <cellStyle name="Normal 57 3 3 2 4" xfId="1080"/>
    <cellStyle name="Normal 57 3 3 2 4 2" xfId="2800"/>
    <cellStyle name="Normal 57 3 3 2 4 2 2" xfId="16340"/>
    <cellStyle name="Normal 57 3 3 2 4 2 3" xfId="12762"/>
    <cellStyle name="Normal 57 3 3 2 4 2 4" xfId="7472"/>
    <cellStyle name="Normal 57 3 3 2 4 3" xfId="4068"/>
    <cellStyle name="Normal 57 3 3 2 4 3 2" xfId="17713"/>
    <cellStyle name="Normal 57 3 3 2 4 3 3" xfId="14134"/>
    <cellStyle name="Normal 57 3 3 2 4 3 4" xfId="8877"/>
    <cellStyle name="Normal 57 3 3 2 4 4" xfId="6588"/>
    <cellStyle name="Normal 57 3 3 2 4 4 2" xfId="15672"/>
    <cellStyle name="Normal 57 3 3 2 4 5" xfId="10331"/>
    <cellStyle name="Normal 57 3 3 2 4 5 2" xfId="19158"/>
    <cellStyle name="Normal 57 3 3 2 4 6" xfId="11777"/>
    <cellStyle name="Normal 57 3 3 2 4 7" xfId="5066"/>
    <cellStyle name="Normal 57 3 3 2 5" xfId="1477"/>
    <cellStyle name="Normal 57 3 3 2 5 2" xfId="3077"/>
    <cellStyle name="Normal 57 3 3 2 5 2 2" xfId="16626"/>
    <cellStyle name="Normal 57 3 3 2 5 2 3" xfId="13047"/>
    <cellStyle name="Normal 57 3 3 2 5 2 4" xfId="7758"/>
    <cellStyle name="Normal 57 3 3 2 5 3" xfId="4285"/>
    <cellStyle name="Normal 57 3 3 2 5 3 2" xfId="17990"/>
    <cellStyle name="Normal 57 3 3 2 5 3 3" xfId="14411"/>
    <cellStyle name="Normal 57 3 3 2 5 3 4" xfId="9154"/>
    <cellStyle name="Normal 57 3 3 2 5 4" xfId="5946"/>
    <cellStyle name="Normal 57 3 3 2 5 4 2" xfId="15032"/>
    <cellStyle name="Normal 57 3 3 2 5 5" xfId="10608"/>
    <cellStyle name="Normal 57 3 3 2 5 5 2" xfId="19435"/>
    <cellStyle name="Normal 57 3 3 2 5 6" xfId="12054"/>
    <cellStyle name="Normal 57 3 3 2 5 7" xfId="5352"/>
    <cellStyle name="Normal 57 3 3 2 6" xfId="2034"/>
    <cellStyle name="Normal 57 3 3 2 6 2" xfId="15875"/>
    <cellStyle name="Normal 57 3 3 2 6 3" xfId="12474"/>
    <cellStyle name="Normal 57 3 3 2 6 4" xfId="6832"/>
    <cellStyle name="Normal 57 3 3 2 7" xfId="3447"/>
    <cellStyle name="Normal 57 3 3 2 7 2" xfId="16947"/>
    <cellStyle name="Normal 57 3 3 2 7 3" xfId="13368"/>
    <cellStyle name="Normal 57 3 3 2 7 4" xfId="8111"/>
    <cellStyle name="Normal 57 3 3 2 8" xfId="5672"/>
    <cellStyle name="Normal 57 3 3 2 8 2" xfId="14758"/>
    <cellStyle name="Normal 57 3 3 2 9" xfId="9565"/>
    <cellStyle name="Normal 57 3 3 2 9 2" xfId="18392"/>
    <cellStyle name="Normal 57 3 3 2_Degree data" xfId="1697"/>
    <cellStyle name="Normal 57 3 3 3" xfId="215"/>
    <cellStyle name="Normal 57 3 3 3 10" xfId="10966"/>
    <cellStyle name="Normal 57 3 3 3 11" xfId="4488"/>
    <cellStyle name="Normal 57 3 3 3 2" xfId="429"/>
    <cellStyle name="Normal 57 3 3 3 2 2" xfId="726"/>
    <cellStyle name="Normal 57 3 3 3 2 2 2" xfId="2455"/>
    <cellStyle name="Normal 57 3 3 3 2 2 2 2" xfId="16343"/>
    <cellStyle name="Normal 57 3 3 3 2 2 2 3" xfId="12765"/>
    <cellStyle name="Normal 57 3 3 3 2 2 2 4" xfId="7475"/>
    <cellStyle name="Normal 57 3 3 3 2 2 3" xfId="3722"/>
    <cellStyle name="Normal 57 3 3 3 2 2 3 2" xfId="17368"/>
    <cellStyle name="Normal 57 3 3 3 2 2 3 3" xfId="13789"/>
    <cellStyle name="Normal 57 3 3 3 2 2 3 4" xfId="8532"/>
    <cellStyle name="Normal 57 3 3 3 2 2 4" xfId="6591"/>
    <cellStyle name="Normal 57 3 3 3 2 2 4 2" xfId="15675"/>
    <cellStyle name="Normal 57 3 3 3 2 2 5" xfId="9986"/>
    <cellStyle name="Normal 57 3 3 3 2 2 5 2" xfId="18813"/>
    <cellStyle name="Normal 57 3 3 3 2 2 6" xfId="11431"/>
    <cellStyle name="Normal 57 3 3 3 2 2 7" xfId="5069"/>
    <cellStyle name="Normal 57 3 3 3 2 3" xfId="1083"/>
    <cellStyle name="Normal 57 3 3 3 2 3 2" xfId="2803"/>
    <cellStyle name="Normal 57 3 3 3 2 3 2 2" xfId="16788"/>
    <cellStyle name="Normal 57 3 3 3 2 3 2 3" xfId="13209"/>
    <cellStyle name="Normal 57 3 3 3 2 3 2 4" xfId="7920"/>
    <cellStyle name="Normal 57 3 3 3 2 3 3" xfId="4071"/>
    <cellStyle name="Normal 57 3 3 3 2 3 3 2" xfId="17716"/>
    <cellStyle name="Normal 57 3 3 3 2 3 3 3" xfId="14137"/>
    <cellStyle name="Normal 57 3 3 3 2 3 3 4" xfId="8880"/>
    <cellStyle name="Normal 57 3 3 3 2 3 4" xfId="6327"/>
    <cellStyle name="Normal 57 3 3 3 2 3 4 2" xfId="15411"/>
    <cellStyle name="Normal 57 3 3 3 2 3 5" xfId="10334"/>
    <cellStyle name="Normal 57 3 3 3 2 3 5 2" xfId="19161"/>
    <cellStyle name="Normal 57 3 3 3 2 3 6" xfId="11780"/>
    <cellStyle name="Normal 57 3 3 3 2 3 7" xfId="5514"/>
    <cellStyle name="Normal 57 3 3 3 2 4" xfId="1643"/>
    <cellStyle name="Normal 57 3 3 3 2 4 2" xfId="3239"/>
    <cellStyle name="Normal 57 3 3 3 2 4 2 2" xfId="18152"/>
    <cellStyle name="Normal 57 3 3 3 2 4 2 3" xfId="14573"/>
    <cellStyle name="Normal 57 3 3 3 2 4 2 4" xfId="9316"/>
    <cellStyle name="Normal 57 3 3 3 2 4 3" xfId="10770"/>
    <cellStyle name="Normal 57 3 3 3 2 4 3 2" xfId="19597"/>
    <cellStyle name="Normal 57 3 3 3 2 4 4" xfId="12216"/>
    <cellStyle name="Normal 57 3 3 3 2 4 5" xfId="7211"/>
    <cellStyle name="Normal 57 3 3 3 2 5" xfId="2196"/>
    <cellStyle name="Normal 57 3 3 3 2 5 2" xfId="17109"/>
    <cellStyle name="Normal 57 3 3 3 2 5 3" xfId="13530"/>
    <cellStyle name="Normal 57 3 3 3 2 5 4" xfId="8273"/>
    <cellStyle name="Normal 57 3 3 3 2 6" xfId="5834"/>
    <cellStyle name="Normal 57 3 3 3 2 6 2" xfId="14920"/>
    <cellStyle name="Normal 57 3 3 3 2 7" xfId="9727"/>
    <cellStyle name="Normal 57 3 3 3 2 7 2" xfId="18554"/>
    <cellStyle name="Normal 57 3 3 3 2 8" xfId="11171"/>
    <cellStyle name="Normal 57 3 3 3 2 9" xfId="4805"/>
    <cellStyle name="Normal 57 3 3 3 2_Degree data" xfId="1700"/>
    <cellStyle name="Normal 57 3 3 3 3" xfId="725"/>
    <cellStyle name="Normal 57 3 3 3 3 2" xfId="2454"/>
    <cellStyle name="Normal 57 3 3 3 3 2 2" xfId="16020"/>
    <cellStyle name="Normal 57 3 3 3 3 2 3" xfId="12467"/>
    <cellStyle name="Normal 57 3 3 3 3 2 4" xfId="7006"/>
    <cellStyle name="Normal 57 3 3 3 3 3" xfId="3721"/>
    <cellStyle name="Normal 57 3 3 3 3 3 2" xfId="17367"/>
    <cellStyle name="Normal 57 3 3 3 3 3 3" xfId="13788"/>
    <cellStyle name="Normal 57 3 3 3 3 3 4" xfId="8531"/>
    <cellStyle name="Normal 57 3 3 3 3 4" xfId="6122"/>
    <cellStyle name="Normal 57 3 3 3 3 4 2" xfId="15206"/>
    <cellStyle name="Normal 57 3 3 3 3 5" xfId="9985"/>
    <cellStyle name="Normal 57 3 3 3 3 5 2" xfId="18812"/>
    <cellStyle name="Normal 57 3 3 3 3 6" xfId="11430"/>
    <cellStyle name="Normal 57 3 3 3 3 7" xfId="4600"/>
    <cellStyle name="Normal 57 3 3 3 4" xfId="1082"/>
    <cellStyle name="Normal 57 3 3 3 4 2" xfId="2802"/>
    <cellStyle name="Normal 57 3 3 3 4 2 2" xfId="16342"/>
    <cellStyle name="Normal 57 3 3 3 4 2 3" xfId="12764"/>
    <cellStyle name="Normal 57 3 3 3 4 2 4" xfId="7474"/>
    <cellStyle name="Normal 57 3 3 3 4 3" xfId="4070"/>
    <cellStyle name="Normal 57 3 3 3 4 3 2" xfId="17715"/>
    <cellStyle name="Normal 57 3 3 3 4 3 3" xfId="14136"/>
    <cellStyle name="Normal 57 3 3 3 4 3 4" xfId="8879"/>
    <cellStyle name="Normal 57 3 3 3 4 4" xfId="6590"/>
    <cellStyle name="Normal 57 3 3 3 4 4 2" xfId="15674"/>
    <cellStyle name="Normal 57 3 3 3 4 5" xfId="10333"/>
    <cellStyle name="Normal 57 3 3 3 4 5 2" xfId="19160"/>
    <cellStyle name="Normal 57 3 3 3 4 6" xfId="11779"/>
    <cellStyle name="Normal 57 3 3 3 4 7" xfId="5068"/>
    <cellStyle name="Normal 57 3 3 3 5" xfId="1432"/>
    <cellStyle name="Normal 57 3 3 3 5 2" xfId="3034"/>
    <cellStyle name="Normal 57 3 3 3 5 2 2" xfId="16583"/>
    <cellStyle name="Normal 57 3 3 3 5 2 3" xfId="13004"/>
    <cellStyle name="Normal 57 3 3 3 5 2 4" xfId="7715"/>
    <cellStyle name="Normal 57 3 3 3 5 3" xfId="4242"/>
    <cellStyle name="Normal 57 3 3 3 5 3 2" xfId="17947"/>
    <cellStyle name="Normal 57 3 3 3 5 3 3" xfId="14368"/>
    <cellStyle name="Normal 57 3 3 3 5 3 4" xfId="9111"/>
    <cellStyle name="Normal 57 3 3 3 5 4" xfId="6008"/>
    <cellStyle name="Normal 57 3 3 3 5 4 2" xfId="15094"/>
    <cellStyle name="Normal 57 3 3 3 5 5" xfId="10565"/>
    <cellStyle name="Normal 57 3 3 3 5 5 2" xfId="19392"/>
    <cellStyle name="Normal 57 3 3 3 5 6" xfId="12011"/>
    <cellStyle name="Normal 57 3 3 3 5 7" xfId="5309"/>
    <cellStyle name="Normal 57 3 3 3 6" xfId="1991"/>
    <cellStyle name="Normal 57 3 3 3 6 2" xfId="15937"/>
    <cellStyle name="Normal 57 3 3 3 6 3" xfId="12472"/>
    <cellStyle name="Normal 57 3 3 3 6 4" xfId="6894"/>
    <cellStyle name="Normal 57 3 3 3 7" xfId="3405"/>
    <cellStyle name="Normal 57 3 3 3 7 2" xfId="16904"/>
    <cellStyle name="Normal 57 3 3 3 7 3" xfId="13325"/>
    <cellStyle name="Normal 57 3 3 3 7 4" xfId="8068"/>
    <cellStyle name="Normal 57 3 3 3 8" xfId="5629"/>
    <cellStyle name="Normal 57 3 3 3 8 2" xfId="14715"/>
    <cellStyle name="Normal 57 3 3 3 9" xfId="9522"/>
    <cellStyle name="Normal 57 3 3 3 9 2" xfId="18349"/>
    <cellStyle name="Normal 57 3 3 3_Degree data" xfId="1699"/>
    <cellStyle name="Normal 57 3 3 4" xfId="323"/>
    <cellStyle name="Normal 57 3 3 4 2" xfId="727"/>
    <cellStyle name="Normal 57 3 3 4 2 2" xfId="2456"/>
    <cellStyle name="Normal 57 3 3 4 2 2 2" xfId="16344"/>
    <cellStyle name="Normal 57 3 3 4 2 2 3" xfId="12766"/>
    <cellStyle name="Normal 57 3 3 4 2 2 4" xfId="7476"/>
    <cellStyle name="Normal 57 3 3 4 2 3" xfId="3723"/>
    <cellStyle name="Normal 57 3 3 4 2 3 2" xfId="17369"/>
    <cellStyle name="Normal 57 3 3 4 2 3 3" xfId="13790"/>
    <cellStyle name="Normal 57 3 3 4 2 3 4" xfId="8533"/>
    <cellStyle name="Normal 57 3 3 4 2 4" xfId="6592"/>
    <cellStyle name="Normal 57 3 3 4 2 4 2" xfId="15676"/>
    <cellStyle name="Normal 57 3 3 4 2 5" xfId="9987"/>
    <cellStyle name="Normal 57 3 3 4 2 5 2" xfId="18814"/>
    <cellStyle name="Normal 57 3 3 4 2 6" xfId="11432"/>
    <cellStyle name="Normal 57 3 3 4 2 7" xfId="5070"/>
    <cellStyle name="Normal 57 3 3 4 3" xfId="1084"/>
    <cellStyle name="Normal 57 3 3 4 3 2" xfId="2804"/>
    <cellStyle name="Normal 57 3 3 4 3 2 2" xfId="16683"/>
    <cellStyle name="Normal 57 3 3 4 3 2 3" xfId="13104"/>
    <cellStyle name="Normal 57 3 3 4 3 2 4" xfId="7815"/>
    <cellStyle name="Normal 57 3 3 4 3 3" xfId="4072"/>
    <cellStyle name="Normal 57 3 3 4 3 3 2" xfId="17717"/>
    <cellStyle name="Normal 57 3 3 4 3 3 3" xfId="14138"/>
    <cellStyle name="Normal 57 3 3 4 3 3 4" xfId="8881"/>
    <cellStyle name="Normal 57 3 3 4 3 4" xfId="6222"/>
    <cellStyle name="Normal 57 3 3 4 3 4 2" xfId="15306"/>
    <cellStyle name="Normal 57 3 3 4 3 5" xfId="10335"/>
    <cellStyle name="Normal 57 3 3 4 3 5 2" xfId="19162"/>
    <cellStyle name="Normal 57 3 3 4 3 6" xfId="11781"/>
    <cellStyle name="Normal 57 3 3 4 3 7" xfId="5409"/>
    <cellStyle name="Normal 57 3 3 4 4" xfId="1535"/>
    <cellStyle name="Normal 57 3 3 4 4 2" xfId="3134"/>
    <cellStyle name="Normal 57 3 3 4 4 2 2" xfId="18047"/>
    <cellStyle name="Normal 57 3 3 4 4 2 3" xfId="14468"/>
    <cellStyle name="Normal 57 3 3 4 4 2 4" xfId="9211"/>
    <cellStyle name="Normal 57 3 3 4 4 3" xfId="10665"/>
    <cellStyle name="Normal 57 3 3 4 4 3 2" xfId="19492"/>
    <cellStyle name="Normal 57 3 3 4 4 4" xfId="12111"/>
    <cellStyle name="Normal 57 3 3 4 4 5" xfId="7106"/>
    <cellStyle name="Normal 57 3 3 4 5" xfId="2091"/>
    <cellStyle name="Normal 57 3 3 4 5 2" xfId="17004"/>
    <cellStyle name="Normal 57 3 3 4 5 3" xfId="13425"/>
    <cellStyle name="Normal 57 3 3 4 5 4" xfId="8168"/>
    <cellStyle name="Normal 57 3 3 4 6" xfId="5729"/>
    <cellStyle name="Normal 57 3 3 4 6 2" xfId="14815"/>
    <cellStyle name="Normal 57 3 3 4 7" xfId="9622"/>
    <cellStyle name="Normal 57 3 3 4 7 2" xfId="18449"/>
    <cellStyle name="Normal 57 3 3 4 8" xfId="11066"/>
    <cellStyle name="Normal 57 3 3 4 9" xfId="4700"/>
    <cellStyle name="Normal 57 3 3 4_Degree data" xfId="1701"/>
    <cellStyle name="Normal 57 3 3 5" xfId="722"/>
    <cellStyle name="Normal 57 3 3 5 2" xfId="2451"/>
    <cellStyle name="Normal 57 3 3 5 2 2" xfId="15977"/>
    <cellStyle name="Normal 57 3 3 5 2 3" xfId="12346"/>
    <cellStyle name="Normal 57 3 3 5 2 4" xfId="6947"/>
    <cellStyle name="Normal 57 3 3 5 3" xfId="3718"/>
    <cellStyle name="Normal 57 3 3 5 3 2" xfId="17364"/>
    <cellStyle name="Normal 57 3 3 5 3 3" xfId="13785"/>
    <cellStyle name="Normal 57 3 3 5 3 4" xfId="8528"/>
    <cellStyle name="Normal 57 3 3 5 4" xfId="6063"/>
    <cellStyle name="Normal 57 3 3 5 4 2" xfId="15147"/>
    <cellStyle name="Normal 57 3 3 5 5" xfId="9982"/>
    <cellStyle name="Normal 57 3 3 5 5 2" xfId="18809"/>
    <cellStyle name="Normal 57 3 3 5 6" xfId="11427"/>
    <cellStyle name="Normal 57 3 3 5 7" xfId="4541"/>
    <cellStyle name="Normal 57 3 3 6" xfId="1079"/>
    <cellStyle name="Normal 57 3 3 6 2" xfId="2799"/>
    <cellStyle name="Normal 57 3 3 6 2 2" xfId="16339"/>
    <cellStyle name="Normal 57 3 3 6 2 3" xfId="12761"/>
    <cellStyle name="Normal 57 3 3 6 2 4" xfId="7471"/>
    <cellStyle name="Normal 57 3 3 6 3" xfId="4067"/>
    <cellStyle name="Normal 57 3 3 6 3 2" xfId="17712"/>
    <cellStyle name="Normal 57 3 3 6 3 3" xfId="14133"/>
    <cellStyle name="Normal 57 3 3 6 3 4" xfId="8876"/>
    <cellStyle name="Normal 57 3 3 6 4" xfId="6587"/>
    <cellStyle name="Normal 57 3 3 6 4 2" xfId="15671"/>
    <cellStyle name="Normal 57 3 3 6 5" xfId="10330"/>
    <cellStyle name="Normal 57 3 3 6 5 2" xfId="19157"/>
    <cellStyle name="Normal 57 3 3 6 6" xfId="11776"/>
    <cellStyle name="Normal 57 3 3 6 7" xfId="5065"/>
    <cellStyle name="Normal 57 3 3 7" xfId="1364"/>
    <cellStyle name="Normal 57 3 3 7 2" xfId="2975"/>
    <cellStyle name="Normal 57 3 3 7 2 2" xfId="16524"/>
    <cellStyle name="Normal 57 3 3 7 2 3" xfId="12946"/>
    <cellStyle name="Normal 57 3 3 7 2 4" xfId="7656"/>
    <cellStyle name="Normal 57 3 3 7 3" xfId="4200"/>
    <cellStyle name="Normal 57 3 3 7 3 2" xfId="17888"/>
    <cellStyle name="Normal 57 3 3 7 3 3" xfId="14309"/>
    <cellStyle name="Normal 57 3 3 7 3 4" xfId="9052"/>
    <cellStyle name="Normal 57 3 3 7 4" xfId="5902"/>
    <cellStyle name="Normal 57 3 3 7 4 2" xfId="14988"/>
    <cellStyle name="Normal 57 3 3 7 5" xfId="10506"/>
    <cellStyle name="Normal 57 3 3 7 5 2" xfId="19333"/>
    <cellStyle name="Normal 57 3 3 7 6" xfId="11952"/>
    <cellStyle name="Normal 57 3 3 7 7" xfId="5250"/>
    <cellStyle name="Normal 57 3 3 8" xfId="1932"/>
    <cellStyle name="Normal 57 3 3 8 2" xfId="9463"/>
    <cellStyle name="Normal 57 3 3 8 2 2" xfId="18290"/>
    <cellStyle name="Normal 57 3 3 8 3" xfId="10907"/>
    <cellStyle name="Normal 57 3 3 8 4" xfId="6789"/>
    <cellStyle name="Normal 57 3 3 9" xfId="1856"/>
    <cellStyle name="Normal 57 3 3 9 2" xfId="16843"/>
    <cellStyle name="Normal 57 3 3 9 3" xfId="13264"/>
    <cellStyle name="Normal 57 3 3 9 4" xfId="8007"/>
    <cellStyle name="Normal 57 3 3_Degree data" xfId="1696"/>
    <cellStyle name="Normal 57 3 4" xfId="252"/>
    <cellStyle name="Normal 57 3 4 10" xfId="11003"/>
    <cellStyle name="Normal 57 3 4 11" xfId="4420"/>
    <cellStyle name="Normal 57 3 4 2" xfId="360"/>
    <cellStyle name="Normal 57 3 4 2 2" xfId="729"/>
    <cellStyle name="Normal 57 3 4 2 2 2" xfId="2458"/>
    <cellStyle name="Normal 57 3 4 2 2 2 2" xfId="16346"/>
    <cellStyle name="Normal 57 3 4 2 2 2 3" xfId="12768"/>
    <cellStyle name="Normal 57 3 4 2 2 2 4" xfId="7478"/>
    <cellStyle name="Normal 57 3 4 2 2 3" xfId="3725"/>
    <cellStyle name="Normal 57 3 4 2 2 3 2" xfId="17371"/>
    <cellStyle name="Normal 57 3 4 2 2 3 3" xfId="13792"/>
    <cellStyle name="Normal 57 3 4 2 2 3 4" xfId="8535"/>
    <cellStyle name="Normal 57 3 4 2 2 4" xfId="6594"/>
    <cellStyle name="Normal 57 3 4 2 2 4 2" xfId="15678"/>
    <cellStyle name="Normal 57 3 4 2 2 5" xfId="9989"/>
    <cellStyle name="Normal 57 3 4 2 2 5 2" xfId="18816"/>
    <cellStyle name="Normal 57 3 4 2 2 6" xfId="11434"/>
    <cellStyle name="Normal 57 3 4 2 2 7" xfId="5072"/>
    <cellStyle name="Normal 57 3 4 2 3" xfId="1086"/>
    <cellStyle name="Normal 57 3 4 2 3 2" xfId="2806"/>
    <cellStyle name="Normal 57 3 4 2 3 2 2" xfId="16720"/>
    <cellStyle name="Normal 57 3 4 2 3 2 3" xfId="13141"/>
    <cellStyle name="Normal 57 3 4 2 3 2 4" xfId="7852"/>
    <cellStyle name="Normal 57 3 4 2 3 3" xfId="4074"/>
    <cellStyle name="Normal 57 3 4 2 3 3 2" xfId="17719"/>
    <cellStyle name="Normal 57 3 4 2 3 3 3" xfId="14140"/>
    <cellStyle name="Normal 57 3 4 2 3 3 4" xfId="8883"/>
    <cellStyle name="Normal 57 3 4 2 3 4" xfId="6259"/>
    <cellStyle name="Normal 57 3 4 2 3 4 2" xfId="15343"/>
    <cellStyle name="Normal 57 3 4 2 3 5" xfId="10337"/>
    <cellStyle name="Normal 57 3 4 2 3 5 2" xfId="19164"/>
    <cellStyle name="Normal 57 3 4 2 3 6" xfId="11783"/>
    <cellStyle name="Normal 57 3 4 2 3 7" xfId="5446"/>
    <cellStyle name="Normal 57 3 4 2 4" xfId="1573"/>
    <cellStyle name="Normal 57 3 4 2 4 2" xfId="3171"/>
    <cellStyle name="Normal 57 3 4 2 4 2 2" xfId="18084"/>
    <cellStyle name="Normal 57 3 4 2 4 2 3" xfId="14505"/>
    <cellStyle name="Normal 57 3 4 2 4 2 4" xfId="9248"/>
    <cellStyle name="Normal 57 3 4 2 4 3" xfId="10702"/>
    <cellStyle name="Normal 57 3 4 2 4 3 2" xfId="19529"/>
    <cellStyle name="Normal 57 3 4 2 4 4" xfId="12148"/>
    <cellStyle name="Normal 57 3 4 2 4 5" xfId="7143"/>
    <cellStyle name="Normal 57 3 4 2 5" xfId="2128"/>
    <cellStyle name="Normal 57 3 4 2 5 2" xfId="17041"/>
    <cellStyle name="Normal 57 3 4 2 5 3" xfId="13462"/>
    <cellStyle name="Normal 57 3 4 2 5 4" xfId="8205"/>
    <cellStyle name="Normal 57 3 4 2 6" xfId="5766"/>
    <cellStyle name="Normal 57 3 4 2 6 2" xfId="14852"/>
    <cellStyle name="Normal 57 3 4 2 7" xfId="9659"/>
    <cellStyle name="Normal 57 3 4 2 7 2" xfId="18486"/>
    <cellStyle name="Normal 57 3 4 2 8" xfId="11103"/>
    <cellStyle name="Normal 57 3 4 2 9" xfId="4737"/>
    <cellStyle name="Normal 57 3 4 2_Degree data" xfId="1703"/>
    <cellStyle name="Normal 57 3 4 3" xfId="728"/>
    <cellStyle name="Normal 57 3 4 3 2" xfId="2457"/>
    <cellStyle name="Normal 57 3 4 3 2 2" xfId="16057"/>
    <cellStyle name="Normal 57 3 4 3 2 3" xfId="12286"/>
    <cellStyle name="Normal 57 3 4 3 2 4" xfId="7043"/>
    <cellStyle name="Normal 57 3 4 3 3" xfId="3724"/>
    <cellStyle name="Normal 57 3 4 3 3 2" xfId="17370"/>
    <cellStyle name="Normal 57 3 4 3 3 3" xfId="13791"/>
    <cellStyle name="Normal 57 3 4 3 3 4" xfId="8534"/>
    <cellStyle name="Normal 57 3 4 3 4" xfId="6159"/>
    <cellStyle name="Normal 57 3 4 3 4 2" xfId="15243"/>
    <cellStyle name="Normal 57 3 4 3 5" xfId="9988"/>
    <cellStyle name="Normal 57 3 4 3 5 2" xfId="18815"/>
    <cellStyle name="Normal 57 3 4 3 6" xfId="11433"/>
    <cellStyle name="Normal 57 3 4 3 7" xfId="4637"/>
    <cellStyle name="Normal 57 3 4 4" xfId="1085"/>
    <cellStyle name="Normal 57 3 4 4 2" xfId="2805"/>
    <cellStyle name="Normal 57 3 4 4 2 2" xfId="16345"/>
    <cellStyle name="Normal 57 3 4 4 2 3" xfId="12767"/>
    <cellStyle name="Normal 57 3 4 4 2 4" xfId="7477"/>
    <cellStyle name="Normal 57 3 4 4 3" xfId="4073"/>
    <cellStyle name="Normal 57 3 4 4 3 2" xfId="17718"/>
    <cellStyle name="Normal 57 3 4 4 3 3" xfId="14139"/>
    <cellStyle name="Normal 57 3 4 4 3 4" xfId="8882"/>
    <cellStyle name="Normal 57 3 4 4 4" xfId="6593"/>
    <cellStyle name="Normal 57 3 4 4 4 2" xfId="15677"/>
    <cellStyle name="Normal 57 3 4 4 5" xfId="10336"/>
    <cellStyle name="Normal 57 3 4 4 5 2" xfId="19163"/>
    <cellStyle name="Normal 57 3 4 4 6" xfId="11782"/>
    <cellStyle name="Normal 57 3 4 4 7" xfId="5071"/>
    <cellStyle name="Normal 57 3 4 5" xfId="1471"/>
    <cellStyle name="Normal 57 3 4 5 2" xfId="3071"/>
    <cellStyle name="Normal 57 3 4 5 2 2" xfId="16620"/>
    <cellStyle name="Normal 57 3 4 5 2 3" xfId="13041"/>
    <cellStyle name="Normal 57 3 4 5 2 4" xfId="7752"/>
    <cellStyle name="Normal 57 3 4 5 3" xfId="4279"/>
    <cellStyle name="Normal 57 3 4 5 3 2" xfId="17984"/>
    <cellStyle name="Normal 57 3 4 5 3 3" xfId="14405"/>
    <cellStyle name="Normal 57 3 4 5 3 4" xfId="9148"/>
    <cellStyle name="Normal 57 3 4 5 4" xfId="5940"/>
    <cellStyle name="Normal 57 3 4 5 4 2" xfId="15026"/>
    <cellStyle name="Normal 57 3 4 5 5" xfId="10602"/>
    <cellStyle name="Normal 57 3 4 5 5 2" xfId="19429"/>
    <cellStyle name="Normal 57 3 4 5 6" xfId="12048"/>
    <cellStyle name="Normal 57 3 4 5 7" xfId="5346"/>
    <cellStyle name="Normal 57 3 4 6" xfId="2028"/>
    <cellStyle name="Normal 57 3 4 6 2" xfId="15869"/>
    <cellStyle name="Normal 57 3 4 6 3" xfId="12461"/>
    <cellStyle name="Normal 57 3 4 6 4" xfId="6826"/>
    <cellStyle name="Normal 57 3 4 7" xfId="3441"/>
    <cellStyle name="Normal 57 3 4 7 2" xfId="16941"/>
    <cellStyle name="Normal 57 3 4 7 3" xfId="13362"/>
    <cellStyle name="Normal 57 3 4 7 4" xfId="8105"/>
    <cellStyle name="Normal 57 3 4 8" xfId="5666"/>
    <cellStyle name="Normal 57 3 4 8 2" xfId="14752"/>
    <cellStyle name="Normal 57 3 4 9" xfId="9559"/>
    <cellStyle name="Normal 57 3 4 9 2" xfId="18386"/>
    <cellStyle name="Normal 57 3 4_Degree data" xfId="1702"/>
    <cellStyle name="Normal 57 3 5" xfId="194"/>
    <cellStyle name="Normal 57 3 5 10" xfId="10948"/>
    <cellStyle name="Normal 57 3 5 11" xfId="4470"/>
    <cellStyle name="Normal 57 3 5 2" xfId="411"/>
    <cellStyle name="Normal 57 3 5 2 2" xfId="731"/>
    <cellStyle name="Normal 57 3 5 2 2 2" xfId="2460"/>
    <cellStyle name="Normal 57 3 5 2 2 2 2" xfId="16348"/>
    <cellStyle name="Normal 57 3 5 2 2 2 3" xfId="12770"/>
    <cellStyle name="Normal 57 3 5 2 2 2 4" xfId="7480"/>
    <cellStyle name="Normal 57 3 5 2 2 3" xfId="3727"/>
    <cellStyle name="Normal 57 3 5 2 2 3 2" xfId="17373"/>
    <cellStyle name="Normal 57 3 5 2 2 3 3" xfId="13794"/>
    <cellStyle name="Normal 57 3 5 2 2 3 4" xfId="8537"/>
    <cellStyle name="Normal 57 3 5 2 2 4" xfId="6596"/>
    <cellStyle name="Normal 57 3 5 2 2 4 2" xfId="15680"/>
    <cellStyle name="Normal 57 3 5 2 2 5" xfId="9991"/>
    <cellStyle name="Normal 57 3 5 2 2 5 2" xfId="18818"/>
    <cellStyle name="Normal 57 3 5 2 2 6" xfId="11436"/>
    <cellStyle name="Normal 57 3 5 2 2 7" xfId="5074"/>
    <cellStyle name="Normal 57 3 5 2 3" xfId="1088"/>
    <cellStyle name="Normal 57 3 5 2 3 2" xfId="2808"/>
    <cellStyle name="Normal 57 3 5 2 3 2 2" xfId="16770"/>
    <cellStyle name="Normal 57 3 5 2 3 2 3" xfId="13191"/>
    <cellStyle name="Normal 57 3 5 2 3 2 4" xfId="7902"/>
    <cellStyle name="Normal 57 3 5 2 3 3" xfId="4076"/>
    <cellStyle name="Normal 57 3 5 2 3 3 2" xfId="17721"/>
    <cellStyle name="Normal 57 3 5 2 3 3 3" xfId="14142"/>
    <cellStyle name="Normal 57 3 5 2 3 3 4" xfId="8885"/>
    <cellStyle name="Normal 57 3 5 2 3 4" xfId="6309"/>
    <cellStyle name="Normal 57 3 5 2 3 4 2" xfId="15393"/>
    <cellStyle name="Normal 57 3 5 2 3 5" xfId="10339"/>
    <cellStyle name="Normal 57 3 5 2 3 5 2" xfId="19166"/>
    <cellStyle name="Normal 57 3 5 2 3 6" xfId="11785"/>
    <cellStyle name="Normal 57 3 5 2 3 7" xfId="5496"/>
    <cellStyle name="Normal 57 3 5 2 4" xfId="1625"/>
    <cellStyle name="Normal 57 3 5 2 4 2" xfId="3221"/>
    <cellStyle name="Normal 57 3 5 2 4 2 2" xfId="18134"/>
    <cellStyle name="Normal 57 3 5 2 4 2 3" xfId="14555"/>
    <cellStyle name="Normal 57 3 5 2 4 2 4" xfId="9298"/>
    <cellStyle name="Normal 57 3 5 2 4 3" xfId="10752"/>
    <cellStyle name="Normal 57 3 5 2 4 3 2" xfId="19579"/>
    <cellStyle name="Normal 57 3 5 2 4 4" xfId="12198"/>
    <cellStyle name="Normal 57 3 5 2 4 5" xfId="7193"/>
    <cellStyle name="Normal 57 3 5 2 5" xfId="2178"/>
    <cellStyle name="Normal 57 3 5 2 5 2" xfId="17091"/>
    <cellStyle name="Normal 57 3 5 2 5 3" xfId="13512"/>
    <cellStyle name="Normal 57 3 5 2 5 4" xfId="8255"/>
    <cellStyle name="Normal 57 3 5 2 6" xfId="5816"/>
    <cellStyle name="Normal 57 3 5 2 6 2" xfId="14902"/>
    <cellStyle name="Normal 57 3 5 2 7" xfId="9709"/>
    <cellStyle name="Normal 57 3 5 2 7 2" xfId="18536"/>
    <cellStyle name="Normal 57 3 5 2 8" xfId="11153"/>
    <cellStyle name="Normal 57 3 5 2 9" xfId="4787"/>
    <cellStyle name="Normal 57 3 5 2_Degree data" xfId="1705"/>
    <cellStyle name="Normal 57 3 5 3" xfId="730"/>
    <cellStyle name="Normal 57 3 5 3 2" xfId="2459"/>
    <cellStyle name="Normal 57 3 5 3 2 2" xfId="16002"/>
    <cellStyle name="Normal 57 3 5 3 2 3" xfId="12513"/>
    <cellStyle name="Normal 57 3 5 3 2 4" xfId="6988"/>
    <cellStyle name="Normal 57 3 5 3 3" xfId="3726"/>
    <cellStyle name="Normal 57 3 5 3 3 2" xfId="17372"/>
    <cellStyle name="Normal 57 3 5 3 3 3" xfId="13793"/>
    <cellStyle name="Normal 57 3 5 3 3 4" xfId="8536"/>
    <cellStyle name="Normal 57 3 5 3 4" xfId="6104"/>
    <cellStyle name="Normal 57 3 5 3 4 2" xfId="15188"/>
    <cellStyle name="Normal 57 3 5 3 5" xfId="9990"/>
    <cellStyle name="Normal 57 3 5 3 5 2" xfId="18817"/>
    <cellStyle name="Normal 57 3 5 3 6" xfId="11435"/>
    <cellStyle name="Normal 57 3 5 3 7" xfId="4582"/>
    <cellStyle name="Normal 57 3 5 4" xfId="1087"/>
    <cellStyle name="Normal 57 3 5 4 2" xfId="2807"/>
    <cellStyle name="Normal 57 3 5 4 2 2" xfId="16347"/>
    <cellStyle name="Normal 57 3 5 4 2 3" xfId="12769"/>
    <cellStyle name="Normal 57 3 5 4 2 4" xfId="7479"/>
    <cellStyle name="Normal 57 3 5 4 3" xfId="4075"/>
    <cellStyle name="Normal 57 3 5 4 3 2" xfId="17720"/>
    <cellStyle name="Normal 57 3 5 4 3 3" xfId="14141"/>
    <cellStyle name="Normal 57 3 5 4 3 4" xfId="8884"/>
    <cellStyle name="Normal 57 3 5 4 4" xfId="6595"/>
    <cellStyle name="Normal 57 3 5 4 4 2" xfId="15679"/>
    <cellStyle name="Normal 57 3 5 4 5" xfId="10338"/>
    <cellStyle name="Normal 57 3 5 4 5 2" xfId="19165"/>
    <cellStyle name="Normal 57 3 5 4 6" xfId="11784"/>
    <cellStyle name="Normal 57 3 5 4 7" xfId="5073"/>
    <cellStyle name="Normal 57 3 5 5" xfId="1411"/>
    <cellStyle name="Normal 57 3 5 5 2" xfId="3016"/>
    <cellStyle name="Normal 57 3 5 5 2 2" xfId="16565"/>
    <cellStyle name="Normal 57 3 5 5 2 3" xfId="12986"/>
    <cellStyle name="Normal 57 3 5 5 2 4" xfId="7697"/>
    <cellStyle name="Normal 57 3 5 5 3" xfId="4224"/>
    <cellStyle name="Normal 57 3 5 5 3 2" xfId="17929"/>
    <cellStyle name="Normal 57 3 5 5 3 3" xfId="14350"/>
    <cellStyle name="Normal 57 3 5 5 3 4" xfId="9093"/>
    <cellStyle name="Normal 57 3 5 5 4" xfId="5990"/>
    <cellStyle name="Normal 57 3 5 5 4 2" xfId="15076"/>
    <cellStyle name="Normal 57 3 5 5 5" xfId="10547"/>
    <cellStyle name="Normal 57 3 5 5 5 2" xfId="19374"/>
    <cellStyle name="Normal 57 3 5 5 6" xfId="11993"/>
    <cellStyle name="Normal 57 3 5 5 7" xfId="5291"/>
    <cellStyle name="Normal 57 3 5 6" xfId="1973"/>
    <cellStyle name="Normal 57 3 5 6 2" xfId="15919"/>
    <cellStyle name="Normal 57 3 5 6 3" xfId="12421"/>
    <cellStyle name="Normal 57 3 5 6 4" xfId="6876"/>
    <cellStyle name="Normal 57 3 5 7" xfId="3387"/>
    <cellStyle name="Normal 57 3 5 7 2" xfId="16886"/>
    <cellStyle name="Normal 57 3 5 7 3" xfId="13307"/>
    <cellStyle name="Normal 57 3 5 7 4" xfId="8050"/>
    <cellStyle name="Normal 57 3 5 8" xfId="5611"/>
    <cellStyle name="Normal 57 3 5 8 2" xfId="14697"/>
    <cellStyle name="Normal 57 3 5 9" xfId="9504"/>
    <cellStyle name="Normal 57 3 5 9 2" xfId="18331"/>
    <cellStyle name="Normal 57 3 5_Degree data" xfId="1704"/>
    <cellStyle name="Normal 57 3 6" xfId="305"/>
    <cellStyle name="Normal 57 3 6 2" xfId="732"/>
    <cellStyle name="Normal 57 3 6 2 2" xfId="2461"/>
    <cellStyle name="Normal 57 3 6 2 2 2" xfId="16349"/>
    <cellStyle name="Normal 57 3 6 2 2 3" xfId="12771"/>
    <cellStyle name="Normal 57 3 6 2 2 4" xfId="7481"/>
    <cellStyle name="Normal 57 3 6 2 3" xfId="3728"/>
    <cellStyle name="Normal 57 3 6 2 3 2" xfId="17374"/>
    <cellStyle name="Normal 57 3 6 2 3 3" xfId="13795"/>
    <cellStyle name="Normal 57 3 6 2 3 4" xfId="8538"/>
    <cellStyle name="Normal 57 3 6 2 4" xfId="6597"/>
    <cellStyle name="Normal 57 3 6 2 4 2" xfId="15681"/>
    <cellStyle name="Normal 57 3 6 2 5" xfId="9992"/>
    <cellStyle name="Normal 57 3 6 2 5 2" xfId="18819"/>
    <cellStyle name="Normal 57 3 6 2 6" xfId="11437"/>
    <cellStyle name="Normal 57 3 6 2 7" xfId="5075"/>
    <cellStyle name="Normal 57 3 6 3" xfId="1089"/>
    <cellStyle name="Normal 57 3 6 3 2" xfId="2809"/>
    <cellStyle name="Normal 57 3 6 3 2 2" xfId="16665"/>
    <cellStyle name="Normal 57 3 6 3 2 3" xfId="13086"/>
    <cellStyle name="Normal 57 3 6 3 2 4" xfId="7797"/>
    <cellStyle name="Normal 57 3 6 3 3" xfId="4077"/>
    <cellStyle name="Normal 57 3 6 3 3 2" xfId="17722"/>
    <cellStyle name="Normal 57 3 6 3 3 3" xfId="14143"/>
    <cellStyle name="Normal 57 3 6 3 3 4" xfId="8886"/>
    <cellStyle name="Normal 57 3 6 3 4" xfId="6204"/>
    <cellStyle name="Normal 57 3 6 3 4 2" xfId="15288"/>
    <cellStyle name="Normal 57 3 6 3 5" xfId="10340"/>
    <cellStyle name="Normal 57 3 6 3 5 2" xfId="19167"/>
    <cellStyle name="Normal 57 3 6 3 6" xfId="11786"/>
    <cellStyle name="Normal 57 3 6 3 7" xfId="5391"/>
    <cellStyle name="Normal 57 3 6 4" xfId="1517"/>
    <cellStyle name="Normal 57 3 6 4 2" xfId="3116"/>
    <cellStyle name="Normal 57 3 6 4 2 2" xfId="18029"/>
    <cellStyle name="Normal 57 3 6 4 2 3" xfId="14450"/>
    <cellStyle name="Normal 57 3 6 4 2 4" xfId="9193"/>
    <cellStyle name="Normal 57 3 6 4 3" xfId="10647"/>
    <cellStyle name="Normal 57 3 6 4 3 2" xfId="19474"/>
    <cellStyle name="Normal 57 3 6 4 4" xfId="12093"/>
    <cellStyle name="Normal 57 3 6 4 5" xfId="7088"/>
    <cellStyle name="Normal 57 3 6 5" xfId="2073"/>
    <cellStyle name="Normal 57 3 6 5 2" xfId="16986"/>
    <cellStyle name="Normal 57 3 6 5 3" xfId="13407"/>
    <cellStyle name="Normal 57 3 6 5 4" xfId="8150"/>
    <cellStyle name="Normal 57 3 6 6" xfId="5711"/>
    <cellStyle name="Normal 57 3 6 6 2" xfId="14797"/>
    <cellStyle name="Normal 57 3 6 7" xfId="9604"/>
    <cellStyle name="Normal 57 3 6 7 2" xfId="18431"/>
    <cellStyle name="Normal 57 3 6 8" xfId="11048"/>
    <cellStyle name="Normal 57 3 6 9" xfId="4682"/>
    <cellStyle name="Normal 57 3 6_Degree data" xfId="1706"/>
    <cellStyle name="Normal 57 3 7" xfId="475"/>
    <cellStyle name="Normal 57 3 7 2" xfId="733"/>
    <cellStyle name="Normal 57 3 7 2 2" xfId="2462"/>
    <cellStyle name="Normal 57 3 7 2 2 2" xfId="16350"/>
    <cellStyle name="Normal 57 3 7 2 2 3" xfId="12772"/>
    <cellStyle name="Normal 57 3 7 2 2 4" xfId="7482"/>
    <cellStyle name="Normal 57 3 7 2 3" xfId="3729"/>
    <cellStyle name="Normal 57 3 7 2 3 2" xfId="17375"/>
    <cellStyle name="Normal 57 3 7 2 3 3" xfId="13796"/>
    <cellStyle name="Normal 57 3 7 2 3 4" xfId="8539"/>
    <cellStyle name="Normal 57 3 7 2 4" xfId="6598"/>
    <cellStyle name="Normal 57 3 7 2 4 2" xfId="15682"/>
    <cellStyle name="Normal 57 3 7 2 5" xfId="9993"/>
    <cellStyle name="Normal 57 3 7 2 5 2" xfId="18820"/>
    <cellStyle name="Normal 57 3 7 2 6" xfId="11438"/>
    <cellStyle name="Normal 57 3 7 2 7" xfId="5076"/>
    <cellStyle name="Normal 57 3 7 3" xfId="1090"/>
    <cellStyle name="Normal 57 3 7 3 2" xfId="2810"/>
    <cellStyle name="Normal 57 3 7 3 2 2" xfId="16513"/>
    <cellStyle name="Normal 57 3 7 3 2 3" xfId="12935"/>
    <cellStyle name="Normal 57 3 7 3 2 4" xfId="7645"/>
    <cellStyle name="Normal 57 3 7 3 3" xfId="4078"/>
    <cellStyle name="Normal 57 3 7 3 3 2" xfId="17723"/>
    <cellStyle name="Normal 57 3 7 3 3 3" xfId="14144"/>
    <cellStyle name="Normal 57 3 7 3 3 4" xfId="8887"/>
    <cellStyle name="Normal 57 3 7 3 4" xfId="6747"/>
    <cellStyle name="Normal 57 3 7 3 4 2" xfId="15830"/>
    <cellStyle name="Normal 57 3 7 3 5" xfId="10341"/>
    <cellStyle name="Normal 57 3 7 3 5 2" xfId="19168"/>
    <cellStyle name="Normal 57 3 7 3 6" xfId="11787"/>
    <cellStyle name="Normal 57 3 7 3 7" xfId="5239"/>
    <cellStyle name="Normal 57 3 7 4" xfId="1351"/>
    <cellStyle name="Normal 57 3 7 4 2" xfId="2964"/>
    <cellStyle name="Normal 57 3 7 4 2 2" xfId="17877"/>
    <cellStyle name="Normal 57 3 7 4 2 3" xfId="14298"/>
    <cellStyle name="Normal 57 3 7 4 2 4" xfId="9041"/>
    <cellStyle name="Normal 57 3 7 4 3" xfId="10495"/>
    <cellStyle name="Normal 57 3 7 4 3 2" xfId="19322"/>
    <cellStyle name="Normal 57 3 7 4 4" xfId="11941"/>
    <cellStyle name="Normal 57 3 7 4 5" xfId="6936"/>
    <cellStyle name="Normal 57 3 7 5" xfId="1921"/>
    <cellStyle name="Normal 57 3 7 5 2" xfId="16832"/>
    <cellStyle name="Normal 57 3 7 5 3" xfId="13253"/>
    <cellStyle name="Normal 57 3 7 5 4" xfId="7996"/>
    <cellStyle name="Normal 57 3 7 6" xfId="6052"/>
    <cellStyle name="Normal 57 3 7 6 2" xfId="15136"/>
    <cellStyle name="Normal 57 3 7 7" xfId="9452"/>
    <cellStyle name="Normal 57 3 7 7 2" xfId="18279"/>
    <cellStyle name="Normal 57 3 7 8" xfId="10896"/>
    <cellStyle name="Normal 57 3 7 9" xfId="4530"/>
    <cellStyle name="Normal 57 3 7_Degree data" xfId="1707"/>
    <cellStyle name="Normal 57 3 8" xfId="714"/>
    <cellStyle name="Normal 57 3 8 2" xfId="2443"/>
    <cellStyle name="Normal 57 3 8 2 2" xfId="16331"/>
    <cellStyle name="Normal 57 3 8 2 3" xfId="12753"/>
    <cellStyle name="Normal 57 3 8 2 4" xfId="7463"/>
    <cellStyle name="Normal 57 3 8 3" xfId="3710"/>
    <cellStyle name="Normal 57 3 8 3 2" xfId="17356"/>
    <cellStyle name="Normal 57 3 8 3 3" xfId="13777"/>
    <cellStyle name="Normal 57 3 8 3 4" xfId="8520"/>
    <cellStyle name="Normal 57 3 8 4" xfId="6579"/>
    <cellStyle name="Normal 57 3 8 4 2" xfId="15663"/>
    <cellStyle name="Normal 57 3 8 5" xfId="9974"/>
    <cellStyle name="Normal 57 3 8 5 2" xfId="18801"/>
    <cellStyle name="Normal 57 3 8 6" xfId="11419"/>
    <cellStyle name="Normal 57 3 8 7" xfId="5057"/>
    <cellStyle name="Normal 57 3 9" xfId="1071"/>
    <cellStyle name="Normal 57 3 9 2" xfId="2791"/>
    <cellStyle name="Normal 57 3 9 2 2" xfId="16481"/>
    <cellStyle name="Normal 57 3 9 2 3" xfId="12903"/>
    <cellStyle name="Normal 57 3 9 2 4" xfId="7613"/>
    <cellStyle name="Normal 57 3 9 3" xfId="4059"/>
    <cellStyle name="Normal 57 3 9 3 2" xfId="17704"/>
    <cellStyle name="Normal 57 3 9 3 3" xfId="14125"/>
    <cellStyle name="Normal 57 3 9 3 4" xfId="8868"/>
    <cellStyle name="Normal 57 3 9 4" xfId="5884"/>
    <cellStyle name="Normal 57 3 9 4 2" xfId="14970"/>
    <cellStyle name="Normal 57 3 9 5" xfId="10322"/>
    <cellStyle name="Normal 57 3 9 5 2" xfId="19149"/>
    <cellStyle name="Normal 57 3 9 6" xfId="11768"/>
    <cellStyle name="Normal 57 3 9 7" xfId="5207"/>
    <cellStyle name="Normal 57 3_Degree data" xfId="1688"/>
    <cellStyle name="Normal 57 4" xfId="98"/>
    <cellStyle name="Normal 57 4 10" xfId="1895"/>
    <cellStyle name="Normal 57 4 10 2" xfId="9426"/>
    <cellStyle name="Normal 57 4 10 2 2" xfId="18253"/>
    <cellStyle name="Normal 57 4 10 3" xfId="10870"/>
    <cellStyle name="Normal 57 4 10 4" xfId="7970"/>
    <cellStyle name="Normal 57 4 11" xfId="1840"/>
    <cellStyle name="Normal 57 4 11 2" xfId="14662"/>
    <cellStyle name="Normal 57 4 11 3" xfId="5576"/>
    <cellStyle name="Normal 57 4 12" xfId="9376"/>
    <cellStyle name="Normal 57 4 12 2" xfId="18203"/>
    <cellStyle name="Normal 57 4 13" xfId="10815"/>
    <cellStyle name="Normal 57 4 14" xfId="4361"/>
    <cellStyle name="Normal 57 4 2" xfId="173"/>
    <cellStyle name="Normal 57 4 2 10" xfId="9396"/>
    <cellStyle name="Normal 57 4 2 10 2" xfId="18223"/>
    <cellStyle name="Normal 57 4 2 11" xfId="10837"/>
    <cellStyle name="Normal 57 4 2 12" xfId="4389"/>
    <cellStyle name="Normal 57 4 2 2" xfId="264"/>
    <cellStyle name="Normal 57 4 2 2 10" xfId="11015"/>
    <cellStyle name="Normal 57 4 2 2 11" xfId="4432"/>
    <cellStyle name="Normal 57 4 2 2 2" xfId="372"/>
    <cellStyle name="Normal 57 4 2 2 2 2" xfId="737"/>
    <cellStyle name="Normal 57 4 2 2 2 2 2" xfId="2466"/>
    <cellStyle name="Normal 57 4 2 2 2 2 2 2" xfId="16354"/>
    <cellStyle name="Normal 57 4 2 2 2 2 2 3" xfId="12776"/>
    <cellStyle name="Normal 57 4 2 2 2 2 2 4" xfId="7486"/>
    <cellStyle name="Normal 57 4 2 2 2 2 3" xfId="3733"/>
    <cellStyle name="Normal 57 4 2 2 2 2 3 2" xfId="17379"/>
    <cellStyle name="Normal 57 4 2 2 2 2 3 3" xfId="13800"/>
    <cellStyle name="Normal 57 4 2 2 2 2 3 4" xfId="8543"/>
    <cellStyle name="Normal 57 4 2 2 2 2 4" xfId="6602"/>
    <cellStyle name="Normal 57 4 2 2 2 2 4 2" xfId="15686"/>
    <cellStyle name="Normal 57 4 2 2 2 2 5" xfId="9997"/>
    <cellStyle name="Normal 57 4 2 2 2 2 5 2" xfId="18824"/>
    <cellStyle name="Normal 57 4 2 2 2 2 6" xfId="11442"/>
    <cellStyle name="Normal 57 4 2 2 2 2 7" xfId="5080"/>
    <cellStyle name="Normal 57 4 2 2 2 3" xfId="1094"/>
    <cellStyle name="Normal 57 4 2 2 2 3 2" xfId="2814"/>
    <cellStyle name="Normal 57 4 2 2 2 3 2 2" xfId="16732"/>
    <cellStyle name="Normal 57 4 2 2 2 3 2 3" xfId="13153"/>
    <cellStyle name="Normal 57 4 2 2 2 3 2 4" xfId="7864"/>
    <cellStyle name="Normal 57 4 2 2 2 3 3" xfId="4082"/>
    <cellStyle name="Normal 57 4 2 2 2 3 3 2" xfId="17727"/>
    <cellStyle name="Normal 57 4 2 2 2 3 3 3" xfId="14148"/>
    <cellStyle name="Normal 57 4 2 2 2 3 3 4" xfId="8891"/>
    <cellStyle name="Normal 57 4 2 2 2 3 4" xfId="6271"/>
    <cellStyle name="Normal 57 4 2 2 2 3 4 2" xfId="15355"/>
    <cellStyle name="Normal 57 4 2 2 2 3 5" xfId="10345"/>
    <cellStyle name="Normal 57 4 2 2 2 3 5 2" xfId="19172"/>
    <cellStyle name="Normal 57 4 2 2 2 3 6" xfId="11791"/>
    <cellStyle name="Normal 57 4 2 2 2 3 7" xfId="5458"/>
    <cellStyle name="Normal 57 4 2 2 2 4" xfId="1585"/>
    <cellStyle name="Normal 57 4 2 2 2 4 2" xfId="3183"/>
    <cellStyle name="Normal 57 4 2 2 2 4 2 2" xfId="18096"/>
    <cellStyle name="Normal 57 4 2 2 2 4 2 3" xfId="14517"/>
    <cellStyle name="Normal 57 4 2 2 2 4 2 4" xfId="9260"/>
    <cellStyle name="Normal 57 4 2 2 2 4 3" xfId="10714"/>
    <cellStyle name="Normal 57 4 2 2 2 4 3 2" xfId="19541"/>
    <cellStyle name="Normal 57 4 2 2 2 4 4" xfId="12160"/>
    <cellStyle name="Normal 57 4 2 2 2 4 5" xfId="7155"/>
    <cellStyle name="Normal 57 4 2 2 2 5" xfId="2140"/>
    <cellStyle name="Normal 57 4 2 2 2 5 2" xfId="17053"/>
    <cellStyle name="Normal 57 4 2 2 2 5 3" xfId="13474"/>
    <cellStyle name="Normal 57 4 2 2 2 5 4" xfId="8217"/>
    <cellStyle name="Normal 57 4 2 2 2 6" xfId="5778"/>
    <cellStyle name="Normal 57 4 2 2 2 6 2" xfId="14864"/>
    <cellStyle name="Normal 57 4 2 2 2 7" xfId="9671"/>
    <cellStyle name="Normal 57 4 2 2 2 7 2" xfId="18498"/>
    <cellStyle name="Normal 57 4 2 2 2 8" xfId="11115"/>
    <cellStyle name="Normal 57 4 2 2 2 9" xfId="4749"/>
    <cellStyle name="Normal 57 4 2 2 2_Degree data" xfId="1711"/>
    <cellStyle name="Normal 57 4 2 2 3" xfId="736"/>
    <cellStyle name="Normal 57 4 2 2 3 2" xfId="2465"/>
    <cellStyle name="Normal 57 4 2 2 3 2 2" xfId="16069"/>
    <cellStyle name="Normal 57 4 2 2 3 2 3" xfId="12268"/>
    <cellStyle name="Normal 57 4 2 2 3 2 4" xfId="7055"/>
    <cellStyle name="Normal 57 4 2 2 3 3" xfId="3732"/>
    <cellStyle name="Normal 57 4 2 2 3 3 2" xfId="17378"/>
    <cellStyle name="Normal 57 4 2 2 3 3 3" xfId="13799"/>
    <cellStyle name="Normal 57 4 2 2 3 3 4" xfId="8542"/>
    <cellStyle name="Normal 57 4 2 2 3 4" xfId="6171"/>
    <cellStyle name="Normal 57 4 2 2 3 4 2" xfId="15255"/>
    <cellStyle name="Normal 57 4 2 2 3 5" xfId="9996"/>
    <cellStyle name="Normal 57 4 2 2 3 5 2" xfId="18823"/>
    <cellStyle name="Normal 57 4 2 2 3 6" xfId="11441"/>
    <cellStyle name="Normal 57 4 2 2 3 7" xfId="4649"/>
    <cellStyle name="Normal 57 4 2 2 4" xfId="1093"/>
    <cellStyle name="Normal 57 4 2 2 4 2" xfId="2813"/>
    <cellStyle name="Normal 57 4 2 2 4 2 2" xfId="16353"/>
    <cellStyle name="Normal 57 4 2 2 4 2 3" xfId="12775"/>
    <cellStyle name="Normal 57 4 2 2 4 2 4" xfId="7485"/>
    <cellStyle name="Normal 57 4 2 2 4 3" xfId="4081"/>
    <cellStyle name="Normal 57 4 2 2 4 3 2" xfId="17726"/>
    <cellStyle name="Normal 57 4 2 2 4 3 3" xfId="14147"/>
    <cellStyle name="Normal 57 4 2 2 4 3 4" xfId="8890"/>
    <cellStyle name="Normal 57 4 2 2 4 4" xfId="6601"/>
    <cellStyle name="Normal 57 4 2 2 4 4 2" xfId="15685"/>
    <cellStyle name="Normal 57 4 2 2 4 5" xfId="10344"/>
    <cellStyle name="Normal 57 4 2 2 4 5 2" xfId="19171"/>
    <cellStyle name="Normal 57 4 2 2 4 6" xfId="11790"/>
    <cellStyle name="Normal 57 4 2 2 4 7" xfId="5079"/>
    <cellStyle name="Normal 57 4 2 2 5" xfId="1483"/>
    <cellStyle name="Normal 57 4 2 2 5 2" xfId="3083"/>
    <cellStyle name="Normal 57 4 2 2 5 2 2" xfId="16632"/>
    <cellStyle name="Normal 57 4 2 2 5 2 3" xfId="13053"/>
    <cellStyle name="Normal 57 4 2 2 5 2 4" xfId="7764"/>
    <cellStyle name="Normal 57 4 2 2 5 3" xfId="4291"/>
    <cellStyle name="Normal 57 4 2 2 5 3 2" xfId="17996"/>
    <cellStyle name="Normal 57 4 2 2 5 3 3" xfId="14417"/>
    <cellStyle name="Normal 57 4 2 2 5 3 4" xfId="9160"/>
    <cellStyle name="Normal 57 4 2 2 5 4" xfId="5952"/>
    <cellStyle name="Normal 57 4 2 2 5 4 2" xfId="15038"/>
    <cellStyle name="Normal 57 4 2 2 5 5" xfId="10614"/>
    <cellStyle name="Normal 57 4 2 2 5 5 2" xfId="19441"/>
    <cellStyle name="Normal 57 4 2 2 5 6" xfId="12060"/>
    <cellStyle name="Normal 57 4 2 2 5 7" xfId="5358"/>
    <cellStyle name="Normal 57 4 2 2 6" xfId="2040"/>
    <cellStyle name="Normal 57 4 2 2 6 2" xfId="15881"/>
    <cellStyle name="Normal 57 4 2 2 6 3" xfId="12370"/>
    <cellStyle name="Normal 57 4 2 2 6 4" xfId="6838"/>
    <cellStyle name="Normal 57 4 2 2 7" xfId="3453"/>
    <cellStyle name="Normal 57 4 2 2 7 2" xfId="16953"/>
    <cellStyle name="Normal 57 4 2 2 7 3" xfId="13374"/>
    <cellStyle name="Normal 57 4 2 2 7 4" xfId="8117"/>
    <cellStyle name="Normal 57 4 2 2 8" xfId="5678"/>
    <cellStyle name="Normal 57 4 2 2 8 2" xfId="14764"/>
    <cellStyle name="Normal 57 4 2 2 9" xfId="9571"/>
    <cellStyle name="Normal 57 4 2 2 9 2" xfId="18398"/>
    <cellStyle name="Normal 57 4 2 2_Degree data" xfId="1710"/>
    <cellStyle name="Normal 57 4 2 3" xfId="329"/>
    <cellStyle name="Normal 57 4 2 3 2" xfId="738"/>
    <cellStyle name="Normal 57 4 2 3 2 2" xfId="2467"/>
    <cellStyle name="Normal 57 4 2 3 2 2 2" xfId="16355"/>
    <cellStyle name="Normal 57 4 2 3 2 2 3" xfId="12777"/>
    <cellStyle name="Normal 57 4 2 3 2 2 4" xfId="7487"/>
    <cellStyle name="Normal 57 4 2 3 2 3" xfId="3734"/>
    <cellStyle name="Normal 57 4 2 3 2 3 2" xfId="17380"/>
    <cellStyle name="Normal 57 4 2 3 2 3 3" xfId="13801"/>
    <cellStyle name="Normal 57 4 2 3 2 3 4" xfId="8544"/>
    <cellStyle name="Normal 57 4 2 3 2 4" xfId="6603"/>
    <cellStyle name="Normal 57 4 2 3 2 4 2" xfId="15687"/>
    <cellStyle name="Normal 57 4 2 3 2 5" xfId="9998"/>
    <cellStyle name="Normal 57 4 2 3 2 5 2" xfId="18825"/>
    <cellStyle name="Normal 57 4 2 3 2 6" xfId="11443"/>
    <cellStyle name="Normal 57 4 2 3 2 7" xfId="5081"/>
    <cellStyle name="Normal 57 4 2 3 3" xfId="1095"/>
    <cellStyle name="Normal 57 4 2 3 3 2" xfId="2815"/>
    <cellStyle name="Normal 57 4 2 3 3 2 2" xfId="16689"/>
    <cellStyle name="Normal 57 4 2 3 3 2 3" xfId="13110"/>
    <cellStyle name="Normal 57 4 2 3 3 2 4" xfId="7821"/>
    <cellStyle name="Normal 57 4 2 3 3 3" xfId="4083"/>
    <cellStyle name="Normal 57 4 2 3 3 3 2" xfId="17728"/>
    <cellStyle name="Normal 57 4 2 3 3 3 3" xfId="14149"/>
    <cellStyle name="Normal 57 4 2 3 3 3 4" xfId="8892"/>
    <cellStyle name="Normal 57 4 2 3 3 4" xfId="6228"/>
    <cellStyle name="Normal 57 4 2 3 3 4 2" xfId="15312"/>
    <cellStyle name="Normal 57 4 2 3 3 5" xfId="10346"/>
    <cellStyle name="Normal 57 4 2 3 3 5 2" xfId="19173"/>
    <cellStyle name="Normal 57 4 2 3 3 6" xfId="11792"/>
    <cellStyle name="Normal 57 4 2 3 3 7" xfId="5415"/>
    <cellStyle name="Normal 57 4 2 3 4" xfId="1541"/>
    <cellStyle name="Normal 57 4 2 3 4 2" xfId="3140"/>
    <cellStyle name="Normal 57 4 2 3 4 2 2" xfId="18053"/>
    <cellStyle name="Normal 57 4 2 3 4 2 3" xfId="14474"/>
    <cellStyle name="Normal 57 4 2 3 4 2 4" xfId="9217"/>
    <cellStyle name="Normal 57 4 2 3 4 3" xfId="10671"/>
    <cellStyle name="Normal 57 4 2 3 4 3 2" xfId="19498"/>
    <cellStyle name="Normal 57 4 2 3 4 4" xfId="12117"/>
    <cellStyle name="Normal 57 4 2 3 4 5" xfId="7112"/>
    <cellStyle name="Normal 57 4 2 3 5" xfId="2097"/>
    <cellStyle name="Normal 57 4 2 3 5 2" xfId="17010"/>
    <cellStyle name="Normal 57 4 2 3 5 3" xfId="13431"/>
    <cellStyle name="Normal 57 4 2 3 5 4" xfId="8174"/>
    <cellStyle name="Normal 57 4 2 3 6" xfId="5735"/>
    <cellStyle name="Normal 57 4 2 3 6 2" xfId="14821"/>
    <cellStyle name="Normal 57 4 2 3 7" xfId="9628"/>
    <cellStyle name="Normal 57 4 2 3 7 2" xfId="18455"/>
    <cellStyle name="Normal 57 4 2 3 8" xfId="11072"/>
    <cellStyle name="Normal 57 4 2 3 9" xfId="4706"/>
    <cellStyle name="Normal 57 4 2 3_Degree data" xfId="1712"/>
    <cellStyle name="Normal 57 4 2 4" xfId="735"/>
    <cellStyle name="Normal 57 4 2 4 2" xfId="2464"/>
    <cellStyle name="Normal 57 4 2 4 2 2" xfId="16026"/>
    <cellStyle name="Normal 57 4 2 4 2 3" xfId="12307"/>
    <cellStyle name="Normal 57 4 2 4 2 4" xfId="7012"/>
    <cellStyle name="Normal 57 4 2 4 3" xfId="3731"/>
    <cellStyle name="Normal 57 4 2 4 3 2" xfId="17377"/>
    <cellStyle name="Normal 57 4 2 4 3 3" xfId="13798"/>
    <cellStyle name="Normal 57 4 2 4 3 4" xfId="8541"/>
    <cellStyle name="Normal 57 4 2 4 4" xfId="6128"/>
    <cellStyle name="Normal 57 4 2 4 4 2" xfId="15212"/>
    <cellStyle name="Normal 57 4 2 4 5" xfId="9995"/>
    <cellStyle name="Normal 57 4 2 4 5 2" xfId="18822"/>
    <cellStyle name="Normal 57 4 2 4 6" xfId="11440"/>
    <cellStyle name="Normal 57 4 2 4 7" xfId="4606"/>
    <cellStyle name="Normal 57 4 2 5" xfId="1092"/>
    <cellStyle name="Normal 57 4 2 5 2" xfId="2812"/>
    <cellStyle name="Normal 57 4 2 5 2 2" xfId="16352"/>
    <cellStyle name="Normal 57 4 2 5 2 3" xfId="12774"/>
    <cellStyle name="Normal 57 4 2 5 2 4" xfId="7484"/>
    <cellStyle name="Normal 57 4 2 5 3" xfId="4080"/>
    <cellStyle name="Normal 57 4 2 5 3 2" xfId="17725"/>
    <cellStyle name="Normal 57 4 2 5 3 3" xfId="14146"/>
    <cellStyle name="Normal 57 4 2 5 3 4" xfId="8889"/>
    <cellStyle name="Normal 57 4 2 5 4" xfId="6600"/>
    <cellStyle name="Normal 57 4 2 5 4 2" xfId="15684"/>
    <cellStyle name="Normal 57 4 2 5 5" xfId="10343"/>
    <cellStyle name="Normal 57 4 2 5 5 2" xfId="19170"/>
    <cellStyle name="Normal 57 4 2 5 6" xfId="11789"/>
    <cellStyle name="Normal 57 4 2 5 7" xfId="5078"/>
    <cellStyle name="Normal 57 4 2 6" xfId="1438"/>
    <cellStyle name="Normal 57 4 2 6 2" xfId="3040"/>
    <cellStyle name="Normal 57 4 2 6 2 2" xfId="16589"/>
    <cellStyle name="Normal 57 4 2 6 2 3" xfId="13010"/>
    <cellStyle name="Normal 57 4 2 6 2 4" xfId="7721"/>
    <cellStyle name="Normal 57 4 2 6 3" xfId="4248"/>
    <cellStyle name="Normal 57 4 2 6 3 2" xfId="17953"/>
    <cellStyle name="Normal 57 4 2 6 3 3" xfId="14374"/>
    <cellStyle name="Normal 57 4 2 6 3 4" xfId="9117"/>
    <cellStyle name="Normal 57 4 2 6 4" xfId="5908"/>
    <cellStyle name="Normal 57 4 2 6 4 2" xfId="14994"/>
    <cellStyle name="Normal 57 4 2 6 5" xfId="10571"/>
    <cellStyle name="Normal 57 4 2 6 5 2" xfId="19398"/>
    <cellStyle name="Normal 57 4 2 6 6" xfId="12017"/>
    <cellStyle name="Normal 57 4 2 6 7" xfId="5315"/>
    <cellStyle name="Normal 57 4 2 7" xfId="1997"/>
    <cellStyle name="Normal 57 4 2 7 2" xfId="9528"/>
    <cellStyle name="Normal 57 4 2 7 2 2" xfId="18355"/>
    <cellStyle name="Normal 57 4 2 7 3" xfId="10972"/>
    <cellStyle name="Normal 57 4 2 7 4" xfId="6795"/>
    <cellStyle name="Normal 57 4 2 8" xfId="1862"/>
    <cellStyle name="Normal 57 4 2 8 2" xfId="16910"/>
    <cellStyle name="Normal 57 4 2 8 3" xfId="13331"/>
    <cellStyle name="Normal 57 4 2 8 4" xfId="8074"/>
    <cellStyle name="Normal 57 4 2 9" xfId="5635"/>
    <cellStyle name="Normal 57 4 2 9 2" xfId="14721"/>
    <cellStyle name="Normal 57 4 2_Degree data" xfId="1709"/>
    <cellStyle name="Normal 57 4 3" xfId="249"/>
    <cellStyle name="Normal 57 4 3 10" xfId="11000"/>
    <cellStyle name="Normal 57 4 3 11" xfId="4417"/>
    <cellStyle name="Normal 57 4 3 2" xfId="357"/>
    <cellStyle name="Normal 57 4 3 2 2" xfId="740"/>
    <cellStyle name="Normal 57 4 3 2 2 2" xfId="2469"/>
    <cellStyle name="Normal 57 4 3 2 2 2 2" xfId="16357"/>
    <cellStyle name="Normal 57 4 3 2 2 2 3" xfId="12779"/>
    <cellStyle name="Normal 57 4 3 2 2 2 4" xfId="7489"/>
    <cellStyle name="Normal 57 4 3 2 2 3" xfId="3736"/>
    <cellStyle name="Normal 57 4 3 2 2 3 2" xfId="17382"/>
    <cellStyle name="Normal 57 4 3 2 2 3 3" xfId="13803"/>
    <cellStyle name="Normal 57 4 3 2 2 3 4" xfId="8546"/>
    <cellStyle name="Normal 57 4 3 2 2 4" xfId="6605"/>
    <cellStyle name="Normal 57 4 3 2 2 4 2" xfId="15689"/>
    <cellStyle name="Normal 57 4 3 2 2 5" xfId="10000"/>
    <cellStyle name="Normal 57 4 3 2 2 5 2" xfId="18827"/>
    <cellStyle name="Normal 57 4 3 2 2 6" xfId="11445"/>
    <cellStyle name="Normal 57 4 3 2 2 7" xfId="5083"/>
    <cellStyle name="Normal 57 4 3 2 3" xfId="1097"/>
    <cellStyle name="Normal 57 4 3 2 3 2" xfId="2817"/>
    <cellStyle name="Normal 57 4 3 2 3 2 2" xfId="16717"/>
    <cellStyle name="Normal 57 4 3 2 3 2 3" xfId="13138"/>
    <cellStyle name="Normal 57 4 3 2 3 2 4" xfId="7849"/>
    <cellStyle name="Normal 57 4 3 2 3 3" xfId="4085"/>
    <cellStyle name="Normal 57 4 3 2 3 3 2" xfId="17730"/>
    <cellStyle name="Normal 57 4 3 2 3 3 3" xfId="14151"/>
    <cellStyle name="Normal 57 4 3 2 3 3 4" xfId="8894"/>
    <cellStyle name="Normal 57 4 3 2 3 4" xfId="6256"/>
    <cellStyle name="Normal 57 4 3 2 3 4 2" xfId="15340"/>
    <cellStyle name="Normal 57 4 3 2 3 5" xfId="10348"/>
    <cellStyle name="Normal 57 4 3 2 3 5 2" xfId="19175"/>
    <cellStyle name="Normal 57 4 3 2 3 6" xfId="11794"/>
    <cellStyle name="Normal 57 4 3 2 3 7" xfId="5443"/>
    <cellStyle name="Normal 57 4 3 2 4" xfId="1570"/>
    <cellStyle name="Normal 57 4 3 2 4 2" xfId="3168"/>
    <cellStyle name="Normal 57 4 3 2 4 2 2" xfId="18081"/>
    <cellStyle name="Normal 57 4 3 2 4 2 3" xfId="14502"/>
    <cellStyle name="Normal 57 4 3 2 4 2 4" xfId="9245"/>
    <cellStyle name="Normal 57 4 3 2 4 3" xfId="10699"/>
    <cellStyle name="Normal 57 4 3 2 4 3 2" xfId="19526"/>
    <cellStyle name="Normal 57 4 3 2 4 4" xfId="12145"/>
    <cellStyle name="Normal 57 4 3 2 4 5" xfId="7140"/>
    <cellStyle name="Normal 57 4 3 2 5" xfId="2125"/>
    <cellStyle name="Normal 57 4 3 2 5 2" xfId="17038"/>
    <cellStyle name="Normal 57 4 3 2 5 3" xfId="13459"/>
    <cellStyle name="Normal 57 4 3 2 5 4" xfId="8202"/>
    <cellStyle name="Normal 57 4 3 2 6" xfId="5763"/>
    <cellStyle name="Normal 57 4 3 2 6 2" xfId="14849"/>
    <cellStyle name="Normal 57 4 3 2 7" xfId="9656"/>
    <cellStyle name="Normal 57 4 3 2 7 2" xfId="18483"/>
    <cellStyle name="Normal 57 4 3 2 8" xfId="11100"/>
    <cellStyle name="Normal 57 4 3 2 9" xfId="4734"/>
    <cellStyle name="Normal 57 4 3 2_Degree data" xfId="1714"/>
    <cellStyle name="Normal 57 4 3 3" xfId="739"/>
    <cellStyle name="Normal 57 4 3 3 2" xfId="2468"/>
    <cellStyle name="Normal 57 4 3 3 2 2" xfId="16054"/>
    <cellStyle name="Normal 57 4 3 3 2 3" xfId="12485"/>
    <cellStyle name="Normal 57 4 3 3 2 4" xfId="7040"/>
    <cellStyle name="Normal 57 4 3 3 3" xfId="3735"/>
    <cellStyle name="Normal 57 4 3 3 3 2" xfId="17381"/>
    <cellStyle name="Normal 57 4 3 3 3 3" xfId="13802"/>
    <cellStyle name="Normal 57 4 3 3 3 4" xfId="8545"/>
    <cellStyle name="Normal 57 4 3 3 4" xfId="6156"/>
    <cellStyle name="Normal 57 4 3 3 4 2" xfId="15240"/>
    <cellStyle name="Normal 57 4 3 3 5" xfId="9999"/>
    <cellStyle name="Normal 57 4 3 3 5 2" xfId="18826"/>
    <cellStyle name="Normal 57 4 3 3 6" xfId="11444"/>
    <cellStyle name="Normal 57 4 3 3 7" xfId="4634"/>
    <cellStyle name="Normal 57 4 3 4" xfId="1096"/>
    <cellStyle name="Normal 57 4 3 4 2" xfId="2816"/>
    <cellStyle name="Normal 57 4 3 4 2 2" xfId="16356"/>
    <cellStyle name="Normal 57 4 3 4 2 3" xfId="12778"/>
    <cellStyle name="Normal 57 4 3 4 2 4" xfId="7488"/>
    <cellStyle name="Normal 57 4 3 4 3" xfId="4084"/>
    <cellStyle name="Normal 57 4 3 4 3 2" xfId="17729"/>
    <cellStyle name="Normal 57 4 3 4 3 3" xfId="14150"/>
    <cellStyle name="Normal 57 4 3 4 3 4" xfId="8893"/>
    <cellStyle name="Normal 57 4 3 4 4" xfId="6604"/>
    <cellStyle name="Normal 57 4 3 4 4 2" xfId="15688"/>
    <cellStyle name="Normal 57 4 3 4 5" xfId="10347"/>
    <cellStyle name="Normal 57 4 3 4 5 2" xfId="19174"/>
    <cellStyle name="Normal 57 4 3 4 6" xfId="11793"/>
    <cellStyle name="Normal 57 4 3 4 7" xfId="5082"/>
    <cellStyle name="Normal 57 4 3 5" xfId="1468"/>
    <cellStyle name="Normal 57 4 3 5 2" xfId="3068"/>
    <cellStyle name="Normal 57 4 3 5 2 2" xfId="16617"/>
    <cellStyle name="Normal 57 4 3 5 2 3" xfId="13038"/>
    <cellStyle name="Normal 57 4 3 5 2 4" xfId="7749"/>
    <cellStyle name="Normal 57 4 3 5 3" xfId="4276"/>
    <cellStyle name="Normal 57 4 3 5 3 2" xfId="17981"/>
    <cellStyle name="Normal 57 4 3 5 3 3" xfId="14402"/>
    <cellStyle name="Normal 57 4 3 5 3 4" xfId="9145"/>
    <cellStyle name="Normal 57 4 3 5 4" xfId="5937"/>
    <cellStyle name="Normal 57 4 3 5 4 2" xfId="15023"/>
    <cellStyle name="Normal 57 4 3 5 5" xfId="10599"/>
    <cellStyle name="Normal 57 4 3 5 5 2" xfId="19426"/>
    <cellStyle name="Normal 57 4 3 5 6" xfId="12045"/>
    <cellStyle name="Normal 57 4 3 5 7" xfId="5343"/>
    <cellStyle name="Normal 57 4 3 6" xfId="2025"/>
    <cellStyle name="Normal 57 4 3 6 2" xfId="15866"/>
    <cellStyle name="Normal 57 4 3 6 3" xfId="12460"/>
    <cellStyle name="Normal 57 4 3 6 4" xfId="6823"/>
    <cellStyle name="Normal 57 4 3 7" xfId="3438"/>
    <cellStyle name="Normal 57 4 3 7 2" xfId="16938"/>
    <cellStyle name="Normal 57 4 3 7 3" xfId="13359"/>
    <cellStyle name="Normal 57 4 3 7 4" xfId="8102"/>
    <cellStyle name="Normal 57 4 3 8" xfId="5663"/>
    <cellStyle name="Normal 57 4 3 8 2" xfId="14749"/>
    <cellStyle name="Normal 57 4 3 9" xfId="9556"/>
    <cellStyle name="Normal 57 4 3 9 2" xfId="18383"/>
    <cellStyle name="Normal 57 4 3_Degree data" xfId="1713"/>
    <cellStyle name="Normal 57 4 4" xfId="190"/>
    <cellStyle name="Normal 57 4 4 10" xfId="10944"/>
    <cellStyle name="Normal 57 4 4 11" xfId="4466"/>
    <cellStyle name="Normal 57 4 4 2" xfId="407"/>
    <cellStyle name="Normal 57 4 4 2 2" xfId="742"/>
    <cellStyle name="Normal 57 4 4 2 2 2" xfId="2471"/>
    <cellStyle name="Normal 57 4 4 2 2 2 2" xfId="16359"/>
    <cellStyle name="Normal 57 4 4 2 2 2 3" xfId="12781"/>
    <cellStyle name="Normal 57 4 4 2 2 2 4" xfId="7491"/>
    <cellStyle name="Normal 57 4 4 2 2 3" xfId="3738"/>
    <cellStyle name="Normal 57 4 4 2 2 3 2" xfId="17384"/>
    <cellStyle name="Normal 57 4 4 2 2 3 3" xfId="13805"/>
    <cellStyle name="Normal 57 4 4 2 2 3 4" xfId="8548"/>
    <cellStyle name="Normal 57 4 4 2 2 4" xfId="6607"/>
    <cellStyle name="Normal 57 4 4 2 2 4 2" xfId="15691"/>
    <cellStyle name="Normal 57 4 4 2 2 5" xfId="10002"/>
    <cellStyle name="Normal 57 4 4 2 2 5 2" xfId="18829"/>
    <cellStyle name="Normal 57 4 4 2 2 6" xfId="11447"/>
    <cellStyle name="Normal 57 4 4 2 2 7" xfId="5085"/>
    <cellStyle name="Normal 57 4 4 2 3" xfId="1099"/>
    <cellStyle name="Normal 57 4 4 2 3 2" xfId="2819"/>
    <cellStyle name="Normal 57 4 4 2 3 2 2" xfId="16766"/>
    <cellStyle name="Normal 57 4 4 2 3 2 3" xfId="13187"/>
    <cellStyle name="Normal 57 4 4 2 3 2 4" xfId="7898"/>
    <cellStyle name="Normal 57 4 4 2 3 3" xfId="4087"/>
    <cellStyle name="Normal 57 4 4 2 3 3 2" xfId="17732"/>
    <cellStyle name="Normal 57 4 4 2 3 3 3" xfId="14153"/>
    <cellStyle name="Normal 57 4 4 2 3 3 4" xfId="8896"/>
    <cellStyle name="Normal 57 4 4 2 3 4" xfId="6305"/>
    <cellStyle name="Normal 57 4 4 2 3 4 2" xfId="15389"/>
    <cellStyle name="Normal 57 4 4 2 3 5" xfId="10350"/>
    <cellStyle name="Normal 57 4 4 2 3 5 2" xfId="19177"/>
    <cellStyle name="Normal 57 4 4 2 3 6" xfId="11796"/>
    <cellStyle name="Normal 57 4 4 2 3 7" xfId="5492"/>
    <cellStyle name="Normal 57 4 4 2 4" xfId="1621"/>
    <cellStyle name="Normal 57 4 4 2 4 2" xfId="3217"/>
    <cellStyle name="Normal 57 4 4 2 4 2 2" xfId="18130"/>
    <cellStyle name="Normal 57 4 4 2 4 2 3" xfId="14551"/>
    <cellStyle name="Normal 57 4 4 2 4 2 4" xfId="9294"/>
    <cellStyle name="Normal 57 4 4 2 4 3" xfId="10748"/>
    <cellStyle name="Normal 57 4 4 2 4 3 2" xfId="19575"/>
    <cellStyle name="Normal 57 4 4 2 4 4" xfId="12194"/>
    <cellStyle name="Normal 57 4 4 2 4 5" xfId="7189"/>
    <cellStyle name="Normal 57 4 4 2 5" xfId="2174"/>
    <cellStyle name="Normal 57 4 4 2 5 2" xfId="17087"/>
    <cellStyle name="Normal 57 4 4 2 5 3" xfId="13508"/>
    <cellStyle name="Normal 57 4 4 2 5 4" xfId="8251"/>
    <cellStyle name="Normal 57 4 4 2 6" xfId="5812"/>
    <cellStyle name="Normal 57 4 4 2 6 2" xfId="14898"/>
    <cellStyle name="Normal 57 4 4 2 7" xfId="9705"/>
    <cellStyle name="Normal 57 4 4 2 7 2" xfId="18532"/>
    <cellStyle name="Normal 57 4 4 2 8" xfId="11149"/>
    <cellStyle name="Normal 57 4 4 2 9" xfId="4783"/>
    <cellStyle name="Normal 57 4 4 2_Degree data" xfId="1716"/>
    <cellStyle name="Normal 57 4 4 3" xfId="741"/>
    <cellStyle name="Normal 57 4 4 3 2" xfId="2470"/>
    <cellStyle name="Normal 57 4 4 3 2 2" xfId="15998"/>
    <cellStyle name="Normal 57 4 4 3 2 3" xfId="12493"/>
    <cellStyle name="Normal 57 4 4 3 2 4" xfId="6984"/>
    <cellStyle name="Normal 57 4 4 3 3" xfId="3737"/>
    <cellStyle name="Normal 57 4 4 3 3 2" xfId="17383"/>
    <cellStyle name="Normal 57 4 4 3 3 3" xfId="13804"/>
    <cellStyle name="Normal 57 4 4 3 3 4" xfId="8547"/>
    <cellStyle name="Normal 57 4 4 3 4" xfId="6100"/>
    <cellStyle name="Normal 57 4 4 3 4 2" xfId="15184"/>
    <cellStyle name="Normal 57 4 4 3 5" xfId="10001"/>
    <cellStyle name="Normal 57 4 4 3 5 2" xfId="18828"/>
    <cellStyle name="Normal 57 4 4 3 6" xfId="11446"/>
    <cellStyle name="Normal 57 4 4 3 7" xfId="4578"/>
    <cellStyle name="Normal 57 4 4 4" xfId="1098"/>
    <cellStyle name="Normal 57 4 4 4 2" xfId="2818"/>
    <cellStyle name="Normal 57 4 4 4 2 2" xfId="16358"/>
    <cellStyle name="Normal 57 4 4 4 2 3" xfId="12780"/>
    <cellStyle name="Normal 57 4 4 4 2 4" xfId="7490"/>
    <cellStyle name="Normal 57 4 4 4 3" xfId="4086"/>
    <cellStyle name="Normal 57 4 4 4 3 2" xfId="17731"/>
    <cellStyle name="Normal 57 4 4 4 3 3" xfId="14152"/>
    <cellStyle name="Normal 57 4 4 4 3 4" xfId="8895"/>
    <cellStyle name="Normal 57 4 4 4 4" xfId="6606"/>
    <cellStyle name="Normal 57 4 4 4 4 2" xfId="15690"/>
    <cellStyle name="Normal 57 4 4 4 5" xfId="10349"/>
    <cellStyle name="Normal 57 4 4 4 5 2" xfId="19176"/>
    <cellStyle name="Normal 57 4 4 4 6" xfId="11795"/>
    <cellStyle name="Normal 57 4 4 4 7" xfId="5084"/>
    <cellStyle name="Normal 57 4 4 5" xfId="1407"/>
    <cellStyle name="Normal 57 4 4 5 2" xfId="3012"/>
    <cellStyle name="Normal 57 4 4 5 2 2" xfId="16561"/>
    <cellStyle name="Normal 57 4 4 5 2 3" xfId="12982"/>
    <cellStyle name="Normal 57 4 4 5 2 4" xfId="7693"/>
    <cellStyle name="Normal 57 4 4 5 3" xfId="4220"/>
    <cellStyle name="Normal 57 4 4 5 3 2" xfId="17925"/>
    <cellStyle name="Normal 57 4 4 5 3 3" xfId="14346"/>
    <cellStyle name="Normal 57 4 4 5 3 4" xfId="9089"/>
    <cellStyle name="Normal 57 4 4 5 4" xfId="5986"/>
    <cellStyle name="Normal 57 4 4 5 4 2" xfId="15072"/>
    <cellStyle name="Normal 57 4 4 5 5" xfId="10543"/>
    <cellStyle name="Normal 57 4 4 5 5 2" xfId="19370"/>
    <cellStyle name="Normal 57 4 4 5 6" xfId="11989"/>
    <cellStyle name="Normal 57 4 4 5 7" xfId="5287"/>
    <cellStyle name="Normal 57 4 4 6" xfId="1969"/>
    <cellStyle name="Normal 57 4 4 6 2" xfId="15915"/>
    <cellStyle name="Normal 57 4 4 6 3" xfId="12363"/>
    <cellStyle name="Normal 57 4 4 6 4" xfId="6872"/>
    <cellStyle name="Normal 57 4 4 7" xfId="3383"/>
    <cellStyle name="Normal 57 4 4 7 2" xfId="16882"/>
    <cellStyle name="Normal 57 4 4 7 3" xfId="13303"/>
    <cellStyle name="Normal 57 4 4 7 4" xfId="8046"/>
    <cellStyle name="Normal 57 4 4 8" xfId="5607"/>
    <cellStyle name="Normal 57 4 4 8 2" xfId="14693"/>
    <cellStyle name="Normal 57 4 4 9" xfId="9500"/>
    <cellStyle name="Normal 57 4 4 9 2" xfId="18327"/>
    <cellStyle name="Normal 57 4 4_Degree data" xfId="1715"/>
    <cellStyle name="Normal 57 4 5" xfId="301"/>
    <cellStyle name="Normal 57 4 5 2" xfId="743"/>
    <cellStyle name="Normal 57 4 5 2 2" xfId="2472"/>
    <cellStyle name="Normal 57 4 5 2 2 2" xfId="16360"/>
    <cellStyle name="Normal 57 4 5 2 2 3" xfId="12782"/>
    <cellStyle name="Normal 57 4 5 2 2 4" xfId="7492"/>
    <cellStyle name="Normal 57 4 5 2 3" xfId="3739"/>
    <cellStyle name="Normal 57 4 5 2 3 2" xfId="17385"/>
    <cellStyle name="Normal 57 4 5 2 3 3" xfId="13806"/>
    <cellStyle name="Normal 57 4 5 2 3 4" xfId="8549"/>
    <cellStyle name="Normal 57 4 5 2 4" xfId="6608"/>
    <cellStyle name="Normal 57 4 5 2 4 2" xfId="15692"/>
    <cellStyle name="Normal 57 4 5 2 5" xfId="10003"/>
    <cellStyle name="Normal 57 4 5 2 5 2" xfId="18830"/>
    <cellStyle name="Normal 57 4 5 2 6" xfId="11448"/>
    <cellStyle name="Normal 57 4 5 2 7" xfId="5086"/>
    <cellStyle name="Normal 57 4 5 3" xfId="1100"/>
    <cellStyle name="Normal 57 4 5 3 2" xfId="2820"/>
    <cellStyle name="Normal 57 4 5 3 2 2" xfId="16661"/>
    <cellStyle name="Normal 57 4 5 3 2 3" xfId="13082"/>
    <cellStyle name="Normal 57 4 5 3 2 4" xfId="7793"/>
    <cellStyle name="Normal 57 4 5 3 3" xfId="4088"/>
    <cellStyle name="Normal 57 4 5 3 3 2" xfId="17733"/>
    <cellStyle name="Normal 57 4 5 3 3 3" xfId="14154"/>
    <cellStyle name="Normal 57 4 5 3 3 4" xfId="8897"/>
    <cellStyle name="Normal 57 4 5 3 4" xfId="6200"/>
    <cellStyle name="Normal 57 4 5 3 4 2" xfId="15284"/>
    <cellStyle name="Normal 57 4 5 3 5" xfId="10351"/>
    <cellStyle name="Normal 57 4 5 3 5 2" xfId="19178"/>
    <cellStyle name="Normal 57 4 5 3 6" xfId="11797"/>
    <cellStyle name="Normal 57 4 5 3 7" xfId="5387"/>
    <cellStyle name="Normal 57 4 5 4" xfId="1513"/>
    <cellStyle name="Normal 57 4 5 4 2" xfId="3112"/>
    <cellStyle name="Normal 57 4 5 4 2 2" xfId="18025"/>
    <cellStyle name="Normal 57 4 5 4 2 3" xfId="14446"/>
    <cellStyle name="Normal 57 4 5 4 2 4" xfId="9189"/>
    <cellStyle name="Normal 57 4 5 4 3" xfId="10643"/>
    <cellStyle name="Normal 57 4 5 4 3 2" xfId="19470"/>
    <cellStyle name="Normal 57 4 5 4 4" xfId="12089"/>
    <cellStyle name="Normal 57 4 5 4 5" xfId="7084"/>
    <cellStyle name="Normal 57 4 5 5" xfId="2069"/>
    <cellStyle name="Normal 57 4 5 5 2" xfId="16982"/>
    <cellStyle name="Normal 57 4 5 5 3" xfId="13403"/>
    <cellStyle name="Normal 57 4 5 5 4" xfId="8146"/>
    <cellStyle name="Normal 57 4 5 6" xfId="5707"/>
    <cellStyle name="Normal 57 4 5 6 2" xfId="14793"/>
    <cellStyle name="Normal 57 4 5 7" xfId="9600"/>
    <cellStyle name="Normal 57 4 5 7 2" xfId="18427"/>
    <cellStyle name="Normal 57 4 5 8" xfId="11044"/>
    <cellStyle name="Normal 57 4 5 9" xfId="4678"/>
    <cellStyle name="Normal 57 4 5_Degree data" xfId="1717"/>
    <cellStyle name="Normal 57 4 6" xfId="482"/>
    <cellStyle name="Normal 57 4 6 2" xfId="744"/>
    <cellStyle name="Normal 57 4 6 2 2" xfId="2473"/>
    <cellStyle name="Normal 57 4 6 2 2 2" xfId="16361"/>
    <cellStyle name="Normal 57 4 6 2 2 3" xfId="12783"/>
    <cellStyle name="Normal 57 4 6 2 2 4" xfId="7493"/>
    <cellStyle name="Normal 57 4 6 2 3" xfId="3740"/>
    <cellStyle name="Normal 57 4 6 2 3 2" xfId="17386"/>
    <cellStyle name="Normal 57 4 6 2 3 3" xfId="13807"/>
    <cellStyle name="Normal 57 4 6 2 3 4" xfId="8550"/>
    <cellStyle name="Normal 57 4 6 2 4" xfId="6609"/>
    <cellStyle name="Normal 57 4 6 2 4 2" xfId="15693"/>
    <cellStyle name="Normal 57 4 6 2 5" xfId="10004"/>
    <cellStyle name="Normal 57 4 6 2 5 2" xfId="18831"/>
    <cellStyle name="Normal 57 4 6 2 6" xfId="11449"/>
    <cellStyle name="Normal 57 4 6 2 7" xfId="5087"/>
    <cellStyle name="Normal 57 4 6 3" xfId="1101"/>
    <cellStyle name="Normal 57 4 6 3 2" xfId="2821"/>
    <cellStyle name="Normal 57 4 6 3 2 2" xfId="16530"/>
    <cellStyle name="Normal 57 4 6 3 2 3" xfId="12952"/>
    <cellStyle name="Normal 57 4 6 3 2 4" xfId="7662"/>
    <cellStyle name="Normal 57 4 6 3 3" xfId="4089"/>
    <cellStyle name="Normal 57 4 6 3 3 2" xfId="17734"/>
    <cellStyle name="Normal 57 4 6 3 3 3" xfId="14155"/>
    <cellStyle name="Normal 57 4 6 3 3 4" xfId="8898"/>
    <cellStyle name="Normal 57 4 6 3 4" xfId="6748"/>
    <cellStyle name="Normal 57 4 6 3 4 2" xfId="15831"/>
    <cellStyle name="Normal 57 4 6 3 5" xfId="10352"/>
    <cellStyle name="Normal 57 4 6 3 5 2" xfId="19179"/>
    <cellStyle name="Normal 57 4 6 3 6" xfId="11798"/>
    <cellStyle name="Normal 57 4 6 3 7" xfId="5256"/>
    <cellStyle name="Normal 57 4 6 4" xfId="1370"/>
    <cellStyle name="Normal 57 4 6 4 2" xfId="2981"/>
    <cellStyle name="Normal 57 4 6 4 2 2" xfId="17894"/>
    <cellStyle name="Normal 57 4 6 4 2 3" xfId="14315"/>
    <cellStyle name="Normal 57 4 6 4 2 4" xfId="9058"/>
    <cellStyle name="Normal 57 4 6 4 3" xfId="10512"/>
    <cellStyle name="Normal 57 4 6 4 3 2" xfId="19339"/>
    <cellStyle name="Normal 57 4 6 4 4" xfId="11958"/>
    <cellStyle name="Normal 57 4 6 4 5" xfId="6953"/>
    <cellStyle name="Normal 57 4 6 5" xfId="1938"/>
    <cellStyle name="Normal 57 4 6 5 2" xfId="16849"/>
    <cellStyle name="Normal 57 4 6 5 3" xfId="13270"/>
    <cellStyle name="Normal 57 4 6 5 4" xfId="8013"/>
    <cellStyle name="Normal 57 4 6 6" xfId="6069"/>
    <cellStyle name="Normal 57 4 6 6 2" xfId="15153"/>
    <cellStyle name="Normal 57 4 6 7" xfId="9469"/>
    <cellStyle name="Normal 57 4 6 7 2" xfId="18296"/>
    <cellStyle name="Normal 57 4 6 8" xfId="10913"/>
    <cellStyle name="Normal 57 4 6 9" xfId="4547"/>
    <cellStyle name="Normal 57 4 6_Degree data" xfId="1718"/>
    <cellStyle name="Normal 57 4 7" xfId="734"/>
    <cellStyle name="Normal 57 4 7 2" xfId="2463"/>
    <cellStyle name="Normal 57 4 7 2 2" xfId="16351"/>
    <cellStyle name="Normal 57 4 7 2 3" xfId="12773"/>
    <cellStyle name="Normal 57 4 7 2 4" xfId="7483"/>
    <cellStyle name="Normal 57 4 7 3" xfId="3730"/>
    <cellStyle name="Normal 57 4 7 3 2" xfId="17376"/>
    <cellStyle name="Normal 57 4 7 3 3" xfId="13797"/>
    <cellStyle name="Normal 57 4 7 3 4" xfId="8540"/>
    <cellStyle name="Normal 57 4 7 4" xfId="6599"/>
    <cellStyle name="Normal 57 4 7 4 2" xfId="15683"/>
    <cellStyle name="Normal 57 4 7 5" xfId="9994"/>
    <cellStyle name="Normal 57 4 7 5 2" xfId="18821"/>
    <cellStyle name="Normal 57 4 7 6" xfId="11439"/>
    <cellStyle name="Normal 57 4 7 7" xfId="5077"/>
    <cellStyle name="Normal 57 4 8" xfId="1091"/>
    <cellStyle name="Normal 57 4 8 2" xfId="2811"/>
    <cellStyle name="Normal 57 4 8 2 2" xfId="16487"/>
    <cellStyle name="Normal 57 4 8 2 3" xfId="12909"/>
    <cellStyle name="Normal 57 4 8 2 4" xfId="7619"/>
    <cellStyle name="Normal 57 4 8 3" xfId="4079"/>
    <cellStyle name="Normal 57 4 8 3 2" xfId="17724"/>
    <cellStyle name="Normal 57 4 8 3 3" xfId="14145"/>
    <cellStyle name="Normal 57 4 8 3 4" xfId="8888"/>
    <cellStyle name="Normal 57 4 8 4" xfId="5880"/>
    <cellStyle name="Normal 57 4 8 4 2" xfId="14966"/>
    <cellStyle name="Normal 57 4 8 5" xfId="10342"/>
    <cellStyle name="Normal 57 4 8 5 2" xfId="19169"/>
    <cellStyle name="Normal 57 4 8 6" xfId="11788"/>
    <cellStyle name="Normal 57 4 8 7" xfId="5213"/>
    <cellStyle name="Normal 57 4 9" xfId="1299"/>
    <cellStyle name="Normal 57 4 9 2" xfId="2938"/>
    <cellStyle name="Normal 57 4 9 2 2" xfId="17851"/>
    <cellStyle name="Normal 57 4 9 2 3" xfId="14272"/>
    <cellStyle name="Normal 57 4 9 2 4" xfId="9015"/>
    <cellStyle name="Normal 57 4 9 3" xfId="10469"/>
    <cellStyle name="Normal 57 4 9 3 2" xfId="19296"/>
    <cellStyle name="Normal 57 4 9 4" xfId="11915"/>
    <cellStyle name="Normal 57 4 9 5" xfId="6766"/>
    <cellStyle name="Normal 57 4_Degree data" xfId="1708"/>
    <cellStyle name="Normal 57 5" xfId="160"/>
    <cellStyle name="Normal 57 5 10" xfId="1909"/>
    <cellStyle name="Normal 57 5 10 2" xfId="9440"/>
    <cellStyle name="Normal 57 5 10 2 2" xfId="18267"/>
    <cellStyle name="Normal 57 5 10 3" xfId="10884"/>
    <cellStyle name="Normal 57 5 10 4" xfId="7984"/>
    <cellStyle name="Normal 57 5 11" xfId="1879"/>
    <cellStyle name="Normal 57 5 11 2" xfId="14678"/>
    <cellStyle name="Normal 57 5 11 3" xfId="5592"/>
    <cellStyle name="Normal 57 5 12" xfId="9410"/>
    <cellStyle name="Normal 57 5 12 2" xfId="18237"/>
    <cellStyle name="Normal 57 5 13" xfId="10854"/>
    <cellStyle name="Normal 57 5 14" xfId="4358"/>
    <cellStyle name="Normal 57 5 2" xfId="235"/>
    <cellStyle name="Normal 57 5 2 10" xfId="9542"/>
    <cellStyle name="Normal 57 5 2 10 2" xfId="18369"/>
    <cellStyle name="Normal 57 5 2 11" xfId="10986"/>
    <cellStyle name="Normal 57 5 2 12" xfId="4403"/>
    <cellStyle name="Normal 57 5 2 2" xfId="448"/>
    <cellStyle name="Normal 57 5 2 2 10" xfId="4507"/>
    <cellStyle name="Normal 57 5 2 2 2" xfId="747"/>
    <cellStyle name="Normal 57 5 2 2 2 2" xfId="2476"/>
    <cellStyle name="Normal 57 5 2 2 2 2 2" xfId="16100"/>
    <cellStyle name="Normal 57 5 2 2 2 2 3" xfId="12522"/>
    <cellStyle name="Normal 57 5 2 2 2 2 4" xfId="7230"/>
    <cellStyle name="Normal 57 5 2 2 2 3" xfId="3743"/>
    <cellStyle name="Normal 57 5 2 2 2 3 2" xfId="17389"/>
    <cellStyle name="Normal 57 5 2 2 2 3 3" xfId="13810"/>
    <cellStyle name="Normal 57 5 2 2 2 3 4" xfId="8553"/>
    <cellStyle name="Normal 57 5 2 2 2 4" xfId="6346"/>
    <cellStyle name="Normal 57 5 2 2 2 4 2" xfId="15430"/>
    <cellStyle name="Normal 57 5 2 2 2 5" xfId="10007"/>
    <cellStyle name="Normal 57 5 2 2 2 5 2" xfId="18834"/>
    <cellStyle name="Normal 57 5 2 2 2 6" xfId="11452"/>
    <cellStyle name="Normal 57 5 2 2 2 7" xfId="4824"/>
    <cellStyle name="Normal 57 5 2 2 3" xfId="1104"/>
    <cellStyle name="Normal 57 5 2 2 3 2" xfId="2824"/>
    <cellStyle name="Normal 57 5 2 2 3 2 2" xfId="16364"/>
    <cellStyle name="Normal 57 5 2 2 3 2 3" xfId="12786"/>
    <cellStyle name="Normal 57 5 2 2 3 2 4" xfId="7496"/>
    <cellStyle name="Normal 57 5 2 2 3 3" xfId="4092"/>
    <cellStyle name="Normal 57 5 2 2 3 3 2" xfId="17737"/>
    <cellStyle name="Normal 57 5 2 2 3 3 3" xfId="14158"/>
    <cellStyle name="Normal 57 5 2 2 3 3 4" xfId="8901"/>
    <cellStyle name="Normal 57 5 2 2 3 4" xfId="6612"/>
    <cellStyle name="Normal 57 5 2 2 3 4 2" xfId="15696"/>
    <cellStyle name="Normal 57 5 2 2 3 5" xfId="10355"/>
    <cellStyle name="Normal 57 5 2 2 3 5 2" xfId="19182"/>
    <cellStyle name="Normal 57 5 2 2 3 6" xfId="11801"/>
    <cellStyle name="Normal 57 5 2 2 3 7" xfId="5090"/>
    <cellStyle name="Normal 57 5 2 2 4" xfId="1662"/>
    <cellStyle name="Normal 57 5 2 2 4 2" xfId="3258"/>
    <cellStyle name="Normal 57 5 2 2 4 2 2" xfId="16807"/>
    <cellStyle name="Normal 57 5 2 2 4 2 3" xfId="13228"/>
    <cellStyle name="Normal 57 5 2 2 4 2 4" xfId="7939"/>
    <cellStyle name="Normal 57 5 2 2 4 3" xfId="4322"/>
    <cellStyle name="Normal 57 5 2 2 4 3 2" xfId="18171"/>
    <cellStyle name="Normal 57 5 2 2 4 3 3" xfId="14592"/>
    <cellStyle name="Normal 57 5 2 2 4 3 4" xfId="9335"/>
    <cellStyle name="Normal 57 5 2 2 4 4" xfId="6027"/>
    <cellStyle name="Normal 57 5 2 2 4 4 2" xfId="15113"/>
    <cellStyle name="Normal 57 5 2 2 4 5" xfId="10789"/>
    <cellStyle name="Normal 57 5 2 2 4 5 2" xfId="19616"/>
    <cellStyle name="Normal 57 5 2 2 4 6" xfId="12235"/>
    <cellStyle name="Normal 57 5 2 2 4 7" xfId="5533"/>
    <cellStyle name="Normal 57 5 2 2 5" xfId="2215"/>
    <cellStyle name="Normal 57 5 2 2 5 2" xfId="15956"/>
    <cellStyle name="Normal 57 5 2 2 5 3" xfId="12462"/>
    <cellStyle name="Normal 57 5 2 2 5 4" xfId="6913"/>
    <cellStyle name="Normal 57 5 2 2 6" xfId="3484"/>
    <cellStyle name="Normal 57 5 2 2 6 2" xfId="17128"/>
    <cellStyle name="Normal 57 5 2 2 6 3" xfId="13549"/>
    <cellStyle name="Normal 57 5 2 2 6 4" xfId="8292"/>
    <cellStyle name="Normal 57 5 2 2 7" xfId="5853"/>
    <cellStyle name="Normal 57 5 2 2 7 2" xfId="14939"/>
    <cellStyle name="Normal 57 5 2 2 8" xfId="9746"/>
    <cellStyle name="Normal 57 5 2 2 8 2" xfId="18573"/>
    <cellStyle name="Normal 57 5 2 2 9" xfId="11190"/>
    <cellStyle name="Normal 57 5 2 2_Degree data" xfId="1721"/>
    <cellStyle name="Normal 57 5 2 3" xfId="343"/>
    <cellStyle name="Normal 57 5 2 3 2" xfId="748"/>
    <cellStyle name="Normal 57 5 2 3 2 2" xfId="2477"/>
    <cellStyle name="Normal 57 5 2 3 2 2 2" xfId="16365"/>
    <cellStyle name="Normal 57 5 2 3 2 2 3" xfId="12787"/>
    <cellStyle name="Normal 57 5 2 3 2 2 4" xfId="7497"/>
    <cellStyle name="Normal 57 5 2 3 2 3" xfId="3744"/>
    <cellStyle name="Normal 57 5 2 3 2 3 2" xfId="17390"/>
    <cellStyle name="Normal 57 5 2 3 2 3 3" xfId="13811"/>
    <cellStyle name="Normal 57 5 2 3 2 3 4" xfId="8554"/>
    <cellStyle name="Normal 57 5 2 3 2 4" xfId="6613"/>
    <cellStyle name="Normal 57 5 2 3 2 4 2" xfId="15697"/>
    <cellStyle name="Normal 57 5 2 3 2 5" xfId="10008"/>
    <cellStyle name="Normal 57 5 2 3 2 5 2" xfId="18835"/>
    <cellStyle name="Normal 57 5 2 3 2 6" xfId="11453"/>
    <cellStyle name="Normal 57 5 2 3 2 7" xfId="5091"/>
    <cellStyle name="Normal 57 5 2 3 3" xfId="1105"/>
    <cellStyle name="Normal 57 5 2 3 3 2" xfId="2825"/>
    <cellStyle name="Normal 57 5 2 3 3 2 2" xfId="16703"/>
    <cellStyle name="Normal 57 5 2 3 3 2 3" xfId="13124"/>
    <cellStyle name="Normal 57 5 2 3 3 2 4" xfId="7835"/>
    <cellStyle name="Normal 57 5 2 3 3 3" xfId="4093"/>
    <cellStyle name="Normal 57 5 2 3 3 3 2" xfId="17738"/>
    <cellStyle name="Normal 57 5 2 3 3 3 3" xfId="14159"/>
    <cellStyle name="Normal 57 5 2 3 3 3 4" xfId="8902"/>
    <cellStyle name="Normal 57 5 2 3 3 4" xfId="6242"/>
    <cellStyle name="Normal 57 5 2 3 3 4 2" xfId="15326"/>
    <cellStyle name="Normal 57 5 2 3 3 5" xfId="10356"/>
    <cellStyle name="Normal 57 5 2 3 3 5 2" xfId="19183"/>
    <cellStyle name="Normal 57 5 2 3 3 6" xfId="11802"/>
    <cellStyle name="Normal 57 5 2 3 3 7" xfId="5429"/>
    <cellStyle name="Normal 57 5 2 3 4" xfId="1555"/>
    <cellStyle name="Normal 57 5 2 3 4 2" xfId="3154"/>
    <cellStyle name="Normal 57 5 2 3 4 2 2" xfId="18067"/>
    <cellStyle name="Normal 57 5 2 3 4 2 3" xfId="14488"/>
    <cellStyle name="Normal 57 5 2 3 4 2 4" xfId="9231"/>
    <cellStyle name="Normal 57 5 2 3 4 3" xfId="10685"/>
    <cellStyle name="Normal 57 5 2 3 4 3 2" xfId="19512"/>
    <cellStyle name="Normal 57 5 2 3 4 4" xfId="12131"/>
    <cellStyle name="Normal 57 5 2 3 4 5" xfId="7126"/>
    <cellStyle name="Normal 57 5 2 3 5" xfId="2111"/>
    <cellStyle name="Normal 57 5 2 3 5 2" xfId="17024"/>
    <cellStyle name="Normal 57 5 2 3 5 3" xfId="13445"/>
    <cellStyle name="Normal 57 5 2 3 5 4" xfId="8188"/>
    <cellStyle name="Normal 57 5 2 3 6" xfId="5749"/>
    <cellStyle name="Normal 57 5 2 3 6 2" xfId="14835"/>
    <cellStyle name="Normal 57 5 2 3 7" xfId="9642"/>
    <cellStyle name="Normal 57 5 2 3 7 2" xfId="18469"/>
    <cellStyle name="Normal 57 5 2 3 8" xfId="11086"/>
    <cellStyle name="Normal 57 5 2 3 9" xfId="4720"/>
    <cellStyle name="Normal 57 5 2 3_Degree data" xfId="1722"/>
    <cellStyle name="Normal 57 5 2 4" xfId="746"/>
    <cellStyle name="Normal 57 5 2 4 2" xfId="2475"/>
    <cellStyle name="Normal 57 5 2 4 2 2" xfId="16040"/>
    <cellStyle name="Normal 57 5 2 4 2 3" xfId="12394"/>
    <cellStyle name="Normal 57 5 2 4 2 4" xfId="7026"/>
    <cellStyle name="Normal 57 5 2 4 3" xfId="3742"/>
    <cellStyle name="Normal 57 5 2 4 3 2" xfId="17388"/>
    <cellStyle name="Normal 57 5 2 4 3 3" xfId="13809"/>
    <cellStyle name="Normal 57 5 2 4 3 4" xfId="8552"/>
    <cellStyle name="Normal 57 5 2 4 4" xfId="6142"/>
    <cellStyle name="Normal 57 5 2 4 4 2" xfId="15226"/>
    <cellStyle name="Normal 57 5 2 4 5" xfId="10006"/>
    <cellStyle name="Normal 57 5 2 4 5 2" xfId="18833"/>
    <cellStyle name="Normal 57 5 2 4 6" xfId="11451"/>
    <cellStyle name="Normal 57 5 2 4 7" xfId="4620"/>
    <cellStyle name="Normal 57 5 2 5" xfId="1103"/>
    <cellStyle name="Normal 57 5 2 5 2" xfId="2823"/>
    <cellStyle name="Normal 57 5 2 5 2 2" xfId="16363"/>
    <cellStyle name="Normal 57 5 2 5 2 3" xfId="12785"/>
    <cellStyle name="Normal 57 5 2 5 2 4" xfId="7495"/>
    <cellStyle name="Normal 57 5 2 5 3" xfId="4091"/>
    <cellStyle name="Normal 57 5 2 5 3 2" xfId="17736"/>
    <cellStyle name="Normal 57 5 2 5 3 3" xfId="14157"/>
    <cellStyle name="Normal 57 5 2 5 3 4" xfId="8900"/>
    <cellStyle name="Normal 57 5 2 5 4" xfId="6611"/>
    <cellStyle name="Normal 57 5 2 5 4 2" xfId="15695"/>
    <cellStyle name="Normal 57 5 2 5 5" xfId="10354"/>
    <cellStyle name="Normal 57 5 2 5 5 2" xfId="19181"/>
    <cellStyle name="Normal 57 5 2 5 6" xfId="11800"/>
    <cellStyle name="Normal 57 5 2 5 7" xfId="5089"/>
    <cellStyle name="Normal 57 5 2 6" xfId="1453"/>
    <cellStyle name="Normal 57 5 2 6 2" xfId="3054"/>
    <cellStyle name="Normal 57 5 2 6 2 2" xfId="16603"/>
    <cellStyle name="Normal 57 5 2 6 2 3" xfId="13024"/>
    <cellStyle name="Normal 57 5 2 6 2 4" xfId="7735"/>
    <cellStyle name="Normal 57 5 2 6 3" xfId="4262"/>
    <cellStyle name="Normal 57 5 2 6 3 2" xfId="17967"/>
    <cellStyle name="Normal 57 5 2 6 3 3" xfId="14388"/>
    <cellStyle name="Normal 57 5 2 6 3 4" xfId="9131"/>
    <cellStyle name="Normal 57 5 2 6 4" xfId="5923"/>
    <cellStyle name="Normal 57 5 2 6 4 2" xfId="15009"/>
    <cellStyle name="Normal 57 5 2 6 5" xfId="10585"/>
    <cellStyle name="Normal 57 5 2 6 5 2" xfId="19412"/>
    <cellStyle name="Normal 57 5 2 6 6" xfId="12031"/>
    <cellStyle name="Normal 57 5 2 6 7" xfId="5329"/>
    <cellStyle name="Normal 57 5 2 7" xfId="2011"/>
    <cellStyle name="Normal 57 5 2 7 2" xfId="15853"/>
    <cellStyle name="Normal 57 5 2 7 3" xfId="12306"/>
    <cellStyle name="Normal 57 5 2 7 4" xfId="6809"/>
    <cellStyle name="Normal 57 5 2 8" xfId="3424"/>
    <cellStyle name="Normal 57 5 2 8 2" xfId="16924"/>
    <cellStyle name="Normal 57 5 2 8 3" xfId="13345"/>
    <cellStyle name="Normal 57 5 2 8 4" xfId="8088"/>
    <cellStyle name="Normal 57 5 2 9" xfId="5649"/>
    <cellStyle name="Normal 57 5 2 9 2" xfId="14735"/>
    <cellStyle name="Normal 57 5 2_Degree data" xfId="1720"/>
    <cellStyle name="Normal 57 5 3" xfId="278"/>
    <cellStyle name="Normal 57 5 3 10" xfId="11029"/>
    <cellStyle name="Normal 57 5 3 11" xfId="4446"/>
    <cellStyle name="Normal 57 5 3 2" xfId="386"/>
    <cellStyle name="Normal 57 5 3 2 2" xfId="750"/>
    <cellStyle name="Normal 57 5 3 2 2 2" xfId="2479"/>
    <cellStyle name="Normal 57 5 3 2 2 2 2" xfId="16367"/>
    <cellStyle name="Normal 57 5 3 2 2 2 3" xfId="12789"/>
    <cellStyle name="Normal 57 5 3 2 2 2 4" xfId="7499"/>
    <cellStyle name="Normal 57 5 3 2 2 3" xfId="3746"/>
    <cellStyle name="Normal 57 5 3 2 2 3 2" xfId="17392"/>
    <cellStyle name="Normal 57 5 3 2 2 3 3" xfId="13813"/>
    <cellStyle name="Normal 57 5 3 2 2 3 4" xfId="8556"/>
    <cellStyle name="Normal 57 5 3 2 2 4" xfId="6615"/>
    <cellStyle name="Normal 57 5 3 2 2 4 2" xfId="15699"/>
    <cellStyle name="Normal 57 5 3 2 2 5" xfId="10010"/>
    <cellStyle name="Normal 57 5 3 2 2 5 2" xfId="18837"/>
    <cellStyle name="Normal 57 5 3 2 2 6" xfId="11455"/>
    <cellStyle name="Normal 57 5 3 2 2 7" xfId="5093"/>
    <cellStyle name="Normal 57 5 3 2 3" xfId="1107"/>
    <cellStyle name="Normal 57 5 3 2 3 2" xfId="2827"/>
    <cellStyle name="Normal 57 5 3 2 3 2 2" xfId="16746"/>
    <cellStyle name="Normal 57 5 3 2 3 2 3" xfId="13167"/>
    <cellStyle name="Normal 57 5 3 2 3 2 4" xfId="7878"/>
    <cellStyle name="Normal 57 5 3 2 3 3" xfId="4095"/>
    <cellStyle name="Normal 57 5 3 2 3 3 2" xfId="17740"/>
    <cellStyle name="Normal 57 5 3 2 3 3 3" xfId="14161"/>
    <cellStyle name="Normal 57 5 3 2 3 3 4" xfId="8904"/>
    <cellStyle name="Normal 57 5 3 2 3 4" xfId="6285"/>
    <cellStyle name="Normal 57 5 3 2 3 4 2" xfId="15369"/>
    <cellStyle name="Normal 57 5 3 2 3 5" xfId="10358"/>
    <cellStyle name="Normal 57 5 3 2 3 5 2" xfId="19185"/>
    <cellStyle name="Normal 57 5 3 2 3 6" xfId="11804"/>
    <cellStyle name="Normal 57 5 3 2 3 7" xfId="5472"/>
    <cellStyle name="Normal 57 5 3 2 4" xfId="1600"/>
    <cellStyle name="Normal 57 5 3 2 4 2" xfId="3197"/>
    <cellStyle name="Normal 57 5 3 2 4 2 2" xfId="18110"/>
    <cellStyle name="Normal 57 5 3 2 4 2 3" xfId="14531"/>
    <cellStyle name="Normal 57 5 3 2 4 2 4" xfId="9274"/>
    <cellStyle name="Normal 57 5 3 2 4 3" xfId="10728"/>
    <cellStyle name="Normal 57 5 3 2 4 3 2" xfId="19555"/>
    <cellStyle name="Normal 57 5 3 2 4 4" xfId="12174"/>
    <cellStyle name="Normal 57 5 3 2 4 5" xfId="7169"/>
    <cellStyle name="Normal 57 5 3 2 5" xfId="2154"/>
    <cellStyle name="Normal 57 5 3 2 5 2" xfId="17067"/>
    <cellStyle name="Normal 57 5 3 2 5 3" xfId="13488"/>
    <cellStyle name="Normal 57 5 3 2 5 4" xfId="8231"/>
    <cellStyle name="Normal 57 5 3 2 6" xfId="5792"/>
    <cellStyle name="Normal 57 5 3 2 6 2" xfId="14878"/>
    <cellStyle name="Normal 57 5 3 2 7" xfId="9685"/>
    <cellStyle name="Normal 57 5 3 2 7 2" xfId="18512"/>
    <cellStyle name="Normal 57 5 3 2 8" xfId="11129"/>
    <cellStyle name="Normal 57 5 3 2 9" xfId="4763"/>
    <cellStyle name="Normal 57 5 3 2_Degree data" xfId="1724"/>
    <cellStyle name="Normal 57 5 3 3" xfId="749"/>
    <cellStyle name="Normal 57 5 3 3 2" xfId="2478"/>
    <cellStyle name="Normal 57 5 3 3 2 2" xfId="16083"/>
    <cellStyle name="Normal 57 5 3 3 2 3" xfId="12383"/>
    <cellStyle name="Normal 57 5 3 3 2 4" xfId="7069"/>
    <cellStyle name="Normal 57 5 3 3 3" xfId="3745"/>
    <cellStyle name="Normal 57 5 3 3 3 2" xfId="17391"/>
    <cellStyle name="Normal 57 5 3 3 3 3" xfId="13812"/>
    <cellStyle name="Normal 57 5 3 3 3 4" xfId="8555"/>
    <cellStyle name="Normal 57 5 3 3 4" xfId="6185"/>
    <cellStyle name="Normal 57 5 3 3 4 2" xfId="15269"/>
    <cellStyle name="Normal 57 5 3 3 5" xfId="10009"/>
    <cellStyle name="Normal 57 5 3 3 5 2" xfId="18836"/>
    <cellStyle name="Normal 57 5 3 3 6" xfId="11454"/>
    <cellStyle name="Normal 57 5 3 3 7" xfId="4663"/>
    <cellStyle name="Normal 57 5 3 4" xfId="1106"/>
    <cellStyle name="Normal 57 5 3 4 2" xfId="2826"/>
    <cellStyle name="Normal 57 5 3 4 2 2" xfId="16366"/>
    <cellStyle name="Normal 57 5 3 4 2 3" xfId="12788"/>
    <cellStyle name="Normal 57 5 3 4 2 4" xfId="7498"/>
    <cellStyle name="Normal 57 5 3 4 3" xfId="4094"/>
    <cellStyle name="Normal 57 5 3 4 3 2" xfId="17739"/>
    <cellStyle name="Normal 57 5 3 4 3 3" xfId="14160"/>
    <cellStyle name="Normal 57 5 3 4 3 4" xfId="8903"/>
    <cellStyle name="Normal 57 5 3 4 4" xfId="6614"/>
    <cellStyle name="Normal 57 5 3 4 4 2" xfId="15698"/>
    <cellStyle name="Normal 57 5 3 4 5" xfId="10357"/>
    <cellStyle name="Normal 57 5 3 4 5 2" xfId="19184"/>
    <cellStyle name="Normal 57 5 3 4 6" xfId="11803"/>
    <cellStyle name="Normal 57 5 3 4 7" xfId="5092"/>
    <cellStyle name="Normal 57 5 3 5" xfId="1498"/>
    <cellStyle name="Normal 57 5 3 5 2" xfId="3097"/>
    <cellStyle name="Normal 57 5 3 5 2 2" xfId="16646"/>
    <cellStyle name="Normal 57 5 3 5 2 3" xfId="13067"/>
    <cellStyle name="Normal 57 5 3 5 2 4" xfId="7778"/>
    <cellStyle name="Normal 57 5 3 5 3" xfId="4305"/>
    <cellStyle name="Normal 57 5 3 5 3 2" xfId="18010"/>
    <cellStyle name="Normal 57 5 3 5 3 3" xfId="14431"/>
    <cellStyle name="Normal 57 5 3 5 3 4" xfId="9174"/>
    <cellStyle name="Normal 57 5 3 5 4" xfId="5966"/>
    <cellStyle name="Normal 57 5 3 5 4 2" xfId="15052"/>
    <cellStyle name="Normal 57 5 3 5 5" xfId="10628"/>
    <cellStyle name="Normal 57 5 3 5 5 2" xfId="19455"/>
    <cellStyle name="Normal 57 5 3 5 6" xfId="12074"/>
    <cellStyle name="Normal 57 5 3 5 7" xfId="5372"/>
    <cellStyle name="Normal 57 5 3 6" xfId="2054"/>
    <cellStyle name="Normal 57 5 3 6 2" xfId="15895"/>
    <cellStyle name="Normal 57 5 3 6 3" xfId="12256"/>
    <cellStyle name="Normal 57 5 3 6 4" xfId="6852"/>
    <cellStyle name="Normal 57 5 3 7" xfId="3467"/>
    <cellStyle name="Normal 57 5 3 7 2" xfId="16967"/>
    <cellStyle name="Normal 57 5 3 7 3" xfId="13388"/>
    <cellStyle name="Normal 57 5 3 7 4" xfId="8131"/>
    <cellStyle name="Normal 57 5 3 8" xfId="5692"/>
    <cellStyle name="Normal 57 5 3 8 2" xfId="14778"/>
    <cellStyle name="Normal 57 5 3 9" xfId="9585"/>
    <cellStyle name="Normal 57 5 3 9 2" xfId="18412"/>
    <cellStyle name="Normal 57 5 3_Degree data" xfId="1723"/>
    <cellStyle name="Normal 57 5 4" xfId="187"/>
    <cellStyle name="Normal 57 5 4 10" xfId="10941"/>
    <cellStyle name="Normal 57 5 4 11" xfId="4463"/>
    <cellStyle name="Normal 57 5 4 2" xfId="404"/>
    <cellStyle name="Normal 57 5 4 2 2" xfId="752"/>
    <cellStyle name="Normal 57 5 4 2 2 2" xfId="2481"/>
    <cellStyle name="Normal 57 5 4 2 2 2 2" xfId="16369"/>
    <cellStyle name="Normal 57 5 4 2 2 2 3" xfId="12791"/>
    <cellStyle name="Normal 57 5 4 2 2 2 4" xfId="7501"/>
    <cellStyle name="Normal 57 5 4 2 2 3" xfId="3748"/>
    <cellStyle name="Normal 57 5 4 2 2 3 2" xfId="17394"/>
    <cellStyle name="Normal 57 5 4 2 2 3 3" xfId="13815"/>
    <cellStyle name="Normal 57 5 4 2 2 3 4" xfId="8558"/>
    <cellStyle name="Normal 57 5 4 2 2 4" xfId="6617"/>
    <cellStyle name="Normal 57 5 4 2 2 4 2" xfId="15701"/>
    <cellStyle name="Normal 57 5 4 2 2 5" xfId="10012"/>
    <cellStyle name="Normal 57 5 4 2 2 5 2" xfId="18839"/>
    <cellStyle name="Normal 57 5 4 2 2 6" xfId="11457"/>
    <cellStyle name="Normal 57 5 4 2 2 7" xfId="5095"/>
    <cellStyle name="Normal 57 5 4 2 3" xfId="1109"/>
    <cellStyle name="Normal 57 5 4 2 3 2" xfId="2829"/>
    <cellStyle name="Normal 57 5 4 2 3 2 2" xfId="16763"/>
    <cellStyle name="Normal 57 5 4 2 3 2 3" xfId="13184"/>
    <cellStyle name="Normal 57 5 4 2 3 2 4" xfId="7895"/>
    <cellStyle name="Normal 57 5 4 2 3 3" xfId="4097"/>
    <cellStyle name="Normal 57 5 4 2 3 3 2" xfId="17742"/>
    <cellStyle name="Normal 57 5 4 2 3 3 3" xfId="14163"/>
    <cellStyle name="Normal 57 5 4 2 3 3 4" xfId="8906"/>
    <cellStyle name="Normal 57 5 4 2 3 4" xfId="6302"/>
    <cellStyle name="Normal 57 5 4 2 3 4 2" xfId="15386"/>
    <cellStyle name="Normal 57 5 4 2 3 5" xfId="10360"/>
    <cellStyle name="Normal 57 5 4 2 3 5 2" xfId="19187"/>
    <cellStyle name="Normal 57 5 4 2 3 6" xfId="11806"/>
    <cellStyle name="Normal 57 5 4 2 3 7" xfId="5489"/>
    <cellStyle name="Normal 57 5 4 2 4" xfId="1618"/>
    <cellStyle name="Normal 57 5 4 2 4 2" xfId="3214"/>
    <cellStyle name="Normal 57 5 4 2 4 2 2" xfId="18127"/>
    <cellStyle name="Normal 57 5 4 2 4 2 3" xfId="14548"/>
    <cellStyle name="Normal 57 5 4 2 4 2 4" xfId="9291"/>
    <cellStyle name="Normal 57 5 4 2 4 3" xfId="10745"/>
    <cellStyle name="Normal 57 5 4 2 4 3 2" xfId="19572"/>
    <cellStyle name="Normal 57 5 4 2 4 4" xfId="12191"/>
    <cellStyle name="Normal 57 5 4 2 4 5" xfId="7186"/>
    <cellStyle name="Normal 57 5 4 2 5" xfId="2171"/>
    <cellStyle name="Normal 57 5 4 2 5 2" xfId="17084"/>
    <cellStyle name="Normal 57 5 4 2 5 3" xfId="13505"/>
    <cellStyle name="Normal 57 5 4 2 5 4" xfId="8248"/>
    <cellStyle name="Normal 57 5 4 2 6" xfId="5809"/>
    <cellStyle name="Normal 57 5 4 2 6 2" xfId="14895"/>
    <cellStyle name="Normal 57 5 4 2 7" xfId="9702"/>
    <cellStyle name="Normal 57 5 4 2 7 2" xfId="18529"/>
    <cellStyle name="Normal 57 5 4 2 8" xfId="11146"/>
    <cellStyle name="Normal 57 5 4 2 9" xfId="4780"/>
    <cellStyle name="Normal 57 5 4 2_Degree data" xfId="1726"/>
    <cellStyle name="Normal 57 5 4 3" xfId="751"/>
    <cellStyle name="Normal 57 5 4 3 2" xfId="2480"/>
    <cellStyle name="Normal 57 5 4 3 2 2" xfId="15995"/>
    <cellStyle name="Normal 57 5 4 3 2 3" xfId="12475"/>
    <cellStyle name="Normal 57 5 4 3 2 4" xfId="6981"/>
    <cellStyle name="Normal 57 5 4 3 3" xfId="3747"/>
    <cellStyle name="Normal 57 5 4 3 3 2" xfId="17393"/>
    <cellStyle name="Normal 57 5 4 3 3 3" xfId="13814"/>
    <cellStyle name="Normal 57 5 4 3 3 4" xfId="8557"/>
    <cellStyle name="Normal 57 5 4 3 4" xfId="6097"/>
    <cellStyle name="Normal 57 5 4 3 4 2" xfId="15181"/>
    <cellStyle name="Normal 57 5 4 3 5" xfId="10011"/>
    <cellStyle name="Normal 57 5 4 3 5 2" xfId="18838"/>
    <cellStyle name="Normal 57 5 4 3 6" xfId="11456"/>
    <cellStyle name="Normal 57 5 4 3 7" xfId="4575"/>
    <cellStyle name="Normal 57 5 4 4" xfId="1108"/>
    <cellStyle name="Normal 57 5 4 4 2" xfId="2828"/>
    <cellStyle name="Normal 57 5 4 4 2 2" xfId="16368"/>
    <cellStyle name="Normal 57 5 4 4 2 3" xfId="12790"/>
    <cellStyle name="Normal 57 5 4 4 2 4" xfId="7500"/>
    <cellStyle name="Normal 57 5 4 4 3" xfId="4096"/>
    <cellStyle name="Normal 57 5 4 4 3 2" xfId="17741"/>
    <cellStyle name="Normal 57 5 4 4 3 3" xfId="14162"/>
    <cellStyle name="Normal 57 5 4 4 3 4" xfId="8905"/>
    <cellStyle name="Normal 57 5 4 4 4" xfId="6616"/>
    <cellStyle name="Normal 57 5 4 4 4 2" xfId="15700"/>
    <cellStyle name="Normal 57 5 4 4 5" xfId="10359"/>
    <cellStyle name="Normal 57 5 4 4 5 2" xfId="19186"/>
    <cellStyle name="Normal 57 5 4 4 6" xfId="11805"/>
    <cellStyle name="Normal 57 5 4 4 7" xfId="5094"/>
    <cellStyle name="Normal 57 5 4 5" xfId="1404"/>
    <cellStyle name="Normal 57 5 4 5 2" xfId="3009"/>
    <cellStyle name="Normal 57 5 4 5 2 2" xfId="16558"/>
    <cellStyle name="Normal 57 5 4 5 2 3" xfId="12979"/>
    <cellStyle name="Normal 57 5 4 5 2 4" xfId="7690"/>
    <cellStyle name="Normal 57 5 4 5 3" xfId="4217"/>
    <cellStyle name="Normal 57 5 4 5 3 2" xfId="17922"/>
    <cellStyle name="Normal 57 5 4 5 3 3" xfId="14343"/>
    <cellStyle name="Normal 57 5 4 5 3 4" xfId="9086"/>
    <cellStyle name="Normal 57 5 4 5 4" xfId="5983"/>
    <cellStyle name="Normal 57 5 4 5 4 2" xfId="15069"/>
    <cellStyle name="Normal 57 5 4 5 5" xfId="10540"/>
    <cellStyle name="Normal 57 5 4 5 5 2" xfId="19367"/>
    <cellStyle name="Normal 57 5 4 5 6" xfId="11986"/>
    <cellStyle name="Normal 57 5 4 5 7" xfId="5284"/>
    <cellStyle name="Normal 57 5 4 6" xfId="1966"/>
    <cellStyle name="Normal 57 5 4 6 2" xfId="15912"/>
    <cellStyle name="Normal 57 5 4 6 3" xfId="12362"/>
    <cellStyle name="Normal 57 5 4 6 4" xfId="6869"/>
    <cellStyle name="Normal 57 5 4 7" xfId="3380"/>
    <cellStyle name="Normal 57 5 4 7 2" xfId="16879"/>
    <cellStyle name="Normal 57 5 4 7 3" xfId="13300"/>
    <cellStyle name="Normal 57 5 4 7 4" xfId="8043"/>
    <cellStyle name="Normal 57 5 4 8" xfId="5604"/>
    <cellStyle name="Normal 57 5 4 8 2" xfId="14690"/>
    <cellStyle name="Normal 57 5 4 9" xfId="9497"/>
    <cellStyle name="Normal 57 5 4 9 2" xfId="18324"/>
    <cellStyle name="Normal 57 5 4_Degree data" xfId="1725"/>
    <cellStyle name="Normal 57 5 5" xfId="298"/>
    <cellStyle name="Normal 57 5 5 2" xfId="753"/>
    <cellStyle name="Normal 57 5 5 2 2" xfId="2482"/>
    <cellStyle name="Normal 57 5 5 2 2 2" xfId="16370"/>
    <cellStyle name="Normal 57 5 5 2 2 3" xfId="12792"/>
    <cellStyle name="Normal 57 5 5 2 2 4" xfId="7502"/>
    <cellStyle name="Normal 57 5 5 2 3" xfId="3749"/>
    <cellStyle name="Normal 57 5 5 2 3 2" xfId="17395"/>
    <cellStyle name="Normal 57 5 5 2 3 3" xfId="13816"/>
    <cellStyle name="Normal 57 5 5 2 3 4" xfId="8559"/>
    <cellStyle name="Normal 57 5 5 2 4" xfId="6618"/>
    <cellStyle name="Normal 57 5 5 2 4 2" xfId="15702"/>
    <cellStyle name="Normal 57 5 5 2 5" xfId="10013"/>
    <cellStyle name="Normal 57 5 5 2 5 2" xfId="18840"/>
    <cellStyle name="Normal 57 5 5 2 6" xfId="11458"/>
    <cellStyle name="Normal 57 5 5 2 7" xfId="5096"/>
    <cellStyle name="Normal 57 5 5 3" xfId="1110"/>
    <cellStyle name="Normal 57 5 5 3 2" xfId="2830"/>
    <cellStyle name="Normal 57 5 5 3 2 2" xfId="16658"/>
    <cellStyle name="Normal 57 5 5 3 2 3" xfId="13079"/>
    <cellStyle name="Normal 57 5 5 3 2 4" xfId="7790"/>
    <cellStyle name="Normal 57 5 5 3 3" xfId="4098"/>
    <cellStyle name="Normal 57 5 5 3 3 2" xfId="17743"/>
    <cellStyle name="Normal 57 5 5 3 3 3" xfId="14164"/>
    <cellStyle name="Normal 57 5 5 3 3 4" xfId="8907"/>
    <cellStyle name="Normal 57 5 5 3 4" xfId="6197"/>
    <cellStyle name="Normal 57 5 5 3 4 2" xfId="15281"/>
    <cellStyle name="Normal 57 5 5 3 5" xfId="10361"/>
    <cellStyle name="Normal 57 5 5 3 5 2" xfId="19188"/>
    <cellStyle name="Normal 57 5 5 3 6" xfId="11807"/>
    <cellStyle name="Normal 57 5 5 3 7" xfId="5384"/>
    <cellStyle name="Normal 57 5 5 4" xfId="1510"/>
    <cellStyle name="Normal 57 5 5 4 2" xfId="3109"/>
    <cellStyle name="Normal 57 5 5 4 2 2" xfId="18022"/>
    <cellStyle name="Normal 57 5 5 4 2 3" xfId="14443"/>
    <cellStyle name="Normal 57 5 5 4 2 4" xfId="9186"/>
    <cellStyle name="Normal 57 5 5 4 3" xfId="10640"/>
    <cellStyle name="Normal 57 5 5 4 3 2" xfId="19467"/>
    <cellStyle name="Normal 57 5 5 4 4" xfId="12086"/>
    <cellStyle name="Normal 57 5 5 4 5" xfId="7081"/>
    <cellStyle name="Normal 57 5 5 5" xfId="2066"/>
    <cellStyle name="Normal 57 5 5 5 2" xfId="16979"/>
    <cellStyle name="Normal 57 5 5 5 3" xfId="13400"/>
    <cellStyle name="Normal 57 5 5 5 4" xfId="8143"/>
    <cellStyle name="Normal 57 5 5 6" xfId="5704"/>
    <cellStyle name="Normal 57 5 5 6 2" xfId="14790"/>
    <cellStyle name="Normal 57 5 5 7" xfId="9597"/>
    <cellStyle name="Normal 57 5 5 7 2" xfId="18424"/>
    <cellStyle name="Normal 57 5 5 8" xfId="11041"/>
    <cellStyle name="Normal 57 5 5 9" xfId="4675"/>
    <cellStyle name="Normal 57 5 5_Degree data" xfId="1727"/>
    <cellStyle name="Normal 57 5 6" xfId="492"/>
    <cellStyle name="Normal 57 5 6 2" xfId="754"/>
    <cellStyle name="Normal 57 5 6 2 2" xfId="2483"/>
    <cellStyle name="Normal 57 5 6 2 2 2" xfId="16371"/>
    <cellStyle name="Normal 57 5 6 2 2 3" xfId="12793"/>
    <cellStyle name="Normal 57 5 6 2 2 4" xfId="7503"/>
    <cellStyle name="Normal 57 5 6 2 3" xfId="3750"/>
    <cellStyle name="Normal 57 5 6 2 3 2" xfId="17396"/>
    <cellStyle name="Normal 57 5 6 2 3 3" xfId="13817"/>
    <cellStyle name="Normal 57 5 6 2 3 4" xfId="8560"/>
    <cellStyle name="Normal 57 5 6 2 4" xfId="6619"/>
    <cellStyle name="Normal 57 5 6 2 4 2" xfId="15703"/>
    <cellStyle name="Normal 57 5 6 2 5" xfId="10014"/>
    <cellStyle name="Normal 57 5 6 2 5 2" xfId="18841"/>
    <cellStyle name="Normal 57 5 6 2 6" xfId="11459"/>
    <cellStyle name="Normal 57 5 6 2 7" xfId="5097"/>
    <cellStyle name="Normal 57 5 6 3" xfId="1111"/>
    <cellStyle name="Normal 57 5 6 3 2" xfId="2831"/>
    <cellStyle name="Normal 57 5 6 3 2 2" xfId="16546"/>
    <cellStyle name="Normal 57 5 6 3 2 3" xfId="12967"/>
    <cellStyle name="Normal 57 5 6 3 2 4" xfId="7678"/>
    <cellStyle name="Normal 57 5 6 3 3" xfId="4099"/>
    <cellStyle name="Normal 57 5 6 3 3 2" xfId="17744"/>
    <cellStyle name="Normal 57 5 6 3 3 3" xfId="14165"/>
    <cellStyle name="Normal 57 5 6 3 3 4" xfId="8908"/>
    <cellStyle name="Normal 57 5 6 3 4" xfId="6749"/>
    <cellStyle name="Normal 57 5 6 3 4 2" xfId="15832"/>
    <cellStyle name="Normal 57 5 6 3 5" xfId="10362"/>
    <cellStyle name="Normal 57 5 6 3 5 2" xfId="19189"/>
    <cellStyle name="Normal 57 5 6 3 6" xfId="11808"/>
    <cellStyle name="Normal 57 5 6 3 7" xfId="5272"/>
    <cellStyle name="Normal 57 5 6 4" xfId="1388"/>
    <cellStyle name="Normal 57 5 6 4 2" xfId="2997"/>
    <cellStyle name="Normal 57 5 6 4 2 2" xfId="17910"/>
    <cellStyle name="Normal 57 5 6 4 2 3" xfId="14331"/>
    <cellStyle name="Normal 57 5 6 4 2 4" xfId="9074"/>
    <cellStyle name="Normal 57 5 6 4 3" xfId="10528"/>
    <cellStyle name="Normal 57 5 6 4 3 2" xfId="19355"/>
    <cellStyle name="Normal 57 5 6 4 4" xfId="11974"/>
    <cellStyle name="Normal 57 5 6 4 5" xfId="6969"/>
    <cellStyle name="Normal 57 5 6 5" xfId="1954"/>
    <cellStyle name="Normal 57 5 6 5 2" xfId="16865"/>
    <cellStyle name="Normal 57 5 6 5 3" xfId="13286"/>
    <cellStyle name="Normal 57 5 6 5 4" xfId="8029"/>
    <cellStyle name="Normal 57 5 6 6" xfId="6085"/>
    <cellStyle name="Normal 57 5 6 6 2" xfId="15169"/>
    <cellStyle name="Normal 57 5 6 7" xfId="9485"/>
    <cellStyle name="Normal 57 5 6 7 2" xfId="18312"/>
    <cellStyle name="Normal 57 5 6 8" xfId="10929"/>
    <cellStyle name="Normal 57 5 6 9" xfId="4563"/>
    <cellStyle name="Normal 57 5 6_Degree data" xfId="1728"/>
    <cellStyle name="Normal 57 5 7" xfId="745"/>
    <cellStyle name="Normal 57 5 7 2" xfId="2474"/>
    <cellStyle name="Normal 57 5 7 2 2" xfId="16362"/>
    <cellStyle name="Normal 57 5 7 2 3" xfId="12784"/>
    <cellStyle name="Normal 57 5 7 2 4" xfId="7494"/>
    <cellStyle name="Normal 57 5 7 3" xfId="3741"/>
    <cellStyle name="Normal 57 5 7 3 2" xfId="17387"/>
    <cellStyle name="Normal 57 5 7 3 3" xfId="13808"/>
    <cellStyle name="Normal 57 5 7 3 4" xfId="8551"/>
    <cellStyle name="Normal 57 5 7 4" xfId="6610"/>
    <cellStyle name="Normal 57 5 7 4 2" xfId="15694"/>
    <cellStyle name="Normal 57 5 7 5" xfId="10005"/>
    <cellStyle name="Normal 57 5 7 5 2" xfId="18832"/>
    <cellStyle name="Normal 57 5 7 6" xfId="11450"/>
    <cellStyle name="Normal 57 5 7 7" xfId="5088"/>
    <cellStyle name="Normal 57 5 8" xfId="1102"/>
    <cellStyle name="Normal 57 5 8 2" xfId="2822"/>
    <cellStyle name="Normal 57 5 8 2 2" xfId="16501"/>
    <cellStyle name="Normal 57 5 8 2 3" xfId="12923"/>
    <cellStyle name="Normal 57 5 8 2 4" xfId="7633"/>
    <cellStyle name="Normal 57 5 8 3" xfId="4090"/>
    <cellStyle name="Normal 57 5 8 3 2" xfId="17735"/>
    <cellStyle name="Normal 57 5 8 3 3" xfId="14156"/>
    <cellStyle name="Normal 57 5 8 3 4" xfId="8899"/>
    <cellStyle name="Normal 57 5 8 4" xfId="5877"/>
    <cellStyle name="Normal 57 5 8 4 2" xfId="14963"/>
    <cellStyle name="Normal 57 5 8 5" xfId="10353"/>
    <cellStyle name="Normal 57 5 8 5 2" xfId="19180"/>
    <cellStyle name="Normal 57 5 8 6" xfId="11799"/>
    <cellStyle name="Normal 57 5 8 7" xfId="5227"/>
    <cellStyle name="Normal 57 5 9" xfId="1339"/>
    <cellStyle name="Normal 57 5 9 2" xfId="2952"/>
    <cellStyle name="Normal 57 5 9 2 2" xfId="17865"/>
    <cellStyle name="Normal 57 5 9 2 3" xfId="14286"/>
    <cellStyle name="Normal 57 5 9 2 4" xfId="9029"/>
    <cellStyle name="Normal 57 5 9 3" xfId="10483"/>
    <cellStyle name="Normal 57 5 9 3 2" xfId="19310"/>
    <cellStyle name="Normal 57 5 9 4" xfId="11929"/>
    <cellStyle name="Normal 57 5 9 5" xfId="6763"/>
    <cellStyle name="Normal 57 5_Degree data" xfId="1719"/>
    <cellStyle name="Normal 57 6" xfId="142"/>
    <cellStyle name="Normal 57 6 10" xfId="5566"/>
    <cellStyle name="Normal 57 6 10 2" xfId="14652"/>
    <cellStyle name="Normal 57 6 11" xfId="9386"/>
    <cellStyle name="Normal 57 6 11 2" xfId="18213"/>
    <cellStyle name="Normal 57 6 12" xfId="10826"/>
    <cellStyle name="Normal 57 6 13" xfId="4376"/>
    <cellStyle name="Normal 57 6 2" xfId="254"/>
    <cellStyle name="Normal 57 6 2 10" xfId="11005"/>
    <cellStyle name="Normal 57 6 2 11" xfId="4422"/>
    <cellStyle name="Normal 57 6 2 2" xfId="362"/>
    <cellStyle name="Normal 57 6 2 2 2" xfId="757"/>
    <cellStyle name="Normal 57 6 2 2 2 2" xfId="2486"/>
    <cellStyle name="Normal 57 6 2 2 2 2 2" xfId="16374"/>
    <cellStyle name="Normal 57 6 2 2 2 2 3" xfId="12796"/>
    <cellStyle name="Normal 57 6 2 2 2 2 4" xfId="7506"/>
    <cellStyle name="Normal 57 6 2 2 2 3" xfId="3753"/>
    <cellStyle name="Normal 57 6 2 2 2 3 2" xfId="17399"/>
    <cellStyle name="Normal 57 6 2 2 2 3 3" xfId="13820"/>
    <cellStyle name="Normal 57 6 2 2 2 3 4" xfId="8563"/>
    <cellStyle name="Normal 57 6 2 2 2 4" xfId="6622"/>
    <cellStyle name="Normal 57 6 2 2 2 4 2" xfId="15706"/>
    <cellStyle name="Normal 57 6 2 2 2 5" xfId="10017"/>
    <cellStyle name="Normal 57 6 2 2 2 5 2" xfId="18844"/>
    <cellStyle name="Normal 57 6 2 2 2 6" xfId="11462"/>
    <cellStyle name="Normal 57 6 2 2 2 7" xfId="5100"/>
    <cellStyle name="Normal 57 6 2 2 3" xfId="1114"/>
    <cellStyle name="Normal 57 6 2 2 3 2" xfId="2834"/>
    <cellStyle name="Normal 57 6 2 2 3 2 2" xfId="16722"/>
    <cellStyle name="Normal 57 6 2 2 3 2 3" xfId="13143"/>
    <cellStyle name="Normal 57 6 2 2 3 2 4" xfId="7854"/>
    <cellStyle name="Normal 57 6 2 2 3 3" xfId="4102"/>
    <cellStyle name="Normal 57 6 2 2 3 3 2" xfId="17747"/>
    <cellStyle name="Normal 57 6 2 2 3 3 3" xfId="14168"/>
    <cellStyle name="Normal 57 6 2 2 3 3 4" xfId="8911"/>
    <cellStyle name="Normal 57 6 2 2 3 4" xfId="6261"/>
    <cellStyle name="Normal 57 6 2 2 3 4 2" xfId="15345"/>
    <cellStyle name="Normal 57 6 2 2 3 5" xfId="10365"/>
    <cellStyle name="Normal 57 6 2 2 3 5 2" xfId="19192"/>
    <cellStyle name="Normal 57 6 2 2 3 6" xfId="11811"/>
    <cellStyle name="Normal 57 6 2 2 3 7" xfId="5448"/>
    <cellStyle name="Normal 57 6 2 2 4" xfId="1575"/>
    <cellStyle name="Normal 57 6 2 2 4 2" xfId="3173"/>
    <cellStyle name="Normal 57 6 2 2 4 2 2" xfId="18086"/>
    <cellStyle name="Normal 57 6 2 2 4 2 3" xfId="14507"/>
    <cellStyle name="Normal 57 6 2 2 4 2 4" xfId="9250"/>
    <cellStyle name="Normal 57 6 2 2 4 3" xfId="10704"/>
    <cellStyle name="Normal 57 6 2 2 4 3 2" xfId="19531"/>
    <cellStyle name="Normal 57 6 2 2 4 4" xfId="12150"/>
    <cellStyle name="Normal 57 6 2 2 4 5" xfId="7145"/>
    <cellStyle name="Normal 57 6 2 2 5" xfId="2130"/>
    <cellStyle name="Normal 57 6 2 2 5 2" xfId="17043"/>
    <cellStyle name="Normal 57 6 2 2 5 3" xfId="13464"/>
    <cellStyle name="Normal 57 6 2 2 5 4" xfId="8207"/>
    <cellStyle name="Normal 57 6 2 2 6" xfId="5768"/>
    <cellStyle name="Normal 57 6 2 2 6 2" xfId="14854"/>
    <cellStyle name="Normal 57 6 2 2 7" xfId="9661"/>
    <cellStyle name="Normal 57 6 2 2 7 2" xfId="18488"/>
    <cellStyle name="Normal 57 6 2 2 8" xfId="11105"/>
    <cellStyle name="Normal 57 6 2 2 9" xfId="4739"/>
    <cellStyle name="Normal 57 6 2 2_Degree data" xfId="1731"/>
    <cellStyle name="Normal 57 6 2 3" xfId="756"/>
    <cellStyle name="Normal 57 6 2 3 2" xfId="2485"/>
    <cellStyle name="Normal 57 6 2 3 2 2" xfId="16059"/>
    <cellStyle name="Normal 57 6 2 3 2 3" xfId="12388"/>
    <cellStyle name="Normal 57 6 2 3 2 4" xfId="7045"/>
    <cellStyle name="Normal 57 6 2 3 3" xfId="3752"/>
    <cellStyle name="Normal 57 6 2 3 3 2" xfId="17398"/>
    <cellStyle name="Normal 57 6 2 3 3 3" xfId="13819"/>
    <cellStyle name="Normal 57 6 2 3 3 4" xfId="8562"/>
    <cellStyle name="Normal 57 6 2 3 4" xfId="6161"/>
    <cellStyle name="Normal 57 6 2 3 4 2" xfId="15245"/>
    <cellStyle name="Normal 57 6 2 3 5" xfId="10016"/>
    <cellStyle name="Normal 57 6 2 3 5 2" xfId="18843"/>
    <cellStyle name="Normal 57 6 2 3 6" xfId="11461"/>
    <cellStyle name="Normal 57 6 2 3 7" xfId="4639"/>
    <cellStyle name="Normal 57 6 2 4" xfId="1113"/>
    <cellStyle name="Normal 57 6 2 4 2" xfId="2833"/>
    <cellStyle name="Normal 57 6 2 4 2 2" xfId="16373"/>
    <cellStyle name="Normal 57 6 2 4 2 3" xfId="12795"/>
    <cellStyle name="Normal 57 6 2 4 2 4" xfId="7505"/>
    <cellStyle name="Normal 57 6 2 4 3" xfId="4101"/>
    <cellStyle name="Normal 57 6 2 4 3 2" xfId="17746"/>
    <cellStyle name="Normal 57 6 2 4 3 3" xfId="14167"/>
    <cellStyle name="Normal 57 6 2 4 3 4" xfId="8910"/>
    <cellStyle name="Normal 57 6 2 4 4" xfId="6621"/>
    <cellStyle name="Normal 57 6 2 4 4 2" xfId="15705"/>
    <cellStyle name="Normal 57 6 2 4 5" xfId="10364"/>
    <cellStyle name="Normal 57 6 2 4 5 2" xfId="19191"/>
    <cellStyle name="Normal 57 6 2 4 6" xfId="11810"/>
    <cellStyle name="Normal 57 6 2 4 7" xfId="5099"/>
    <cellStyle name="Normal 57 6 2 5" xfId="1473"/>
    <cellStyle name="Normal 57 6 2 5 2" xfId="3073"/>
    <cellStyle name="Normal 57 6 2 5 2 2" xfId="16622"/>
    <cellStyle name="Normal 57 6 2 5 2 3" xfId="13043"/>
    <cellStyle name="Normal 57 6 2 5 2 4" xfId="7754"/>
    <cellStyle name="Normal 57 6 2 5 3" xfId="4281"/>
    <cellStyle name="Normal 57 6 2 5 3 2" xfId="17986"/>
    <cellStyle name="Normal 57 6 2 5 3 3" xfId="14407"/>
    <cellStyle name="Normal 57 6 2 5 3 4" xfId="9150"/>
    <cellStyle name="Normal 57 6 2 5 4" xfId="5942"/>
    <cellStyle name="Normal 57 6 2 5 4 2" xfId="15028"/>
    <cellStyle name="Normal 57 6 2 5 5" xfId="10604"/>
    <cellStyle name="Normal 57 6 2 5 5 2" xfId="19431"/>
    <cellStyle name="Normal 57 6 2 5 6" xfId="12050"/>
    <cellStyle name="Normal 57 6 2 5 7" xfId="5348"/>
    <cellStyle name="Normal 57 6 2 6" xfId="2030"/>
    <cellStyle name="Normal 57 6 2 6 2" xfId="15871"/>
    <cellStyle name="Normal 57 6 2 6 3" xfId="12432"/>
    <cellStyle name="Normal 57 6 2 6 4" xfId="6828"/>
    <cellStyle name="Normal 57 6 2 7" xfId="3443"/>
    <cellStyle name="Normal 57 6 2 7 2" xfId="16943"/>
    <cellStyle name="Normal 57 6 2 7 3" xfId="13364"/>
    <cellStyle name="Normal 57 6 2 7 4" xfId="8107"/>
    <cellStyle name="Normal 57 6 2 8" xfId="5668"/>
    <cellStyle name="Normal 57 6 2 8 2" xfId="14754"/>
    <cellStyle name="Normal 57 6 2 9" xfId="9561"/>
    <cellStyle name="Normal 57 6 2 9 2" xfId="18388"/>
    <cellStyle name="Normal 57 6 2_Degree data" xfId="1730"/>
    <cellStyle name="Normal 57 6 3" xfId="205"/>
    <cellStyle name="Normal 57 6 3 10" xfId="10959"/>
    <cellStyle name="Normal 57 6 3 11" xfId="4481"/>
    <cellStyle name="Normal 57 6 3 2" xfId="422"/>
    <cellStyle name="Normal 57 6 3 2 2" xfId="759"/>
    <cellStyle name="Normal 57 6 3 2 2 2" xfId="2488"/>
    <cellStyle name="Normal 57 6 3 2 2 2 2" xfId="16376"/>
    <cellStyle name="Normal 57 6 3 2 2 2 3" xfId="12798"/>
    <cellStyle name="Normal 57 6 3 2 2 2 4" xfId="7508"/>
    <cellStyle name="Normal 57 6 3 2 2 3" xfId="3755"/>
    <cellStyle name="Normal 57 6 3 2 2 3 2" xfId="17401"/>
    <cellStyle name="Normal 57 6 3 2 2 3 3" xfId="13822"/>
    <cellStyle name="Normal 57 6 3 2 2 3 4" xfId="8565"/>
    <cellStyle name="Normal 57 6 3 2 2 4" xfId="6624"/>
    <cellStyle name="Normal 57 6 3 2 2 4 2" xfId="15708"/>
    <cellStyle name="Normal 57 6 3 2 2 5" xfId="10019"/>
    <cellStyle name="Normal 57 6 3 2 2 5 2" xfId="18846"/>
    <cellStyle name="Normal 57 6 3 2 2 6" xfId="11464"/>
    <cellStyle name="Normal 57 6 3 2 2 7" xfId="5102"/>
    <cellStyle name="Normal 57 6 3 2 3" xfId="1116"/>
    <cellStyle name="Normal 57 6 3 2 3 2" xfId="2836"/>
    <cellStyle name="Normal 57 6 3 2 3 2 2" xfId="16781"/>
    <cellStyle name="Normal 57 6 3 2 3 2 3" xfId="13202"/>
    <cellStyle name="Normal 57 6 3 2 3 2 4" xfId="7913"/>
    <cellStyle name="Normal 57 6 3 2 3 3" xfId="4104"/>
    <cellStyle name="Normal 57 6 3 2 3 3 2" xfId="17749"/>
    <cellStyle name="Normal 57 6 3 2 3 3 3" xfId="14170"/>
    <cellStyle name="Normal 57 6 3 2 3 3 4" xfId="8913"/>
    <cellStyle name="Normal 57 6 3 2 3 4" xfId="6320"/>
    <cellStyle name="Normal 57 6 3 2 3 4 2" xfId="15404"/>
    <cellStyle name="Normal 57 6 3 2 3 5" xfId="10367"/>
    <cellStyle name="Normal 57 6 3 2 3 5 2" xfId="19194"/>
    <cellStyle name="Normal 57 6 3 2 3 6" xfId="11813"/>
    <cellStyle name="Normal 57 6 3 2 3 7" xfId="5507"/>
    <cellStyle name="Normal 57 6 3 2 4" xfId="1636"/>
    <cellStyle name="Normal 57 6 3 2 4 2" xfId="3232"/>
    <cellStyle name="Normal 57 6 3 2 4 2 2" xfId="18145"/>
    <cellStyle name="Normal 57 6 3 2 4 2 3" xfId="14566"/>
    <cellStyle name="Normal 57 6 3 2 4 2 4" xfId="9309"/>
    <cellStyle name="Normal 57 6 3 2 4 3" xfId="10763"/>
    <cellStyle name="Normal 57 6 3 2 4 3 2" xfId="19590"/>
    <cellStyle name="Normal 57 6 3 2 4 4" xfId="12209"/>
    <cellStyle name="Normal 57 6 3 2 4 5" xfId="7204"/>
    <cellStyle name="Normal 57 6 3 2 5" xfId="2189"/>
    <cellStyle name="Normal 57 6 3 2 5 2" xfId="17102"/>
    <cellStyle name="Normal 57 6 3 2 5 3" xfId="13523"/>
    <cellStyle name="Normal 57 6 3 2 5 4" xfId="8266"/>
    <cellStyle name="Normal 57 6 3 2 6" xfId="5827"/>
    <cellStyle name="Normal 57 6 3 2 6 2" xfId="14913"/>
    <cellStyle name="Normal 57 6 3 2 7" xfId="9720"/>
    <cellStyle name="Normal 57 6 3 2 7 2" xfId="18547"/>
    <cellStyle name="Normal 57 6 3 2 8" xfId="11164"/>
    <cellStyle name="Normal 57 6 3 2 9" xfId="4798"/>
    <cellStyle name="Normal 57 6 3 2_Degree data" xfId="1733"/>
    <cellStyle name="Normal 57 6 3 3" xfId="758"/>
    <cellStyle name="Normal 57 6 3 3 2" xfId="2487"/>
    <cellStyle name="Normal 57 6 3 3 2 2" xfId="16013"/>
    <cellStyle name="Normal 57 6 3 3 2 3" xfId="12400"/>
    <cellStyle name="Normal 57 6 3 3 2 4" xfId="6999"/>
    <cellStyle name="Normal 57 6 3 3 3" xfId="3754"/>
    <cellStyle name="Normal 57 6 3 3 3 2" xfId="17400"/>
    <cellStyle name="Normal 57 6 3 3 3 3" xfId="13821"/>
    <cellStyle name="Normal 57 6 3 3 3 4" xfId="8564"/>
    <cellStyle name="Normal 57 6 3 3 4" xfId="6115"/>
    <cellStyle name="Normal 57 6 3 3 4 2" xfId="15199"/>
    <cellStyle name="Normal 57 6 3 3 5" xfId="10018"/>
    <cellStyle name="Normal 57 6 3 3 5 2" xfId="18845"/>
    <cellStyle name="Normal 57 6 3 3 6" xfId="11463"/>
    <cellStyle name="Normal 57 6 3 3 7" xfId="4593"/>
    <cellStyle name="Normal 57 6 3 4" xfId="1115"/>
    <cellStyle name="Normal 57 6 3 4 2" xfId="2835"/>
    <cellStyle name="Normal 57 6 3 4 2 2" xfId="16375"/>
    <cellStyle name="Normal 57 6 3 4 2 3" xfId="12797"/>
    <cellStyle name="Normal 57 6 3 4 2 4" xfId="7507"/>
    <cellStyle name="Normal 57 6 3 4 3" xfId="4103"/>
    <cellStyle name="Normal 57 6 3 4 3 2" xfId="17748"/>
    <cellStyle name="Normal 57 6 3 4 3 3" xfId="14169"/>
    <cellStyle name="Normal 57 6 3 4 3 4" xfId="8912"/>
    <cellStyle name="Normal 57 6 3 4 4" xfId="6623"/>
    <cellStyle name="Normal 57 6 3 4 4 2" xfId="15707"/>
    <cellStyle name="Normal 57 6 3 4 5" xfId="10366"/>
    <cellStyle name="Normal 57 6 3 4 5 2" xfId="19193"/>
    <cellStyle name="Normal 57 6 3 4 6" xfId="11812"/>
    <cellStyle name="Normal 57 6 3 4 7" xfId="5101"/>
    <cellStyle name="Normal 57 6 3 5" xfId="1422"/>
    <cellStyle name="Normal 57 6 3 5 2" xfId="3027"/>
    <cellStyle name="Normal 57 6 3 5 2 2" xfId="16576"/>
    <cellStyle name="Normal 57 6 3 5 2 3" xfId="12997"/>
    <cellStyle name="Normal 57 6 3 5 2 4" xfId="7708"/>
    <cellStyle name="Normal 57 6 3 5 3" xfId="4235"/>
    <cellStyle name="Normal 57 6 3 5 3 2" xfId="17940"/>
    <cellStyle name="Normal 57 6 3 5 3 3" xfId="14361"/>
    <cellStyle name="Normal 57 6 3 5 3 4" xfId="9104"/>
    <cellStyle name="Normal 57 6 3 5 4" xfId="6001"/>
    <cellStyle name="Normal 57 6 3 5 4 2" xfId="15087"/>
    <cellStyle name="Normal 57 6 3 5 5" xfId="10558"/>
    <cellStyle name="Normal 57 6 3 5 5 2" xfId="19385"/>
    <cellStyle name="Normal 57 6 3 5 6" xfId="12004"/>
    <cellStyle name="Normal 57 6 3 5 7" xfId="5302"/>
    <cellStyle name="Normal 57 6 3 6" xfId="1984"/>
    <cellStyle name="Normal 57 6 3 6 2" xfId="15930"/>
    <cellStyle name="Normal 57 6 3 6 3" xfId="12420"/>
    <cellStyle name="Normal 57 6 3 6 4" xfId="6887"/>
    <cellStyle name="Normal 57 6 3 7" xfId="3398"/>
    <cellStyle name="Normal 57 6 3 7 2" xfId="16897"/>
    <cellStyle name="Normal 57 6 3 7 3" xfId="13318"/>
    <cellStyle name="Normal 57 6 3 7 4" xfId="8061"/>
    <cellStyle name="Normal 57 6 3 8" xfId="5622"/>
    <cellStyle name="Normal 57 6 3 8 2" xfId="14708"/>
    <cellStyle name="Normal 57 6 3 9" xfId="9515"/>
    <cellStyle name="Normal 57 6 3 9 2" xfId="18342"/>
    <cellStyle name="Normal 57 6 3_Degree data" xfId="1732"/>
    <cellStyle name="Normal 57 6 4" xfId="316"/>
    <cellStyle name="Normal 57 6 4 2" xfId="760"/>
    <cellStyle name="Normal 57 6 4 2 2" xfId="2489"/>
    <cellStyle name="Normal 57 6 4 2 2 2" xfId="16377"/>
    <cellStyle name="Normal 57 6 4 2 2 3" xfId="12799"/>
    <cellStyle name="Normal 57 6 4 2 2 4" xfId="7509"/>
    <cellStyle name="Normal 57 6 4 2 3" xfId="3756"/>
    <cellStyle name="Normal 57 6 4 2 3 2" xfId="17402"/>
    <cellStyle name="Normal 57 6 4 2 3 3" xfId="13823"/>
    <cellStyle name="Normal 57 6 4 2 3 4" xfId="8566"/>
    <cellStyle name="Normal 57 6 4 2 4" xfId="6625"/>
    <cellStyle name="Normal 57 6 4 2 4 2" xfId="15709"/>
    <cellStyle name="Normal 57 6 4 2 5" xfId="10020"/>
    <cellStyle name="Normal 57 6 4 2 5 2" xfId="18847"/>
    <cellStyle name="Normal 57 6 4 2 6" xfId="11465"/>
    <cellStyle name="Normal 57 6 4 2 7" xfId="5103"/>
    <cellStyle name="Normal 57 6 4 3" xfId="1117"/>
    <cellStyle name="Normal 57 6 4 3 2" xfId="2837"/>
    <cellStyle name="Normal 57 6 4 3 2 2" xfId="16676"/>
    <cellStyle name="Normal 57 6 4 3 2 3" xfId="13097"/>
    <cellStyle name="Normal 57 6 4 3 2 4" xfId="7808"/>
    <cellStyle name="Normal 57 6 4 3 3" xfId="4105"/>
    <cellStyle name="Normal 57 6 4 3 3 2" xfId="17750"/>
    <cellStyle name="Normal 57 6 4 3 3 3" xfId="14171"/>
    <cellStyle name="Normal 57 6 4 3 3 4" xfId="8914"/>
    <cellStyle name="Normal 57 6 4 3 4" xfId="6215"/>
    <cellStyle name="Normal 57 6 4 3 4 2" xfId="15299"/>
    <cellStyle name="Normal 57 6 4 3 5" xfId="10368"/>
    <cellStyle name="Normal 57 6 4 3 5 2" xfId="19195"/>
    <cellStyle name="Normal 57 6 4 3 6" xfId="11814"/>
    <cellStyle name="Normal 57 6 4 3 7" xfId="5402"/>
    <cellStyle name="Normal 57 6 4 4" xfId="1528"/>
    <cellStyle name="Normal 57 6 4 4 2" xfId="3127"/>
    <cellStyle name="Normal 57 6 4 4 2 2" xfId="18040"/>
    <cellStyle name="Normal 57 6 4 4 2 3" xfId="14461"/>
    <cellStyle name="Normal 57 6 4 4 2 4" xfId="9204"/>
    <cellStyle name="Normal 57 6 4 4 3" xfId="10658"/>
    <cellStyle name="Normal 57 6 4 4 3 2" xfId="19485"/>
    <cellStyle name="Normal 57 6 4 4 4" xfId="12104"/>
    <cellStyle name="Normal 57 6 4 4 5" xfId="7099"/>
    <cellStyle name="Normal 57 6 4 5" xfId="2084"/>
    <cellStyle name="Normal 57 6 4 5 2" xfId="16997"/>
    <cellStyle name="Normal 57 6 4 5 3" xfId="13418"/>
    <cellStyle name="Normal 57 6 4 5 4" xfId="8161"/>
    <cellStyle name="Normal 57 6 4 6" xfId="5722"/>
    <cellStyle name="Normal 57 6 4 6 2" xfId="14808"/>
    <cellStyle name="Normal 57 6 4 7" xfId="9615"/>
    <cellStyle name="Normal 57 6 4 7 2" xfId="18442"/>
    <cellStyle name="Normal 57 6 4 8" xfId="11059"/>
    <cellStyle name="Normal 57 6 4 9" xfId="4693"/>
    <cellStyle name="Normal 57 6 4_Degree data" xfId="1734"/>
    <cellStyle name="Normal 57 6 5" xfId="755"/>
    <cellStyle name="Normal 57 6 5 2" xfId="2484"/>
    <cellStyle name="Normal 57 6 5 2 2" xfId="15973"/>
    <cellStyle name="Normal 57 6 5 2 3" xfId="12309"/>
    <cellStyle name="Normal 57 6 5 2 4" xfId="6943"/>
    <cellStyle name="Normal 57 6 5 3" xfId="3751"/>
    <cellStyle name="Normal 57 6 5 3 2" xfId="17397"/>
    <cellStyle name="Normal 57 6 5 3 3" xfId="13818"/>
    <cellStyle name="Normal 57 6 5 3 4" xfId="8561"/>
    <cellStyle name="Normal 57 6 5 4" xfId="6059"/>
    <cellStyle name="Normal 57 6 5 4 2" xfId="15143"/>
    <cellStyle name="Normal 57 6 5 5" xfId="10015"/>
    <cellStyle name="Normal 57 6 5 5 2" xfId="18842"/>
    <cellStyle name="Normal 57 6 5 6" xfId="11460"/>
    <cellStyle name="Normal 57 6 5 7" xfId="4537"/>
    <cellStyle name="Normal 57 6 6" xfId="1112"/>
    <cellStyle name="Normal 57 6 6 2" xfId="2832"/>
    <cellStyle name="Normal 57 6 6 2 2" xfId="16372"/>
    <cellStyle name="Normal 57 6 6 2 3" xfId="12794"/>
    <cellStyle name="Normal 57 6 6 2 4" xfId="7504"/>
    <cellStyle name="Normal 57 6 6 3" xfId="4100"/>
    <cellStyle name="Normal 57 6 6 3 2" xfId="17745"/>
    <cellStyle name="Normal 57 6 6 3 3" xfId="14166"/>
    <cellStyle name="Normal 57 6 6 3 4" xfId="8909"/>
    <cellStyle name="Normal 57 6 6 4" xfId="6620"/>
    <cellStyle name="Normal 57 6 6 4 2" xfId="15704"/>
    <cellStyle name="Normal 57 6 6 5" xfId="10363"/>
    <cellStyle name="Normal 57 6 6 5 2" xfId="19190"/>
    <cellStyle name="Normal 57 6 6 6" xfId="11809"/>
    <cellStyle name="Normal 57 6 6 7" xfId="5098"/>
    <cellStyle name="Normal 57 6 7" xfId="1360"/>
    <cellStyle name="Normal 57 6 7 2" xfId="2971"/>
    <cellStyle name="Normal 57 6 7 2 2" xfId="16520"/>
    <cellStyle name="Normal 57 6 7 2 3" xfId="12942"/>
    <cellStyle name="Normal 57 6 7 2 4" xfId="7652"/>
    <cellStyle name="Normal 57 6 7 3" xfId="4196"/>
    <cellStyle name="Normal 57 6 7 3 2" xfId="17884"/>
    <cellStyle name="Normal 57 6 7 3 3" xfId="14305"/>
    <cellStyle name="Normal 57 6 7 3 4" xfId="9048"/>
    <cellStyle name="Normal 57 6 7 4" xfId="5895"/>
    <cellStyle name="Normal 57 6 7 4 2" xfId="14981"/>
    <cellStyle name="Normal 57 6 7 5" xfId="10502"/>
    <cellStyle name="Normal 57 6 7 5 2" xfId="19329"/>
    <cellStyle name="Normal 57 6 7 6" xfId="11948"/>
    <cellStyle name="Normal 57 6 7 7" xfId="5246"/>
    <cellStyle name="Normal 57 6 8" xfId="1928"/>
    <cellStyle name="Normal 57 6 8 2" xfId="9459"/>
    <cellStyle name="Normal 57 6 8 2 2" xfId="18286"/>
    <cellStyle name="Normal 57 6 8 3" xfId="10903"/>
    <cellStyle name="Normal 57 6 8 4" xfId="6782"/>
    <cellStyle name="Normal 57 6 9" xfId="1852"/>
    <cellStyle name="Normal 57 6 9 2" xfId="16839"/>
    <cellStyle name="Normal 57 6 9 3" xfId="13260"/>
    <cellStyle name="Normal 57 6 9 4" xfId="8003"/>
    <cellStyle name="Normal 57 6_Degree data" xfId="1729"/>
    <cellStyle name="Normal 57 7" xfId="211"/>
    <cellStyle name="Normal 57 7 10" xfId="9518"/>
    <cellStyle name="Normal 57 7 10 2" xfId="18345"/>
    <cellStyle name="Normal 57 7 11" xfId="10962"/>
    <cellStyle name="Normal 57 7 12" xfId="4379"/>
    <cellStyle name="Normal 57 7 2" xfId="425"/>
    <cellStyle name="Normal 57 7 2 10" xfId="4484"/>
    <cellStyle name="Normal 57 7 2 2" xfId="762"/>
    <cellStyle name="Normal 57 7 2 2 2" xfId="2491"/>
    <cellStyle name="Normal 57 7 2 2 2 2" xfId="16094"/>
    <cellStyle name="Normal 57 7 2 2 2 3" xfId="12516"/>
    <cellStyle name="Normal 57 7 2 2 2 4" xfId="7207"/>
    <cellStyle name="Normal 57 7 2 2 3" xfId="3758"/>
    <cellStyle name="Normal 57 7 2 2 3 2" xfId="17404"/>
    <cellStyle name="Normal 57 7 2 2 3 3" xfId="13825"/>
    <cellStyle name="Normal 57 7 2 2 3 4" xfId="8568"/>
    <cellStyle name="Normal 57 7 2 2 4" xfId="6323"/>
    <cellStyle name="Normal 57 7 2 2 4 2" xfId="15407"/>
    <cellStyle name="Normal 57 7 2 2 5" xfId="10022"/>
    <cellStyle name="Normal 57 7 2 2 5 2" xfId="18849"/>
    <cellStyle name="Normal 57 7 2 2 6" xfId="11467"/>
    <cellStyle name="Normal 57 7 2 2 7" xfId="4801"/>
    <cellStyle name="Normal 57 7 2 3" xfId="1119"/>
    <cellStyle name="Normal 57 7 2 3 2" xfId="2839"/>
    <cellStyle name="Normal 57 7 2 3 2 2" xfId="16379"/>
    <cellStyle name="Normal 57 7 2 3 2 3" xfId="12801"/>
    <cellStyle name="Normal 57 7 2 3 2 4" xfId="7511"/>
    <cellStyle name="Normal 57 7 2 3 3" xfId="4107"/>
    <cellStyle name="Normal 57 7 2 3 3 2" xfId="17752"/>
    <cellStyle name="Normal 57 7 2 3 3 3" xfId="14173"/>
    <cellStyle name="Normal 57 7 2 3 3 4" xfId="8916"/>
    <cellStyle name="Normal 57 7 2 3 4" xfId="6627"/>
    <cellStyle name="Normal 57 7 2 3 4 2" xfId="15711"/>
    <cellStyle name="Normal 57 7 2 3 5" xfId="10370"/>
    <cellStyle name="Normal 57 7 2 3 5 2" xfId="19197"/>
    <cellStyle name="Normal 57 7 2 3 6" xfId="11816"/>
    <cellStyle name="Normal 57 7 2 3 7" xfId="5105"/>
    <cellStyle name="Normal 57 7 2 4" xfId="1639"/>
    <cellStyle name="Normal 57 7 2 4 2" xfId="3235"/>
    <cellStyle name="Normal 57 7 2 4 2 2" xfId="16784"/>
    <cellStyle name="Normal 57 7 2 4 2 3" xfId="13205"/>
    <cellStyle name="Normal 57 7 2 4 2 4" xfId="7916"/>
    <cellStyle name="Normal 57 7 2 4 3" xfId="4316"/>
    <cellStyle name="Normal 57 7 2 4 3 2" xfId="18148"/>
    <cellStyle name="Normal 57 7 2 4 3 3" xfId="14569"/>
    <cellStyle name="Normal 57 7 2 4 3 4" xfId="9312"/>
    <cellStyle name="Normal 57 7 2 4 4" xfId="6004"/>
    <cellStyle name="Normal 57 7 2 4 4 2" xfId="15090"/>
    <cellStyle name="Normal 57 7 2 4 5" xfId="10766"/>
    <cellStyle name="Normal 57 7 2 4 5 2" xfId="19593"/>
    <cellStyle name="Normal 57 7 2 4 6" xfId="12212"/>
    <cellStyle name="Normal 57 7 2 4 7" xfId="5510"/>
    <cellStyle name="Normal 57 7 2 5" xfId="2192"/>
    <cellStyle name="Normal 57 7 2 5 2" xfId="15933"/>
    <cellStyle name="Normal 57 7 2 5 3" xfId="12503"/>
    <cellStyle name="Normal 57 7 2 5 4" xfId="6890"/>
    <cellStyle name="Normal 57 7 2 6" xfId="3478"/>
    <cellStyle name="Normal 57 7 2 6 2" xfId="17105"/>
    <cellStyle name="Normal 57 7 2 6 3" xfId="13526"/>
    <cellStyle name="Normal 57 7 2 6 4" xfId="8269"/>
    <cellStyle name="Normal 57 7 2 7" xfId="5830"/>
    <cellStyle name="Normal 57 7 2 7 2" xfId="14916"/>
    <cellStyle name="Normal 57 7 2 8" xfId="9723"/>
    <cellStyle name="Normal 57 7 2 8 2" xfId="18550"/>
    <cellStyle name="Normal 57 7 2 9" xfId="11167"/>
    <cellStyle name="Normal 57 7 2_Degree data" xfId="1736"/>
    <cellStyle name="Normal 57 7 3" xfId="319"/>
    <cellStyle name="Normal 57 7 3 2" xfId="763"/>
    <cellStyle name="Normal 57 7 3 2 2" xfId="2492"/>
    <cellStyle name="Normal 57 7 3 2 2 2" xfId="16380"/>
    <cellStyle name="Normal 57 7 3 2 2 3" xfId="12802"/>
    <cellStyle name="Normal 57 7 3 2 2 4" xfId="7512"/>
    <cellStyle name="Normal 57 7 3 2 3" xfId="3759"/>
    <cellStyle name="Normal 57 7 3 2 3 2" xfId="17405"/>
    <cellStyle name="Normal 57 7 3 2 3 3" xfId="13826"/>
    <cellStyle name="Normal 57 7 3 2 3 4" xfId="8569"/>
    <cellStyle name="Normal 57 7 3 2 4" xfId="6628"/>
    <cellStyle name="Normal 57 7 3 2 4 2" xfId="15712"/>
    <cellStyle name="Normal 57 7 3 2 5" xfId="10023"/>
    <cellStyle name="Normal 57 7 3 2 5 2" xfId="18850"/>
    <cellStyle name="Normal 57 7 3 2 6" xfId="11468"/>
    <cellStyle name="Normal 57 7 3 2 7" xfId="5106"/>
    <cellStyle name="Normal 57 7 3 3" xfId="1120"/>
    <cellStyle name="Normal 57 7 3 3 2" xfId="2840"/>
    <cellStyle name="Normal 57 7 3 3 2 2" xfId="16679"/>
    <cellStyle name="Normal 57 7 3 3 2 3" xfId="13100"/>
    <cellStyle name="Normal 57 7 3 3 2 4" xfId="7811"/>
    <cellStyle name="Normal 57 7 3 3 3" xfId="4108"/>
    <cellStyle name="Normal 57 7 3 3 3 2" xfId="17753"/>
    <cellStyle name="Normal 57 7 3 3 3 3" xfId="14174"/>
    <cellStyle name="Normal 57 7 3 3 3 4" xfId="8917"/>
    <cellStyle name="Normal 57 7 3 3 4" xfId="6218"/>
    <cellStyle name="Normal 57 7 3 3 4 2" xfId="15302"/>
    <cellStyle name="Normal 57 7 3 3 5" xfId="10371"/>
    <cellStyle name="Normal 57 7 3 3 5 2" xfId="19198"/>
    <cellStyle name="Normal 57 7 3 3 6" xfId="11817"/>
    <cellStyle name="Normal 57 7 3 3 7" xfId="5405"/>
    <cellStyle name="Normal 57 7 3 4" xfId="1531"/>
    <cellStyle name="Normal 57 7 3 4 2" xfId="3130"/>
    <cellStyle name="Normal 57 7 3 4 2 2" xfId="18043"/>
    <cellStyle name="Normal 57 7 3 4 2 3" xfId="14464"/>
    <cellStyle name="Normal 57 7 3 4 2 4" xfId="9207"/>
    <cellStyle name="Normal 57 7 3 4 3" xfId="10661"/>
    <cellStyle name="Normal 57 7 3 4 3 2" xfId="19488"/>
    <cellStyle name="Normal 57 7 3 4 4" xfId="12107"/>
    <cellStyle name="Normal 57 7 3 4 5" xfId="7102"/>
    <cellStyle name="Normal 57 7 3 5" xfId="2087"/>
    <cellStyle name="Normal 57 7 3 5 2" xfId="17000"/>
    <cellStyle name="Normal 57 7 3 5 3" xfId="13421"/>
    <cellStyle name="Normal 57 7 3 5 4" xfId="8164"/>
    <cellStyle name="Normal 57 7 3 6" xfId="5725"/>
    <cellStyle name="Normal 57 7 3 6 2" xfId="14811"/>
    <cellStyle name="Normal 57 7 3 7" xfId="9618"/>
    <cellStyle name="Normal 57 7 3 7 2" xfId="18445"/>
    <cellStyle name="Normal 57 7 3 8" xfId="11062"/>
    <cellStyle name="Normal 57 7 3 9" xfId="4696"/>
    <cellStyle name="Normal 57 7 3_Degree data" xfId="1737"/>
    <cellStyle name="Normal 57 7 4" xfId="761"/>
    <cellStyle name="Normal 57 7 4 2" xfId="2490"/>
    <cellStyle name="Normal 57 7 4 2 2" xfId="16016"/>
    <cellStyle name="Normal 57 7 4 2 3" xfId="12487"/>
    <cellStyle name="Normal 57 7 4 2 4" xfId="7002"/>
    <cellStyle name="Normal 57 7 4 3" xfId="3757"/>
    <cellStyle name="Normal 57 7 4 3 2" xfId="17403"/>
    <cellStyle name="Normal 57 7 4 3 3" xfId="13824"/>
    <cellStyle name="Normal 57 7 4 3 4" xfId="8567"/>
    <cellStyle name="Normal 57 7 4 4" xfId="6118"/>
    <cellStyle name="Normal 57 7 4 4 2" xfId="15202"/>
    <cellStyle name="Normal 57 7 4 5" xfId="10021"/>
    <cellStyle name="Normal 57 7 4 5 2" xfId="18848"/>
    <cellStyle name="Normal 57 7 4 6" xfId="11466"/>
    <cellStyle name="Normal 57 7 4 7" xfId="4596"/>
    <cellStyle name="Normal 57 7 5" xfId="1118"/>
    <cellStyle name="Normal 57 7 5 2" xfId="2838"/>
    <cellStyle name="Normal 57 7 5 2 2" xfId="16378"/>
    <cellStyle name="Normal 57 7 5 2 3" xfId="12800"/>
    <cellStyle name="Normal 57 7 5 2 4" xfId="7510"/>
    <cellStyle name="Normal 57 7 5 3" xfId="4106"/>
    <cellStyle name="Normal 57 7 5 3 2" xfId="17751"/>
    <cellStyle name="Normal 57 7 5 3 3" xfId="14172"/>
    <cellStyle name="Normal 57 7 5 3 4" xfId="8915"/>
    <cellStyle name="Normal 57 7 5 4" xfId="6626"/>
    <cellStyle name="Normal 57 7 5 4 2" xfId="15710"/>
    <cellStyle name="Normal 57 7 5 5" xfId="10369"/>
    <cellStyle name="Normal 57 7 5 5 2" xfId="19196"/>
    <cellStyle name="Normal 57 7 5 6" xfId="11815"/>
    <cellStyle name="Normal 57 7 5 7" xfId="5104"/>
    <cellStyle name="Normal 57 7 6" xfId="1428"/>
    <cellStyle name="Normal 57 7 6 2" xfId="3030"/>
    <cellStyle name="Normal 57 7 6 2 2" xfId="16579"/>
    <cellStyle name="Normal 57 7 6 2 3" xfId="13000"/>
    <cellStyle name="Normal 57 7 6 2 4" xfId="7711"/>
    <cellStyle name="Normal 57 7 6 3" xfId="4238"/>
    <cellStyle name="Normal 57 7 6 3 2" xfId="17943"/>
    <cellStyle name="Normal 57 7 6 3 3" xfId="14364"/>
    <cellStyle name="Normal 57 7 6 3 4" xfId="9107"/>
    <cellStyle name="Normal 57 7 6 4" xfId="5898"/>
    <cellStyle name="Normal 57 7 6 4 2" xfId="14984"/>
    <cellStyle name="Normal 57 7 6 5" xfId="10561"/>
    <cellStyle name="Normal 57 7 6 5 2" xfId="19388"/>
    <cellStyle name="Normal 57 7 6 6" xfId="12007"/>
    <cellStyle name="Normal 57 7 6 7" xfId="5305"/>
    <cellStyle name="Normal 57 7 7" xfId="1987"/>
    <cellStyle name="Normal 57 7 7 2" xfId="15843"/>
    <cellStyle name="Normal 57 7 7 3" xfId="12263"/>
    <cellStyle name="Normal 57 7 7 4" xfId="6785"/>
    <cellStyle name="Normal 57 7 8" xfId="3401"/>
    <cellStyle name="Normal 57 7 8 2" xfId="16900"/>
    <cellStyle name="Normal 57 7 8 3" xfId="13321"/>
    <cellStyle name="Normal 57 7 8 4" xfId="8064"/>
    <cellStyle name="Normal 57 7 9" xfId="5625"/>
    <cellStyle name="Normal 57 7 9 2" xfId="14711"/>
    <cellStyle name="Normal 57 7_Degree data" xfId="1735"/>
    <cellStyle name="Normal 57 8" xfId="241"/>
    <cellStyle name="Normal 57 8 10" xfId="10992"/>
    <cellStyle name="Normal 57 8 11" xfId="4409"/>
    <cellStyle name="Normal 57 8 2" xfId="349"/>
    <cellStyle name="Normal 57 8 2 2" xfId="765"/>
    <cellStyle name="Normal 57 8 2 2 2" xfId="2494"/>
    <cellStyle name="Normal 57 8 2 2 2 2" xfId="16382"/>
    <cellStyle name="Normal 57 8 2 2 2 3" xfId="12804"/>
    <cellStyle name="Normal 57 8 2 2 2 4" xfId="7514"/>
    <cellStyle name="Normal 57 8 2 2 3" xfId="3761"/>
    <cellStyle name="Normal 57 8 2 2 3 2" xfId="17407"/>
    <cellStyle name="Normal 57 8 2 2 3 3" xfId="13828"/>
    <cellStyle name="Normal 57 8 2 2 3 4" xfId="8571"/>
    <cellStyle name="Normal 57 8 2 2 4" xfId="6630"/>
    <cellStyle name="Normal 57 8 2 2 4 2" xfId="15714"/>
    <cellStyle name="Normal 57 8 2 2 5" xfId="10025"/>
    <cellStyle name="Normal 57 8 2 2 5 2" xfId="18852"/>
    <cellStyle name="Normal 57 8 2 2 6" xfId="11470"/>
    <cellStyle name="Normal 57 8 2 2 7" xfId="5108"/>
    <cellStyle name="Normal 57 8 2 3" xfId="1122"/>
    <cellStyle name="Normal 57 8 2 3 2" xfId="2842"/>
    <cellStyle name="Normal 57 8 2 3 2 2" xfId="16709"/>
    <cellStyle name="Normal 57 8 2 3 2 3" xfId="13130"/>
    <cellStyle name="Normal 57 8 2 3 2 4" xfId="7841"/>
    <cellStyle name="Normal 57 8 2 3 3" xfId="4110"/>
    <cellStyle name="Normal 57 8 2 3 3 2" xfId="17755"/>
    <cellStyle name="Normal 57 8 2 3 3 3" xfId="14176"/>
    <cellStyle name="Normal 57 8 2 3 3 4" xfId="8919"/>
    <cellStyle name="Normal 57 8 2 3 4" xfId="6248"/>
    <cellStyle name="Normal 57 8 2 3 4 2" xfId="15332"/>
    <cellStyle name="Normal 57 8 2 3 5" xfId="10373"/>
    <cellStyle name="Normal 57 8 2 3 5 2" xfId="19200"/>
    <cellStyle name="Normal 57 8 2 3 6" xfId="11819"/>
    <cellStyle name="Normal 57 8 2 3 7" xfId="5435"/>
    <cellStyle name="Normal 57 8 2 4" xfId="1562"/>
    <cellStyle name="Normal 57 8 2 4 2" xfId="3160"/>
    <cellStyle name="Normal 57 8 2 4 2 2" xfId="18073"/>
    <cellStyle name="Normal 57 8 2 4 2 3" xfId="14494"/>
    <cellStyle name="Normal 57 8 2 4 2 4" xfId="9237"/>
    <cellStyle name="Normal 57 8 2 4 3" xfId="10691"/>
    <cellStyle name="Normal 57 8 2 4 3 2" xfId="19518"/>
    <cellStyle name="Normal 57 8 2 4 4" xfId="12137"/>
    <cellStyle name="Normal 57 8 2 4 5" xfId="7132"/>
    <cellStyle name="Normal 57 8 2 5" xfId="2117"/>
    <cellStyle name="Normal 57 8 2 5 2" xfId="17030"/>
    <cellStyle name="Normal 57 8 2 5 3" xfId="13451"/>
    <cellStyle name="Normal 57 8 2 5 4" xfId="8194"/>
    <cellStyle name="Normal 57 8 2 6" xfId="5755"/>
    <cellStyle name="Normal 57 8 2 6 2" xfId="14841"/>
    <cellStyle name="Normal 57 8 2 7" xfId="9648"/>
    <cellStyle name="Normal 57 8 2 7 2" xfId="18475"/>
    <cellStyle name="Normal 57 8 2 8" xfId="11092"/>
    <cellStyle name="Normal 57 8 2 9" xfId="4726"/>
    <cellStyle name="Normal 57 8 2_Degree data" xfId="1739"/>
    <cellStyle name="Normal 57 8 3" xfId="764"/>
    <cellStyle name="Normal 57 8 3 2" xfId="2493"/>
    <cellStyle name="Normal 57 8 3 2 2" xfId="16046"/>
    <cellStyle name="Normal 57 8 3 2 3" xfId="12312"/>
    <cellStyle name="Normal 57 8 3 2 4" xfId="7032"/>
    <cellStyle name="Normal 57 8 3 3" xfId="3760"/>
    <cellStyle name="Normal 57 8 3 3 2" xfId="17406"/>
    <cellStyle name="Normal 57 8 3 3 3" xfId="13827"/>
    <cellStyle name="Normal 57 8 3 3 4" xfId="8570"/>
    <cellStyle name="Normal 57 8 3 4" xfId="6148"/>
    <cellStyle name="Normal 57 8 3 4 2" xfId="15232"/>
    <cellStyle name="Normal 57 8 3 5" xfId="10024"/>
    <cellStyle name="Normal 57 8 3 5 2" xfId="18851"/>
    <cellStyle name="Normal 57 8 3 6" xfId="11469"/>
    <cellStyle name="Normal 57 8 3 7" xfId="4626"/>
    <cellStyle name="Normal 57 8 4" xfId="1121"/>
    <cellStyle name="Normal 57 8 4 2" xfId="2841"/>
    <cellStyle name="Normal 57 8 4 2 2" xfId="16381"/>
    <cellStyle name="Normal 57 8 4 2 3" xfId="12803"/>
    <cellStyle name="Normal 57 8 4 2 4" xfId="7513"/>
    <cellStyle name="Normal 57 8 4 3" xfId="4109"/>
    <cellStyle name="Normal 57 8 4 3 2" xfId="17754"/>
    <cellStyle name="Normal 57 8 4 3 3" xfId="14175"/>
    <cellStyle name="Normal 57 8 4 3 4" xfId="8918"/>
    <cellStyle name="Normal 57 8 4 4" xfId="6629"/>
    <cellStyle name="Normal 57 8 4 4 2" xfId="15713"/>
    <cellStyle name="Normal 57 8 4 5" xfId="10372"/>
    <cellStyle name="Normal 57 8 4 5 2" xfId="19199"/>
    <cellStyle name="Normal 57 8 4 6" xfId="11818"/>
    <cellStyle name="Normal 57 8 4 7" xfId="5107"/>
    <cellStyle name="Normal 57 8 5" xfId="1460"/>
    <cellStyle name="Normal 57 8 5 2" xfId="3060"/>
    <cellStyle name="Normal 57 8 5 2 2" xfId="16609"/>
    <cellStyle name="Normal 57 8 5 2 3" xfId="13030"/>
    <cellStyle name="Normal 57 8 5 2 4" xfId="7741"/>
    <cellStyle name="Normal 57 8 5 3" xfId="4268"/>
    <cellStyle name="Normal 57 8 5 3 2" xfId="17973"/>
    <cellStyle name="Normal 57 8 5 3 3" xfId="14394"/>
    <cellStyle name="Normal 57 8 5 3 4" xfId="9137"/>
    <cellStyle name="Normal 57 8 5 4" xfId="5929"/>
    <cellStyle name="Normal 57 8 5 4 2" xfId="15015"/>
    <cellStyle name="Normal 57 8 5 5" xfId="10591"/>
    <cellStyle name="Normal 57 8 5 5 2" xfId="19418"/>
    <cellStyle name="Normal 57 8 5 6" xfId="12037"/>
    <cellStyle name="Normal 57 8 5 7" xfId="5335"/>
    <cellStyle name="Normal 57 8 6" xfId="2017"/>
    <cellStyle name="Normal 57 8 6 2" xfId="15858"/>
    <cellStyle name="Normal 57 8 6 3" xfId="12442"/>
    <cellStyle name="Normal 57 8 6 4" xfId="6815"/>
    <cellStyle name="Normal 57 8 7" xfId="3430"/>
    <cellStyle name="Normal 57 8 7 2" xfId="16930"/>
    <cellStyle name="Normal 57 8 7 3" xfId="13351"/>
    <cellStyle name="Normal 57 8 7 4" xfId="8094"/>
    <cellStyle name="Normal 57 8 8" xfId="5655"/>
    <cellStyle name="Normal 57 8 8 2" xfId="14741"/>
    <cellStyle name="Normal 57 8 9" xfId="9548"/>
    <cellStyle name="Normal 57 8 9 2" xfId="18375"/>
    <cellStyle name="Normal 57 8_Degree data" xfId="1738"/>
    <cellStyle name="Normal 57 9" xfId="181"/>
    <cellStyle name="Normal 57 9 10" xfId="10935"/>
    <cellStyle name="Normal 57 9 11" xfId="4457"/>
    <cellStyle name="Normal 57 9 2" xfId="398"/>
    <cellStyle name="Normal 57 9 2 2" xfId="767"/>
    <cellStyle name="Normal 57 9 2 2 2" xfId="2496"/>
    <cellStyle name="Normal 57 9 2 2 2 2" xfId="16384"/>
    <cellStyle name="Normal 57 9 2 2 2 3" xfId="12806"/>
    <cellStyle name="Normal 57 9 2 2 2 4" xfId="7516"/>
    <cellStyle name="Normal 57 9 2 2 3" xfId="3763"/>
    <cellStyle name="Normal 57 9 2 2 3 2" xfId="17409"/>
    <cellStyle name="Normal 57 9 2 2 3 3" xfId="13830"/>
    <cellStyle name="Normal 57 9 2 2 3 4" xfId="8573"/>
    <cellStyle name="Normal 57 9 2 2 4" xfId="6632"/>
    <cellStyle name="Normal 57 9 2 2 4 2" xfId="15716"/>
    <cellStyle name="Normal 57 9 2 2 5" xfId="10027"/>
    <cellStyle name="Normal 57 9 2 2 5 2" xfId="18854"/>
    <cellStyle name="Normal 57 9 2 2 6" xfId="11472"/>
    <cellStyle name="Normal 57 9 2 2 7" xfId="5110"/>
    <cellStyle name="Normal 57 9 2 3" xfId="1124"/>
    <cellStyle name="Normal 57 9 2 3 2" xfId="2844"/>
    <cellStyle name="Normal 57 9 2 3 2 2" xfId="16757"/>
    <cellStyle name="Normal 57 9 2 3 2 3" xfId="13178"/>
    <cellStyle name="Normal 57 9 2 3 2 4" xfId="7889"/>
    <cellStyle name="Normal 57 9 2 3 3" xfId="4112"/>
    <cellStyle name="Normal 57 9 2 3 3 2" xfId="17757"/>
    <cellStyle name="Normal 57 9 2 3 3 3" xfId="14178"/>
    <cellStyle name="Normal 57 9 2 3 3 4" xfId="8921"/>
    <cellStyle name="Normal 57 9 2 3 4" xfId="6296"/>
    <cellStyle name="Normal 57 9 2 3 4 2" xfId="15380"/>
    <cellStyle name="Normal 57 9 2 3 5" xfId="10375"/>
    <cellStyle name="Normal 57 9 2 3 5 2" xfId="19202"/>
    <cellStyle name="Normal 57 9 2 3 6" xfId="11821"/>
    <cellStyle name="Normal 57 9 2 3 7" xfId="5483"/>
    <cellStyle name="Normal 57 9 2 4" xfId="1612"/>
    <cellStyle name="Normal 57 9 2 4 2" xfId="3208"/>
    <cellStyle name="Normal 57 9 2 4 2 2" xfId="18121"/>
    <cellStyle name="Normal 57 9 2 4 2 3" xfId="14542"/>
    <cellStyle name="Normal 57 9 2 4 2 4" xfId="9285"/>
    <cellStyle name="Normal 57 9 2 4 3" xfId="10739"/>
    <cellStyle name="Normal 57 9 2 4 3 2" xfId="19566"/>
    <cellStyle name="Normal 57 9 2 4 4" xfId="12185"/>
    <cellStyle name="Normal 57 9 2 4 5" xfId="7180"/>
    <cellStyle name="Normal 57 9 2 5" xfId="2165"/>
    <cellStyle name="Normal 57 9 2 5 2" xfId="17078"/>
    <cellStyle name="Normal 57 9 2 5 3" xfId="13499"/>
    <cellStyle name="Normal 57 9 2 5 4" xfId="8242"/>
    <cellStyle name="Normal 57 9 2 6" xfId="5803"/>
    <cellStyle name="Normal 57 9 2 6 2" xfId="14889"/>
    <cellStyle name="Normal 57 9 2 7" xfId="9696"/>
    <cellStyle name="Normal 57 9 2 7 2" xfId="18523"/>
    <cellStyle name="Normal 57 9 2 8" xfId="11140"/>
    <cellStyle name="Normal 57 9 2 9" xfId="4774"/>
    <cellStyle name="Normal 57 9 2_Degree data" xfId="1741"/>
    <cellStyle name="Normal 57 9 3" xfId="766"/>
    <cellStyle name="Normal 57 9 3 2" xfId="2495"/>
    <cellStyle name="Normal 57 9 3 2 2" xfId="15989"/>
    <cellStyle name="Normal 57 9 3 2 3" xfId="12342"/>
    <cellStyle name="Normal 57 9 3 2 4" xfId="6975"/>
    <cellStyle name="Normal 57 9 3 3" xfId="3762"/>
    <cellStyle name="Normal 57 9 3 3 2" xfId="17408"/>
    <cellStyle name="Normal 57 9 3 3 3" xfId="13829"/>
    <cellStyle name="Normal 57 9 3 3 4" xfId="8572"/>
    <cellStyle name="Normal 57 9 3 4" xfId="6091"/>
    <cellStyle name="Normal 57 9 3 4 2" xfId="15175"/>
    <cellStyle name="Normal 57 9 3 5" xfId="10026"/>
    <cellStyle name="Normal 57 9 3 5 2" xfId="18853"/>
    <cellStyle name="Normal 57 9 3 6" xfId="11471"/>
    <cellStyle name="Normal 57 9 3 7" xfId="4569"/>
    <cellStyle name="Normal 57 9 4" xfId="1123"/>
    <cellStyle name="Normal 57 9 4 2" xfId="2843"/>
    <cellStyle name="Normal 57 9 4 2 2" xfId="16383"/>
    <cellStyle name="Normal 57 9 4 2 3" xfId="12805"/>
    <cellStyle name="Normal 57 9 4 2 4" xfId="7515"/>
    <cellStyle name="Normal 57 9 4 3" xfId="4111"/>
    <cellStyle name="Normal 57 9 4 3 2" xfId="17756"/>
    <cellStyle name="Normal 57 9 4 3 3" xfId="14177"/>
    <cellStyle name="Normal 57 9 4 3 4" xfId="8920"/>
    <cellStyle name="Normal 57 9 4 4" xfId="6631"/>
    <cellStyle name="Normal 57 9 4 4 2" xfId="15715"/>
    <cellStyle name="Normal 57 9 4 5" xfId="10374"/>
    <cellStyle name="Normal 57 9 4 5 2" xfId="19201"/>
    <cellStyle name="Normal 57 9 4 6" xfId="11820"/>
    <cellStyle name="Normal 57 9 4 7" xfId="5109"/>
    <cellStyle name="Normal 57 9 5" xfId="1398"/>
    <cellStyle name="Normal 57 9 5 2" xfId="3003"/>
    <cellStyle name="Normal 57 9 5 2 2" xfId="16552"/>
    <cellStyle name="Normal 57 9 5 2 3" xfId="12973"/>
    <cellStyle name="Normal 57 9 5 2 4" xfId="7684"/>
    <cellStyle name="Normal 57 9 5 3" xfId="4211"/>
    <cellStyle name="Normal 57 9 5 3 2" xfId="17916"/>
    <cellStyle name="Normal 57 9 5 3 3" xfId="14337"/>
    <cellStyle name="Normal 57 9 5 3 4" xfId="9080"/>
    <cellStyle name="Normal 57 9 5 4" xfId="5977"/>
    <cellStyle name="Normal 57 9 5 4 2" xfId="15063"/>
    <cellStyle name="Normal 57 9 5 5" xfId="10534"/>
    <cellStyle name="Normal 57 9 5 5 2" xfId="19361"/>
    <cellStyle name="Normal 57 9 5 6" xfId="11980"/>
    <cellStyle name="Normal 57 9 5 7" xfId="5278"/>
    <cellStyle name="Normal 57 9 6" xfId="1960"/>
    <cellStyle name="Normal 57 9 6 2" xfId="15906"/>
    <cellStyle name="Normal 57 9 6 3" xfId="12488"/>
    <cellStyle name="Normal 57 9 6 4" xfId="6863"/>
    <cellStyle name="Normal 57 9 7" xfId="3374"/>
    <cellStyle name="Normal 57 9 7 2" xfId="16873"/>
    <cellStyle name="Normal 57 9 7 3" xfId="13294"/>
    <cellStyle name="Normal 57 9 7 4" xfId="8037"/>
    <cellStyle name="Normal 57 9 8" xfId="5598"/>
    <cellStyle name="Normal 57 9 8 2" xfId="14684"/>
    <cellStyle name="Normal 57 9 9" xfId="9491"/>
    <cellStyle name="Normal 57 9 9 2" xfId="18318"/>
    <cellStyle name="Normal 57 9_Degree data" xfId="1740"/>
    <cellStyle name="Normal 57_Degree data" xfId="1684"/>
    <cellStyle name="Normal 58" xfId="35"/>
    <cellStyle name="Normal 58 10" xfId="293"/>
    <cellStyle name="Normal 58 10 2" xfId="769"/>
    <cellStyle name="Normal 58 10 2 2" xfId="2498"/>
    <cellStyle name="Normal 58 10 2 2 2" xfId="16386"/>
    <cellStyle name="Normal 58 10 2 2 3" xfId="12808"/>
    <cellStyle name="Normal 58 10 2 2 4" xfId="7518"/>
    <cellStyle name="Normal 58 10 2 3" xfId="3765"/>
    <cellStyle name="Normal 58 10 2 3 2" xfId="17411"/>
    <cellStyle name="Normal 58 10 2 3 3" xfId="13832"/>
    <cellStyle name="Normal 58 10 2 3 4" xfId="8575"/>
    <cellStyle name="Normal 58 10 2 4" xfId="6634"/>
    <cellStyle name="Normal 58 10 2 4 2" xfId="15718"/>
    <cellStyle name="Normal 58 10 2 5" xfId="10029"/>
    <cellStyle name="Normal 58 10 2 5 2" xfId="18856"/>
    <cellStyle name="Normal 58 10 2 6" xfId="11474"/>
    <cellStyle name="Normal 58 10 2 7" xfId="5112"/>
    <cellStyle name="Normal 58 10 3" xfId="1126"/>
    <cellStyle name="Normal 58 10 3 2" xfId="2846"/>
    <cellStyle name="Normal 58 10 3 2 2" xfId="16653"/>
    <cellStyle name="Normal 58 10 3 2 3" xfId="13074"/>
    <cellStyle name="Normal 58 10 3 2 4" xfId="7785"/>
    <cellStyle name="Normal 58 10 3 3" xfId="4114"/>
    <cellStyle name="Normal 58 10 3 3 2" xfId="17759"/>
    <cellStyle name="Normal 58 10 3 3 3" xfId="14180"/>
    <cellStyle name="Normal 58 10 3 3 4" xfId="8923"/>
    <cellStyle name="Normal 58 10 3 4" xfId="6192"/>
    <cellStyle name="Normal 58 10 3 4 2" xfId="15276"/>
    <cellStyle name="Normal 58 10 3 5" xfId="10377"/>
    <cellStyle name="Normal 58 10 3 5 2" xfId="19204"/>
    <cellStyle name="Normal 58 10 3 6" xfId="11823"/>
    <cellStyle name="Normal 58 10 3 7" xfId="5379"/>
    <cellStyle name="Normal 58 10 4" xfId="1505"/>
    <cellStyle name="Normal 58 10 4 2" xfId="3104"/>
    <cellStyle name="Normal 58 10 4 2 2" xfId="18017"/>
    <cellStyle name="Normal 58 10 4 2 3" xfId="14438"/>
    <cellStyle name="Normal 58 10 4 2 4" xfId="9181"/>
    <cellStyle name="Normal 58 10 4 3" xfId="10635"/>
    <cellStyle name="Normal 58 10 4 3 2" xfId="19462"/>
    <cellStyle name="Normal 58 10 4 4" xfId="12081"/>
    <cellStyle name="Normal 58 10 4 5" xfId="7076"/>
    <cellStyle name="Normal 58 10 5" xfId="2061"/>
    <cellStyle name="Normal 58 10 5 2" xfId="16974"/>
    <cellStyle name="Normal 58 10 5 3" xfId="13395"/>
    <cellStyle name="Normal 58 10 5 4" xfId="8138"/>
    <cellStyle name="Normal 58 10 6" xfId="5699"/>
    <cellStyle name="Normal 58 10 6 2" xfId="14785"/>
    <cellStyle name="Normal 58 10 7" xfId="9592"/>
    <cellStyle name="Normal 58 10 7 2" xfId="18419"/>
    <cellStyle name="Normal 58 10 8" xfId="11036"/>
    <cellStyle name="Normal 58 10 9" xfId="4670"/>
    <cellStyle name="Normal 58 10_Degree data" xfId="1743"/>
    <cellStyle name="Normal 58 11" xfId="471"/>
    <cellStyle name="Normal 58 11 2" xfId="770"/>
    <cellStyle name="Normal 58 11 2 2" xfId="2499"/>
    <cellStyle name="Normal 58 11 2 2 2" xfId="16387"/>
    <cellStyle name="Normal 58 11 2 2 3" xfId="12809"/>
    <cellStyle name="Normal 58 11 2 2 4" xfId="7519"/>
    <cellStyle name="Normal 58 11 2 3" xfId="3766"/>
    <cellStyle name="Normal 58 11 2 3 2" xfId="17412"/>
    <cellStyle name="Normal 58 11 2 3 3" xfId="13833"/>
    <cellStyle name="Normal 58 11 2 3 4" xfId="8576"/>
    <cellStyle name="Normal 58 11 2 4" xfId="6635"/>
    <cellStyle name="Normal 58 11 2 4 2" xfId="15719"/>
    <cellStyle name="Normal 58 11 2 5" xfId="10030"/>
    <cellStyle name="Normal 58 11 2 5 2" xfId="18857"/>
    <cellStyle name="Normal 58 11 2 6" xfId="11475"/>
    <cellStyle name="Normal 58 11 2 7" xfId="5113"/>
    <cellStyle name="Normal 58 11 3" xfId="1127"/>
    <cellStyle name="Normal 58 11 3 2" xfId="2847"/>
    <cellStyle name="Normal 58 11 3 2 2" xfId="16509"/>
    <cellStyle name="Normal 58 11 3 2 3" xfId="12931"/>
    <cellStyle name="Normal 58 11 3 2 4" xfId="7641"/>
    <cellStyle name="Normal 58 11 3 3" xfId="4115"/>
    <cellStyle name="Normal 58 11 3 3 2" xfId="17760"/>
    <cellStyle name="Normal 58 11 3 3 3" xfId="14181"/>
    <cellStyle name="Normal 58 11 3 3 4" xfId="8924"/>
    <cellStyle name="Normal 58 11 3 4" xfId="6750"/>
    <cellStyle name="Normal 58 11 3 4 2" xfId="15833"/>
    <cellStyle name="Normal 58 11 3 5" xfId="10378"/>
    <cellStyle name="Normal 58 11 3 5 2" xfId="19205"/>
    <cellStyle name="Normal 58 11 3 6" xfId="11824"/>
    <cellStyle name="Normal 58 11 3 7" xfId="5235"/>
    <cellStyle name="Normal 58 11 4" xfId="1347"/>
    <cellStyle name="Normal 58 11 4 2" xfId="2960"/>
    <cellStyle name="Normal 58 11 4 2 2" xfId="17873"/>
    <cellStyle name="Normal 58 11 4 2 3" xfId="14294"/>
    <cellStyle name="Normal 58 11 4 2 4" xfId="9037"/>
    <cellStyle name="Normal 58 11 4 3" xfId="10491"/>
    <cellStyle name="Normal 58 11 4 3 2" xfId="19318"/>
    <cellStyle name="Normal 58 11 4 4" xfId="11937"/>
    <cellStyle name="Normal 58 11 4 5" xfId="6932"/>
    <cellStyle name="Normal 58 11 5" xfId="1917"/>
    <cellStyle name="Normal 58 11 5 2" xfId="16828"/>
    <cellStyle name="Normal 58 11 5 3" xfId="13249"/>
    <cellStyle name="Normal 58 11 5 4" xfId="7992"/>
    <cellStyle name="Normal 58 11 6" xfId="6048"/>
    <cellStyle name="Normal 58 11 6 2" xfId="15132"/>
    <cellStyle name="Normal 58 11 7" xfId="9448"/>
    <cellStyle name="Normal 58 11 7 2" xfId="18275"/>
    <cellStyle name="Normal 58 11 8" xfId="10892"/>
    <cellStyle name="Normal 58 11 9" xfId="4526"/>
    <cellStyle name="Normal 58 11_Degree data" xfId="1744"/>
    <cellStyle name="Normal 58 12" xfId="768"/>
    <cellStyle name="Normal 58 12 2" xfId="2497"/>
    <cellStyle name="Normal 58 12 2 2" xfId="16385"/>
    <cellStyle name="Normal 58 12 2 3" xfId="12807"/>
    <cellStyle name="Normal 58 12 2 4" xfId="7517"/>
    <cellStyle name="Normal 58 12 3" xfId="3764"/>
    <cellStyle name="Normal 58 12 3 2" xfId="17410"/>
    <cellStyle name="Normal 58 12 3 3" xfId="13831"/>
    <cellStyle name="Normal 58 12 3 4" xfId="8574"/>
    <cellStyle name="Normal 58 12 4" xfId="6633"/>
    <cellStyle name="Normal 58 12 4 2" xfId="15717"/>
    <cellStyle name="Normal 58 12 5" xfId="10028"/>
    <cellStyle name="Normal 58 12 5 2" xfId="18855"/>
    <cellStyle name="Normal 58 12 6" xfId="11473"/>
    <cellStyle name="Normal 58 12 7" xfId="5111"/>
    <cellStyle name="Normal 58 13" xfId="1125"/>
    <cellStyle name="Normal 58 13 2" xfId="2845"/>
    <cellStyle name="Normal 58 13 2 2" xfId="16482"/>
    <cellStyle name="Normal 58 13 2 3" xfId="12904"/>
    <cellStyle name="Normal 58 13 2 4" xfId="7614"/>
    <cellStyle name="Normal 58 13 3" xfId="4113"/>
    <cellStyle name="Normal 58 13 3 2" xfId="17758"/>
    <cellStyle name="Normal 58 13 3 3" xfId="14179"/>
    <cellStyle name="Normal 58 13 3 4" xfId="8922"/>
    <cellStyle name="Normal 58 13 4" xfId="5872"/>
    <cellStyle name="Normal 58 13 4 2" xfId="14958"/>
    <cellStyle name="Normal 58 13 5" xfId="10376"/>
    <cellStyle name="Normal 58 13 5 2" xfId="19203"/>
    <cellStyle name="Normal 58 13 6" xfId="11822"/>
    <cellStyle name="Normal 58 13 7" xfId="5208"/>
    <cellStyle name="Normal 58 14" xfId="1279"/>
    <cellStyle name="Normal 58 14 2" xfId="2933"/>
    <cellStyle name="Normal 58 14 2 2" xfId="17846"/>
    <cellStyle name="Normal 58 14 2 3" xfId="14267"/>
    <cellStyle name="Normal 58 14 2 4" xfId="9010"/>
    <cellStyle name="Normal 58 14 3" xfId="10464"/>
    <cellStyle name="Normal 58 14 3 2" xfId="19291"/>
    <cellStyle name="Normal 58 14 4" xfId="11910"/>
    <cellStyle name="Normal 58 14 5" xfId="6758"/>
    <cellStyle name="Normal 58 15" xfId="1890"/>
    <cellStyle name="Normal 58 15 2" xfId="9421"/>
    <cellStyle name="Normal 58 15 2 2" xfId="18248"/>
    <cellStyle name="Normal 58 15 3" xfId="10865"/>
    <cellStyle name="Normal 58 15 4" xfId="7965"/>
    <cellStyle name="Normal 58 16" xfId="1847"/>
    <cellStyle name="Normal 58 16 2" xfId="14641"/>
    <cellStyle name="Normal 58 16 3" xfId="5555"/>
    <cellStyle name="Normal 58 17" xfId="9381"/>
    <cellStyle name="Normal 58 17 2" xfId="18208"/>
    <cellStyle name="Normal 58 18" xfId="10820"/>
    <cellStyle name="Normal 58 19" xfId="4353"/>
    <cellStyle name="Normal 58 2" xfId="34"/>
    <cellStyle name="Normal 58 3" xfId="129"/>
    <cellStyle name="Normal 58 3 10" xfId="1902"/>
    <cellStyle name="Normal 58 3 10 2" xfId="9433"/>
    <cellStyle name="Normal 58 3 10 2 2" xfId="18260"/>
    <cellStyle name="Normal 58 3 10 3" xfId="10877"/>
    <cellStyle name="Normal 58 3 10 4" xfId="7977"/>
    <cellStyle name="Normal 58 3 11" xfId="1872"/>
    <cellStyle name="Normal 58 3 11 2" xfId="14646"/>
    <cellStyle name="Normal 58 3 11 3" xfId="5560"/>
    <cellStyle name="Normal 58 3 12" xfId="9403"/>
    <cellStyle name="Normal 58 3 12 2" xfId="18230"/>
    <cellStyle name="Normal 58 3 13" xfId="10847"/>
    <cellStyle name="Normal 58 3 14" xfId="4366"/>
    <cellStyle name="Normal 58 3 2" xfId="158"/>
    <cellStyle name="Normal 58 3 2 10" xfId="5585"/>
    <cellStyle name="Normal 58 3 2 10 2" xfId="14671"/>
    <cellStyle name="Normal 58 3 2 11" xfId="9478"/>
    <cellStyle name="Normal 58 3 2 11 2" xfId="18305"/>
    <cellStyle name="Normal 58 3 2 12" xfId="10922"/>
    <cellStyle name="Normal 58 3 2 13" xfId="4396"/>
    <cellStyle name="Normal 58 3 2 2" xfId="228"/>
    <cellStyle name="Normal 58 3 2 2 10" xfId="10979"/>
    <cellStyle name="Normal 58 3 2 2 11" xfId="4500"/>
    <cellStyle name="Normal 58 3 2 2 2" xfId="441"/>
    <cellStyle name="Normal 58 3 2 2 2 2" xfId="774"/>
    <cellStyle name="Normal 58 3 2 2 2 2 2" xfId="2503"/>
    <cellStyle name="Normal 58 3 2 2 2 2 2 2" xfId="16391"/>
    <cellStyle name="Normal 58 3 2 2 2 2 2 3" xfId="12813"/>
    <cellStyle name="Normal 58 3 2 2 2 2 2 4" xfId="7523"/>
    <cellStyle name="Normal 58 3 2 2 2 2 3" xfId="3770"/>
    <cellStyle name="Normal 58 3 2 2 2 2 3 2" xfId="17416"/>
    <cellStyle name="Normal 58 3 2 2 2 2 3 3" xfId="13837"/>
    <cellStyle name="Normal 58 3 2 2 2 2 3 4" xfId="8580"/>
    <cellStyle name="Normal 58 3 2 2 2 2 4" xfId="6639"/>
    <cellStyle name="Normal 58 3 2 2 2 2 4 2" xfId="15723"/>
    <cellStyle name="Normal 58 3 2 2 2 2 5" xfId="10034"/>
    <cellStyle name="Normal 58 3 2 2 2 2 5 2" xfId="18861"/>
    <cellStyle name="Normal 58 3 2 2 2 2 6" xfId="11479"/>
    <cellStyle name="Normal 58 3 2 2 2 2 7" xfId="5117"/>
    <cellStyle name="Normal 58 3 2 2 2 3" xfId="1131"/>
    <cellStyle name="Normal 58 3 2 2 2 3 2" xfId="2851"/>
    <cellStyle name="Normal 58 3 2 2 2 3 2 2" xfId="16800"/>
    <cellStyle name="Normal 58 3 2 2 2 3 2 3" xfId="13221"/>
    <cellStyle name="Normal 58 3 2 2 2 3 2 4" xfId="7932"/>
    <cellStyle name="Normal 58 3 2 2 2 3 3" xfId="4119"/>
    <cellStyle name="Normal 58 3 2 2 2 3 3 2" xfId="17764"/>
    <cellStyle name="Normal 58 3 2 2 2 3 3 3" xfId="14185"/>
    <cellStyle name="Normal 58 3 2 2 2 3 3 4" xfId="8928"/>
    <cellStyle name="Normal 58 3 2 2 2 3 4" xfId="6339"/>
    <cellStyle name="Normal 58 3 2 2 2 3 4 2" xfId="15423"/>
    <cellStyle name="Normal 58 3 2 2 2 3 5" xfId="10382"/>
    <cellStyle name="Normal 58 3 2 2 2 3 5 2" xfId="19209"/>
    <cellStyle name="Normal 58 3 2 2 2 3 6" xfId="11828"/>
    <cellStyle name="Normal 58 3 2 2 2 3 7" xfId="5526"/>
    <cellStyle name="Normal 58 3 2 2 2 4" xfId="1655"/>
    <cellStyle name="Normal 58 3 2 2 2 4 2" xfId="3251"/>
    <cellStyle name="Normal 58 3 2 2 2 4 2 2" xfId="18164"/>
    <cellStyle name="Normal 58 3 2 2 2 4 2 3" xfId="14585"/>
    <cellStyle name="Normal 58 3 2 2 2 4 2 4" xfId="9328"/>
    <cellStyle name="Normal 58 3 2 2 2 4 3" xfId="10782"/>
    <cellStyle name="Normal 58 3 2 2 2 4 3 2" xfId="19609"/>
    <cellStyle name="Normal 58 3 2 2 2 4 4" xfId="12228"/>
    <cellStyle name="Normal 58 3 2 2 2 4 5" xfId="7223"/>
    <cellStyle name="Normal 58 3 2 2 2 5" xfId="2208"/>
    <cellStyle name="Normal 58 3 2 2 2 5 2" xfId="17121"/>
    <cellStyle name="Normal 58 3 2 2 2 5 3" xfId="13542"/>
    <cellStyle name="Normal 58 3 2 2 2 5 4" xfId="8285"/>
    <cellStyle name="Normal 58 3 2 2 2 6" xfId="5846"/>
    <cellStyle name="Normal 58 3 2 2 2 6 2" xfId="14932"/>
    <cellStyle name="Normal 58 3 2 2 2 7" xfId="9739"/>
    <cellStyle name="Normal 58 3 2 2 2 7 2" xfId="18566"/>
    <cellStyle name="Normal 58 3 2 2 2 8" xfId="11183"/>
    <cellStyle name="Normal 58 3 2 2 2 9" xfId="4817"/>
    <cellStyle name="Normal 58 3 2 2 2_Degree data" xfId="1748"/>
    <cellStyle name="Normal 58 3 2 2 3" xfId="773"/>
    <cellStyle name="Normal 58 3 2 2 3 2" xfId="2502"/>
    <cellStyle name="Normal 58 3 2 2 3 2 2" xfId="16033"/>
    <cellStyle name="Normal 58 3 2 2 3 2 3" xfId="12334"/>
    <cellStyle name="Normal 58 3 2 2 3 2 4" xfId="7019"/>
    <cellStyle name="Normal 58 3 2 2 3 3" xfId="3769"/>
    <cellStyle name="Normal 58 3 2 2 3 3 2" xfId="17415"/>
    <cellStyle name="Normal 58 3 2 2 3 3 3" xfId="13836"/>
    <cellStyle name="Normal 58 3 2 2 3 3 4" xfId="8579"/>
    <cellStyle name="Normal 58 3 2 2 3 4" xfId="6135"/>
    <cellStyle name="Normal 58 3 2 2 3 4 2" xfId="15219"/>
    <cellStyle name="Normal 58 3 2 2 3 5" xfId="10033"/>
    <cellStyle name="Normal 58 3 2 2 3 5 2" xfId="18860"/>
    <cellStyle name="Normal 58 3 2 2 3 6" xfId="11478"/>
    <cellStyle name="Normal 58 3 2 2 3 7" xfId="4613"/>
    <cellStyle name="Normal 58 3 2 2 4" xfId="1130"/>
    <cellStyle name="Normal 58 3 2 2 4 2" xfId="2850"/>
    <cellStyle name="Normal 58 3 2 2 4 2 2" xfId="16390"/>
    <cellStyle name="Normal 58 3 2 2 4 2 3" xfId="12812"/>
    <cellStyle name="Normal 58 3 2 2 4 2 4" xfId="7522"/>
    <cellStyle name="Normal 58 3 2 2 4 3" xfId="4118"/>
    <cellStyle name="Normal 58 3 2 2 4 3 2" xfId="17763"/>
    <cellStyle name="Normal 58 3 2 2 4 3 3" xfId="14184"/>
    <cellStyle name="Normal 58 3 2 2 4 3 4" xfId="8927"/>
    <cellStyle name="Normal 58 3 2 2 4 4" xfId="6638"/>
    <cellStyle name="Normal 58 3 2 2 4 4 2" xfId="15722"/>
    <cellStyle name="Normal 58 3 2 2 4 5" xfId="10381"/>
    <cellStyle name="Normal 58 3 2 2 4 5 2" xfId="19208"/>
    <cellStyle name="Normal 58 3 2 2 4 6" xfId="11827"/>
    <cellStyle name="Normal 58 3 2 2 4 7" xfId="5116"/>
    <cellStyle name="Normal 58 3 2 2 5" xfId="1446"/>
    <cellStyle name="Normal 58 3 2 2 5 2" xfId="3047"/>
    <cellStyle name="Normal 58 3 2 2 5 2 2" xfId="16596"/>
    <cellStyle name="Normal 58 3 2 2 5 2 3" xfId="13017"/>
    <cellStyle name="Normal 58 3 2 2 5 2 4" xfId="7728"/>
    <cellStyle name="Normal 58 3 2 2 5 3" xfId="4255"/>
    <cellStyle name="Normal 58 3 2 2 5 3 2" xfId="17960"/>
    <cellStyle name="Normal 58 3 2 2 5 3 3" xfId="14381"/>
    <cellStyle name="Normal 58 3 2 2 5 3 4" xfId="9124"/>
    <cellStyle name="Normal 58 3 2 2 5 4" xfId="6020"/>
    <cellStyle name="Normal 58 3 2 2 5 4 2" xfId="15106"/>
    <cellStyle name="Normal 58 3 2 2 5 5" xfId="10578"/>
    <cellStyle name="Normal 58 3 2 2 5 5 2" xfId="19405"/>
    <cellStyle name="Normal 58 3 2 2 5 6" xfId="12024"/>
    <cellStyle name="Normal 58 3 2 2 5 7" xfId="5322"/>
    <cellStyle name="Normal 58 3 2 2 6" xfId="2004"/>
    <cellStyle name="Normal 58 3 2 2 6 2" xfId="15949"/>
    <cellStyle name="Normal 58 3 2 2 6 3" xfId="12414"/>
    <cellStyle name="Normal 58 3 2 2 6 4" xfId="6906"/>
    <cellStyle name="Normal 58 3 2 2 7" xfId="3417"/>
    <cellStyle name="Normal 58 3 2 2 7 2" xfId="16917"/>
    <cellStyle name="Normal 58 3 2 2 7 3" xfId="13338"/>
    <cellStyle name="Normal 58 3 2 2 7 4" xfId="8081"/>
    <cellStyle name="Normal 58 3 2 2 8" xfId="5642"/>
    <cellStyle name="Normal 58 3 2 2 8 2" xfId="14728"/>
    <cellStyle name="Normal 58 3 2 2 9" xfId="9535"/>
    <cellStyle name="Normal 58 3 2 2 9 2" xfId="18362"/>
    <cellStyle name="Normal 58 3 2 2_Degree data" xfId="1747"/>
    <cellStyle name="Normal 58 3 2 3" xfId="397"/>
    <cellStyle name="Normal 58 3 2 3 10" xfId="4456"/>
    <cellStyle name="Normal 58 3 2 3 2" xfId="775"/>
    <cellStyle name="Normal 58 3 2 3 2 2" xfId="2504"/>
    <cellStyle name="Normal 58 3 2 3 2 2 2" xfId="16093"/>
    <cellStyle name="Normal 58 3 2 3 2 2 3" xfId="12318"/>
    <cellStyle name="Normal 58 3 2 3 2 2 4" xfId="7179"/>
    <cellStyle name="Normal 58 3 2 3 2 3" xfId="3771"/>
    <cellStyle name="Normal 58 3 2 3 2 3 2" xfId="17417"/>
    <cellStyle name="Normal 58 3 2 3 2 3 3" xfId="13838"/>
    <cellStyle name="Normal 58 3 2 3 2 3 4" xfId="8581"/>
    <cellStyle name="Normal 58 3 2 3 2 4" xfId="6295"/>
    <cellStyle name="Normal 58 3 2 3 2 4 2" xfId="15379"/>
    <cellStyle name="Normal 58 3 2 3 2 5" xfId="10035"/>
    <cellStyle name="Normal 58 3 2 3 2 5 2" xfId="18862"/>
    <cellStyle name="Normal 58 3 2 3 2 6" xfId="11480"/>
    <cellStyle name="Normal 58 3 2 3 2 7" xfId="4773"/>
    <cellStyle name="Normal 58 3 2 3 3" xfId="1132"/>
    <cellStyle name="Normal 58 3 2 3 3 2" xfId="2852"/>
    <cellStyle name="Normal 58 3 2 3 3 2 2" xfId="16392"/>
    <cellStyle name="Normal 58 3 2 3 3 2 3" xfId="12814"/>
    <cellStyle name="Normal 58 3 2 3 3 2 4" xfId="7524"/>
    <cellStyle name="Normal 58 3 2 3 3 3" xfId="4120"/>
    <cellStyle name="Normal 58 3 2 3 3 3 2" xfId="17765"/>
    <cellStyle name="Normal 58 3 2 3 3 3 3" xfId="14186"/>
    <cellStyle name="Normal 58 3 2 3 3 3 4" xfId="8929"/>
    <cellStyle name="Normal 58 3 2 3 3 4" xfId="6640"/>
    <cellStyle name="Normal 58 3 2 3 3 4 2" xfId="15724"/>
    <cellStyle name="Normal 58 3 2 3 3 5" xfId="10383"/>
    <cellStyle name="Normal 58 3 2 3 3 5 2" xfId="19210"/>
    <cellStyle name="Normal 58 3 2 3 3 6" xfId="11829"/>
    <cellStyle name="Normal 58 3 2 3 3 7" xfId="5118"/>
    <cellStyle name="Normal 58 3 2 3 4" xfId="1611"/>
    <cellStyle name="Normal 58 3 2 3 4 2" xfId="3207"/>
    <cellStyle name="Normal 58 3 2 3 4 2 2" xfId="16756"/>
    <cellStyle name="Normal 58 3 2 3 4 2 3" xfId="13177"/>
    <cellStyle name="Normal 58 3 2 3 4 2 4" xfId="7888"/>
    <cellStyle name="Normal 58 3 2 3 4 3" xfId="4315"/>
    <cellStyle name="Normal 58 3 2 3 4 3 2" xfId="18120"/>
    <cellStyle name="Normal 58 3 2 3 4 3 3" xfId="14541"/>
    <cellStyle name="Normal 58 3 2 3 4 3 4" xfId="9284"/>
    <cellStyle name="Normal 58 3 2 3 4 4" xfId="5976"/>
    <cellStyle name="Normal 58 3 2 3 4 4 2" xfId="15062"/>
    <cellStyle name="Normal 58 3 2 3 4 5" xfId="10738"/>
    <cellStyle name="Normal 58 3 2 3 4 5 2" xfId="19565"/>
    <cellStyle name="Normal 58 3 2 3 4 6" xfId="12184"/>
    <cellStyle name="Normal 58 3 2 3 4 7" xfId="5482"/>
    <cellStyle name="Normal 58 3 2 3 5" xfId="2164"/>
    <cellStyle name="Normal 58 3 2 3 5 2" xfId="15905"/>
    <cellStyle name="Normal 58 3 2 3 5 3" xfId="12258"/>
    <cellStyle name="Normal 58 3 2 3 5 4" xfId="6862"/>
    <cellStyle name="Normal 58 3 2 3 6" xfId="3477"/>
    <cellStyle name="Normal 58 3 2 3 6 2" xfId="17077"/>
    <cellStyle name="Normal 58 3 2 3 6 3" xfId="13498"/>
    <cellStyle name="Normal 58 3 2 3 6 4" xfId="8241"/>
    <cellStyle name="Normal 58 3 2 3 7" xfId="5802"/>
    <cellStyle name="Normal 58 3 2 3 7 2" xfId="14888"/>
    <cellStyle name="Normal 58 3 2 3 8" xfId="9695"/>
    <cellStyle name="Normal 58 3 2 3 8 2" xfId="18522"/>
    <cellStyle name="Normal 58 3 2 3 9" xfId="11139"/>
    <cellStyle name="Normal 58 3 2 3_Degree data" xfId="1749"/>
    <cellStyle name="Normal 58 3 2 4" xfId="336"/>
    <cellStyle name="Normal 58 3 2 4 2" xfId="776"/>
    <cellStyle name="Normal 58 3 2 4 2 2" xfId="2505"/>
    <cellStyle name="Normal 58 3 2 4 2 2 2" xfId="16393"/>
    <cellStyle name="Normal 58 3 2 4 2 2 3" xfId="12815"/>
    <cellStyle name="Normal 58 3 2 4 2 2 4" xfId="7525"/>
    <cellStyle name="Normal 58 3 2 4 2 3" xfId="3772"/>
    <cellStyle name="Normal 58 3 2 4 2 3 2" xfId="17418"/>
    <cellStyle name="Normal 58 3 2 4 2 3 3" xfId="13839"/>
    <cellStyle name="Normal 58 3 2 4 2 3 4" xfId="8582"/>
    <cellStyle name="Normal 58 3 2 4 2 4" xfId="6641"/>
    <cellStyle name="Normal 58 3 2 4 2 4 2" xfId="15725"/>
    <cellStyle name="Normal 58 3 2 4 2 5" xfId="10036"/>
    <cellStyle name="Normal 58 3 2 4 2 5 2" xfId="18863"/>
    <cellStyle name="Normal 58 3 2 4 2 6" xfId="11481"/>
    <cellStyle name="Normal 58 3 2 4 2 7" xfId="5119"/>
    <cellStyle name="Normal 58 3 2 4 3" xfId="1133"/>
    <cellStyle name="Normal 58 3 2 4 3 2" xfId="2853"/>
    <cellStyle name="Normal 58 3 2 4 3 2 2" xfId="16696"/>
    <cellStyle name="Normal 58 3 2 4 3 2 3" xfId="13117"/>
    <cellStyle name="Normal 58 3 2 4 3 2 4" xfId="7828"/>
    <cellStyle name="Normal 58 3 2 4 3 3" xfId="4121"/>
    <cellStyle name="Normal 58 3 2 4 3 3 2" xfId="17766"/>
    <cellStyle name="Normal 58 3 2 4 3 3 3" xfId="14187"/>
    <cellStyle name="Normal 58 3 2 4 3 3 4" xfId="8930"/>
    <cellStyle name="Normal 58 3 2 4 3 4" xfId="6235"/>
    <cellStyle name="Normal 58 3 2 4 3 4 2" xfId="15319"/>
    <cellStyle name="Normal 58 3 2 4 3 5" xfId="10384"/>
    <cellStyle name="Normal 58 3 2 4 3 5 2" xfId="19211"/>
    <cellStyle name="Normal 58 3 2 4 3 6" xfId="11830"/>
    <cellStyle name="Normal 58 3 2 4 3 7" xfId="5422"/>
    <cellStyle name="Normal 58 3 2 4 4" xfId="1548"/>
    <cellStyle name="Normal 58 3 2 4 4 2" xfId="3147"/>
    <cellStyle name="Normal 58 3 2 4 4 2 2" xfId="18060"/>
    <cellStyle name="Normal 58 3 2 4 4 2 3" xfId="14481"/>
    <cellStyle name="Normal 58 3 2 4 4 2 4" xfId="9224"/>
    <cellStyle name="Normal 58 3 2 4 4 3" xfId="10678"/>
    <cellStyle name="Normal 58 3 2 4 4 3 2" xfId="19505"/>
    <cellStyle name="Normal 58 3 2 4 4 4" xfId="12124"/>
    <cellStyle name="Normal 58 3 2 4 4 5" xfId="7119"/>
    <cellStyle name="Normal 58 3 2 4 5" xfId="2104"/>
    <cellStyle name="Normal 58 3 2 4 5 2" xfId="17017"/>
    <cellStyle name="Normal 58 3 2 4 5 3" xfId="13438"/>
    <cellStyle name="Normal 58 3 2 4 5 4" xfId="8181"/>
    <cellStyle name="Normal 58 3 2 4 6" xfId="5742"/>
    <cellStyle name="Normal 58 3 2 4 6 2" xfId="14828"/>
    <cellStyle name="Normal 58 3 2 4 7" xfId="9635"/>
    <cellStyle name="Normal 58 3 2 4 7 2" xfId="18462"/>
    <cellStyle name="Normal 58 3 2 4 8" xfId="11079"/>
    <cellStyle name="Normal 58 3 2 4 9" xfId="4713"/>
    <cellStyle name="Normal 58 3 2 4_Degree data" xfId="1750"/>
    <cellStyle name="Normal 58 3 2 5" xfId="772"/>
    <cellStyle name="Normal 58 3 2 5 2" xfId="2501"/>
    <cellStyle name="Normal 58 3 2 5 2 2" xfId="15987"/>
    <cellStyle name="Normal 58 3 2 5 2 3" xfId="12405"/>
    <cellStyle name="Normal 58 3 2 5 2 4" xfId="6962"/>
    <cellStyle name="Normal 58 3 2 5 3" xfId="3768"/>
    <cellStyle name="Normal 58 3 2 5 3 2" xfId="17414"/>
    <cellStyle name="Normal 58 3 2 5 3 3" xfId="13835"/>
    <cellStyle name="Normal 58 3 2 5 3 4" xfId="8578"/>
    <cellStyle name="Normal 58 3 2 5 4" xfId="6078"/>
    <cellStyle name="Normal 58 3 2 5 4 2" xfId="15162"/>
    <cellStyle name="Normal 58 3 2 5 5" xfId="10032"/>
    <cellStyle name="Normal 58 3 2 5 5 2" xfId="18859"/>
    <cellStyle name="Normal 58 3 2 5 6" xfId="11477"/>
    <cellStyle name="Normal 58 3 2 5 7" xfId="4556"/>
    <cellStyle name="Normal 58 3 2 6" xfId="1129"/>
    <cellStyle name="Normal 58 3 2 6 2" xfId="2849"/>
    <cellStyle name="Normal 58 3 2 6 2 2" xfId="16389"/>
    <cellStyle name="Normal 58 3 2 6 2 3" xfId="12811"/>
    <cellStyle name="Normal 58 3 2 6 2 4" xfId="7521"/>
    <cellStyle name="Normal 58 3 2 6 3" xfId="4117"/>
    <cellStyle name="Normal 58 3 2 6 3 2" xfId="17762"/>
    <cellStyle name="Normal 58 3 2 6 3 3" xfId="14183"/>
    <cellStyle name="Normal 58 3 2 6 3 4" xfId="8926"/>
    <cellStyle name="Normal 58 3 2 6 4" xfId="6637"/>
    <cellStyle name="Normal 58 3 2 6 4 2" xfId="15721"/>
    <cellStyle name="Normal 58 3 2 6 5" xfId="10380"/>
    <cellStyle name="Normal 58 3 2 6 5 2" xfId="19207"/>
    <cellStyle name="Normal 58 3 2 6 6" xfId="11826"/>
    <cellStyle name="Normal 58 3 2 6 7" xfId="5115"/>
    <cellStyle name="Normal 58 3 2 7" xfId="1381"/>
    <cellStyle name="Normal 58 3 2 7 2" xfId="2990"/>
    <cellStyle name="Normal 58 3 2 7 2 2" xfId="16539"/>
    <cellStyle name="Normal 58 3 2 7 2 3" xfId="12960"/>
    <cellStyle name="Normal 58 3 2 7 2 4" xfId="7671"/>
    <cellStyle name="Normal 58 3 2 7 3" xfId="4209"/>
    <cellStyle name="Normal 58 3 2 7 3 2" xfId="17903"/>
    <cellStyle name="Normal 58 3 2 7 3 3" xfId="14324"/>
    <cellStyle name="Normal 58 3 2 7 3 4" xfId="9067"/>
    <cellStyle name="Normal 58 3 2 7 4" xfId="5916"/>
    <cellStyle name="Normal 58 3 2 7 4 2" xfId="15002"/>
    <cellStyle name="Normal 58 3 2 7 5" xfId="10521"/>
    <cellStyle name="Normal 58 3 2 7 5 2" xfId="19348"/>
    <cellStyle name="Normal 58 3 2 7 6" xfId="11967"/>
    <cellStyle name="Normal 58 3 2 7 7" xfId="5265"/>
    <cellStyle name="Normal 58 3 2 8" xfId="1947"/>
    <cellStyle name="Normal 58 3 2 8 2" xfId="15848"/>
    <cellStyle name="Normal 58 3 2 8 3" xfId="12466"/>
    <cellStyle name="Normal 58 3 2 8 4" xfId="6802"/>
    <cellStyle name="Normal 58 3 2 9" xfId="3371"/>
    <cellStyle name="Normal 58 3 2 9 2" xfId="16858"/>
    <cellStyle name="Normal 58 3 2 9 3" xfId="13279"/>
    <cellStyle name="Normal 58 3 2 9 4" xfId="8022"/>
    <cellStyle name="Normal 58 3 2_Degree data" xfId="1746"/>
    <cellStyle name="Normal 58 3 3" xfId="271"/>
    <cellStyle name="Normal 58 3 3 10" xfId="11022"/>
    <cellStyle name="Normal 58 3 3 11" xfId="4439"/>
    <cellStyle name="Normal 58 3 3 2" xfId="379"/>
    <cellStyle name="Normal 58 3 3 2 2" xfId="778"/>
    <cellStyle name="Normal 58 3 3 2 2 2" xfId="2507"/>
    <cellStyle name="Normal 58 3 3 2 2 2 2" xfId="16395"/>
    <cellStyle name="Normal 58 3 3 2 2 2 3" xfId="12817"/>
    <cellStyle name="Normal 58 3 3 2 2 2 4" xfId="7527"/>
    <cellStyle name="Normal 58 3 3 2 2 3" xfId="3774"/>
    <cellStyle name="Normal 58 3 3 2 2 3 2" xfId="17420"/>
    <cellStyle name="Normal 58 3 3 2 2 3 3" xfId="13841"/>
    <cellStyle name="Normal 58 3 3 2 2 3 4" xfId="8584"/>
    <cellStyle name="Normal 58 3 3 2 2 4" xfId="6643"/>
    <cellStyle name="Normal 58 3 3 2 2 4 2" xfId="15727"/>
    <cellStyle name="Normal 58 3 3 2 2 5" xfId="10038"/>
    <cellStyle name="Normal 58 3 3 2 2 5 2" xfId="18865"/>
    <cellStyle name="Normal 58 3 3 2 2 6" xfId="11483"/>
    <cellStyle name="Normal 58 3 3 2 2 7" xfId="5121"/>
    <cellStyle name="Normal 58 3 3 2 3" xfId="1135"/>
    <cellStyle name="Normal 58 3 3 2 3 2" xfId="2855"/>
    <cellStyle name="Normal 58 3 3 2 3 2 2" xfId="16739"/>
    <cellStyle name="Normal 58 3 3 2 3 2 3" xfId="13160"/>
    <cellStyle name="Normal 58 3 3 2 3 2 4" xfId="7871"/>
    <cellStyle name="Normal 58 3 3 2 3 3" xfId="4123"/>
    <cellStyle name="Normal 58 3 3 2 3 3 2" xfId="17768"/>
    <cellStyle name="Normal 58 3 3 2 3 3 3" xfId="14189"/>
    <cellStyle name="Normal 58 3 3 2 3 3 4" xfId="8932"/>
    <cellStyle name="Normal 58 3 3 2 3 4" xfId="6278"/>
    <cellStyle name="Normal 58 3 3 2 3 4 2" xfId="15362"/>
    <cellStyle name="Normal 58 3 3 2 3 5" xfId="10386"/>
    <cellStyle name="Normal 58 3 3 2 3 5 2" xfId="19213"/>
    <cellStyle name="Normal 58 3 3 2 3 6" xfId="11832"/>
    <cellStyle name="Normal 58 3 3 2 3 7" xfId="5465"/>
    <cellStyle name="Normal 58 3 3 2 4" xfId="1593"/>
    <cellStyle name="Normal 58 3 3 2 4 2" xfId="3190"/>
    <cellStyle name="Normal 58 3 3 2 4 2 2" xfId="18103"/>
    <cellStyle name="Normal 58 3 3 2 4 2 3" xfId="14524"/>
    <cellStyle name="Normal 58 3 3 2 4 2 4" xfId="9267"/>
    <cellStyle name="Normal 58 3 3 2 4 3" xfId="10721"/>
    <cellStyle name="Normal 58 3 3 2 4 3 2" xfId="19548"/>
    <cellStyle name="Normal 58 3 3 2 4 4" xfId="12167"/>
    <cellStyle name="Normal 58 3 3 2 4 5" xfId="7162"/>
    <cellStyle name="Normal 58 3 3 2 5" xfId="2147"/>
    <cellStyle name="Normal 58 3 3 2 5 2" xfId="17060"/>
    <cellStyle name="Normal 58 3 3 2 5 3" xfId="13481"/>
    <cellStyle name="Normal 58 3 3 2 5 4" xfId="8224"/>
    <cellStyle name="Normal 58 3 3 2 6" xfId="5785"/>
    <cellStyle name="Normal 58 3 3 2 6 2" xfId="14871"/>
    <cellStyle name="Normal 58 3 3 2 7" xfId="9678"/>
    <cellStyle name="Normal 58 3 3 2 7 2" xfId="18505"/>
    <cellStyle name="Normal 58 3 3 2 8" xfId="11122"/>
    <cellStyle name="Normal 58 3 3 2 9" xfId="4756"/>
    <cellStyle name="Normal 58 3 3 2_Degree data" xfId="1752"/>
    <cellStyle name="Normal 58 3 3 3" xfId="777"/>
    <cellStyle name="Normal 58 3 3 3 2" xfId="2506"/>
    <cellStyle name="Normal 58 3 3 3 2 2" xfId="16076"/>
    <cellStyle name="Normal 58 3 3 3 2 3" xfId="12296"/>
    <cellStyle name="Normal 58 3 3 3 2 4" xfId="7062"/>
    <cellStyle name="Normal 58 3 3 3 3" xfId="3773"/>
    <cellStyle name="Normal 58 3 3 3 3 2" xfId="17419"/>
    <cellStyle name="Normal 58 3 3 3 3 3" xfId="13840"/>
    <cellStyle name="Normal 58 3 3 3 3 4" xfId="8583"/>
    <cellStyle name="Normal 58 3 3 3 4" xfId="6178"/>
    <cellStyle name="Normal 58 3 3 3 4 2" xfId="15262"/>
    <cellStyle name="Normal 58 3 3 3 5" xfId="10037"/>
    <cellStyle name="Normal 58 3 3 3 5 2" xfId="18864"/>
    <cellStyle name="Normal 58 3 3 3 6" xfId="11482"/>
    <cellStyle name="Normal 58 3 3 3 7" xfId="4656"/>
    <cellStyle name="Normal 58 3 3 4" xfId="1134"/>
    <cellStyle name="Normal 58 3 3 4 2" xfId="2854"/>
    <cellStyle name="Normal 58 3 3 4 2 2" xfId="16394"/>
    <cellStyle name="Normal 58 3 3 4 2 3" xfId="12816"/>
    <cellStyle name="Normal 58 3 3 4 2 4" xfId="7526"/>
    <cellStyle name="Normal 58 3 3 4 3" xfId="4122"/>
    <cellStyle name="Normal 58 3 3 4 3 2" xfId="17767"/>
    <cellStyle name="Normal 58 3 3 4 3 3" xfId="14188"/>
    <cellStyle name="Normal 58 3 3 4 3 4" xfId="8931"/>
    <cellStyle name="Normal 58 3 3 4 4" xfId="6642"/>
    <cellStyle name="Normal 58 3 3 4 4 2" xfId="15726"/>
    <cellStyle name="Normal 58 3 3 4 5" xfId="10385"/>
    <cellStyle name="Normal 58 3 3 4 5 2" xfId="19212"/>
    <cellStyle name="Normal 58 3 3 4 6" xfId="11831"/>
    <cellStyle name="Normal 58 3 3 4 7" xfId="5120"/>
    <cellStyle name="Normal 58 3 3 5" xfId="1491"/>
    <cellStyle name="Normal 58 3 3 5 2" xfId="3090"/>
    <cellStyle name="Normal 58 3 3 5 2 2" xfId="16639"/>
    <cellStyle name="Normal 58 3 3 5 2 3" xfId="13060"/>
    <cellStyle name="Normal 58 3 3 5 2 4" xfId="7771"/>
    <cellStyle name="Normal 58 3 3 5 3" xfId="4298"/>
    <cellStyle name="Normal 58 3 3 5 3 2" xfId="18003"/>
    <cellStyle name="Normal 58 3 3 5 3 3" xfId="14424"/>
    <cellStyle name="Normal 58 3 3 5 3 4" xfId="9167"/>
    <cellStyle name="Normal 58 3 3 5 4" xfId="5959"/>
    <cellStyle name="Normal 58 3 3 5 4 2" xfId="15045"/>
    <cellStyle name="Normal 58 3 3 5 5" xfId="10621"/>
    <cellStyle name="Normal 58 3 3 5 5 2" xfId="19448"/>
    <cellStyle name="Normal 58 3 3 5 6" xfId="12067"/>
    <cellStyle name="Normal 58 3 3 5 7" xfId="5365"/>
    <cellStyle name="Normal 58 3 3 6" xfId="2047"/>
    <cellStyle name="Normal 58 3 3 6 2" xfId="15888"/>
    <cellStyle name="Normal 58 3 3 6 3" xfId="12448"/>
    <cellStyle name="Normal 58 3 3 6 4" xfId="6845"/>
    <cellStyle name="Normal 58 3 3 7" xfId="3460"/>
    <cellStyle name="Normal 58 3 3 7 2" xfId="16960"/>
    <cellStyle name="Normal 58 3 3 7 3" xfId="13381"/>
    <cellStyle name="Normal 58 3 3 7 4" xfId="8124"/>
    <cellStyle name="Normal 58 3 3 8" xfId="5685"/>
    <cellStyle name="Normal 58 3 3 8 2" xfId="14771"/>
    <cellStyle name="Normal 58 3 3 9" xfId="9578"/>
    <cellStyle name="Normal 58 3 3 9 2" xfId="18405"/>
    <cellStyle name="Normal 58 3 3_Degree data" xfId="1751"/>
    <cellStyle name="Normal 58 3 4" xfId="195"/>
    <cellStyle name="Normal 58 3 4 10" xfId="10949"/>
    <cellStyle name="Normal 58 3 4 11" xfId="4471"/>
    <cellStyle name="Normal 58 3 4 2" xfId="412"/>
    <cellStyle name="Normal 58 3 4 2 2" xfId="780"/>
    <cellStyle name="Normal 58 3 4 2 2 2" xfId="2509"/>
    <cellStyle name="Normal 58 3 4 2 2 2 2" xfId="16397"/>
    <cellStyle name="Normal 58 3 4 2 2 2 3" xfId="12819"/>
    <cellStyle name="Normal 58 3 4 2 2 2 4" xfId="7529"/>
    <cellStyle name="Normal 58 3 4 2 2 3" xfId="3776"/>
    <cellStyle name="Normal 58 3 4 2 2 3 2" xfId="17422"/>
    <cellStyle name="Normal 58 3 4 2 2 3 3" xfId="13843"/>
    <cellStyle name="Normal 58 3 4 2 2 3 4" xfId="8586"/>
    <cellStyle name="Normal 58 3 4 2 2 4" xfId="6645"/>
    <cellStyle name="Normal 58 3 4 2 2 4 2" xfId="15729"/>
    <cellStyle name="Normal 58 3 4 2 2 5" xfId="10040"/>
    <cellStyle name="Normal 58 3 4 2 2 5 2" xfId="18867"/>
    <cellStyle name="Normal 58 3 4 2 2 6" xfId="11485"/>
    <cellStyle name="Normal 58 3 4 2 2 7" xfId="5123"/>
    <cellStyle name="Normal 58 3 4 2 3" xfId="1137"/>
    <cellStyle name="Normal 58 3 4 2 3 2" xfId="2857"/>
    <cellStyle name="Normal 58 3 4 2 3 2 2" xfId="16771"/>
    <cellStyle name="Normal 58 3 4 2 3 2 3" xfId="13192"/>
    <cellStyle name="Normal 58 3 4 2 3 2 4" xfId="7903"/>
    <cellStyle name="Normal 58 3 4 2 3 3" xfId="4125"/>
    <cellStyle name="Normal 58 3 4 2 3 3 2" xfId="17770"/>
    <cellStyle name="Normal 58 3 4 2 3 3 3" xfId="14191"/>
    <cellStyle name="Normal 58 3 4 2 3 3 4" xfId="8934"/>
    <cellStyle name="Normal 58 3 4 2 3 4" xfId="6310"/>
    <cellStyle name="Normal 58 3 4 2 3 4 2" xfId="15394"/>
    <cellStyle name="Normal 58 3 4 2 3 5" xfId="10388"/>
    <cellStyle name="Normal 58 3 4 2 3 5 2" xfId="19215"/>
    <cellStyle name="Normal 58 3 4 2 3 6" xfId="11834"/>
    <cellStyle name="Normal 58 3 4 2 3 7" xfId="5497"/>
    <cellStyle name="Normal 58 3 4 2 4" xfId="1626"/>
    <cellStyle name="Normal 58 3 4 2 4 2" xfId="3222"/>
    <cellStyle name="Normal 58 3 4 2 4 2 2" xfId="18135"/>
    <cellStyle name="Normal 58 3 4 2 4 2 3" xfId="14556"/>
    <cellStyle name="Normal 58 3 4 2 4 2 4" xfId="9299"/>
    <cellStyle name="Normal 58 3 4 2 4 3" xfId="10753"/>
    <cellStyle name="Normal 58 3 4 2 4 3 2" xfId="19580"/>
    <cellStyle name="Normal 58 3 4 2 4 4" xfId="12199"/>
    <cellStyle name="Normal 58 3 4 2 4 5" xfId="7194"/>
    <cellStyle name="Normal 58 3 4 2 5" xfId="2179"/>
    <cellStyle name="Normal 58 3 4 2 5 2" xfId="17092"/>
    <cellStyle name="Normal 58 3 4 2 5 3" xfId="13513"/>
    <cellStyle name="Normal 58 3 4 2 5 4" xfId="8256"/>
    <cellStyle name="Normal 58 3 4 2 6" xfId="5817"/>
    <cellStyle name="Normal 58 3 4 2 6 2" xfId="14903"/>
    <cellStyle name="Normal 58 3 4 2 7" xfId="9710"/>
    <cellStyle name="Normal 58 3 4 2 7 2" xfId="18537"/>
    <cellStyle name="Normal 58 3 4 2 8" xfId="11154"/>
    <cellStyle name="Normal 58 3 4 2 9" xfId="4788"/>
    <cellStyle name="Normal 58 3 4 2_Degree data" xfId="1754"/>
    <cellStyle name="Normal 58 3 4 3" xfId="779"/>
    <cellStyle name="Normal 58 3 4 3 2" xfId="2508"/>
    <cellStyle name="Normal 58 3 4 3 2 2" xfId="16003"/>
    <cellStyle name="Normal 58 3 4 3 2 3" xfId="12402"/>
    <cellStyle name="Normal 58 3 4 3 2 4" xfId="6989"/>
    <cellStyle name="Normal 58 3 4 3 3" xfId="3775"/>
    <cellStyle name="Normal 58 3 4 3 3 2" xfId="17421"/>
    <cellStyle name="Normal 58 3 4 3 3 3" xfId="13842"/>
    <cellStyle name="Normal 58 3 4 3 3 4" xfId="8585"/>
    <cellStyle name="Normal 58 3 4 3 4" xfId="6105"/>
    <cellStyle name="Normal 58 3 4 3 4 2" xfId="15189"/>
    <cellStyle name="Normal 58 3 4 3 5" xfId="10039"/>
    <cellStyle name="Normal 58 3 4 3 5 2" xfId="18866"/>
    <cellStyle name="Normal 58 3 4 3 6" xfId="11484"/>
    <cellStyle name="Normal 58 3 4 3 7" xfId="4583"/>
    <cellStyle name="Normal 58 3 4 4" xfId="1136"/>
    <cellStyle name="Normal 58 3 4 4 2" xfId="2856"/>
    <cellStyle name="Normal 58 3 4 4 2 2" xfId="16396"/>
    <cellStyle name="Normal 58 3 4 4 2 3" xfId="12818"/>
    <cellStyle name="Normal 58 3 4 4 2 4" xfId="7528"/>
    <cellStyle name="Normal 58 3 4 4 3" xfId="4124"/>
    <cellStyle name="Normal 58 3 4 4 3 2" xfId="17769"/>
    <cellStyle name="Normal 58 3 4 4 3 3" xfId="14190"/>
    <cellStyle name="Normal 58 3 4 4 3 4" xfId="8933"/>
    <cellStyle name="Normal 58 3 4 4 4" xfId="6644"/>
    <cellStyle name="Normal 58 3 4 4 4 2" xfId="15728"/>
    <cellStyle name="Normal 58 3 4 4 5" xfId="10387"/>
    <cellStyle name="Normal 58 3 4 4 5 2" xfId="19214"/>
    <cellStyle name="Normal 58 3 4 4 6" xfId="11833"/>
    <cellStyle name="Normal 58 3 4 4 7" xfId="5122"/>
    <cellStyle name="Normal 58 3 4 5" xfId="1412"/>
    <cellStyle name="Normal 58 3 4 5 2" xfId="3017"/>
    <cellStyle name="Normal 58 3 4 5 2 2" xfId="16566"/>
    <cellStyle name="Normal 58 3 4 5 2 3" xfId="12987"/>
    <cellStyle name="Normal 58 3 4 5 2 4" xfId="7698"/>
    <cellStyle name="Normal 58 3 4 5 3" xfId="4225"/>
    <cellStyle name="Normal 58 3 4 5 3 2" xfId="17930"/>
    <cellStyle name="Normal 58 3 4 5 3 3" xfId="14351"/>
    <cellStyle name="Normal 58 3 4 5 3 4" xfId="9094"/>
    <cellStyle name="Normal 58 3 4 5 4" xfId="5991"/>
    <cellStyle name="Normal 58 3 4 5 4 2" xfId="15077"/>
    <cellStyle name="Normal 58 3 4 5 5" xfId="10548"/>
    <cellStyle name="Normal 58 3 4 5 5 2" xfId="19375"/>
    <cellStyle name="Normal 58 3 4 5 6" xfId="11994"/>
    <cellStyle name="Normal 58 3 4 5 7" xfId="5292"/>
    <cellStyle name="Normal 58 3 4 6" xfId="1974"/>
    <cellStyle name="Normal 58 3 4 6 2" xfId="15920"/>
    <cellStyle name="Normal 58 3 4 6 3" xfId="12360"/>
    <cellStyle name="Normal 58 3 4 6 4" xfId="6877"/>
    <cellStyle name="Normal 58 3 4 7" xfId="3388"/>
    <cellStyle name="Normal 58 3 4 7 2" xfId="16887"/>
    <cellStyle name="Normal 58 3 4 7 3" xfId="13308"/>
    <cellStyle name="Normal 58 3 4 7 4" xfId="8051"/>
    <cellStyle name="Normal 58 3 4 8" xfId="5612"/>
    <cellStyle name="Normal 58 3 4 8 2" xfId="14698"/>
    <cellStyle name="Normal 58 3 4 9" xfId="9505"/>
    <cellStyle name="Normal 58 3 4 9 2" xfId="18332"/>
    <cellStyle name="Normal 58 3 4_Degree data" xfId="1753"/>
    <cellStyle name="Normal 58 3 5" xfId="306"/>
    <cellStyle name="Normal 58 3 5 2" xfId="781"/>
    <cellStyle name="Normal 58 3 5 2 2" xfId="2510"/>
    <cellStyle name="Normal 58 3 5 2 2 2" xfId="16398"/>
    <cellStyle name="Normal 58 3 5 2 2 3" xfId="12820"/>
    <cellStyle name="Normal 58 3 5 2 2 4" xfId="7530"/>
    <cellStyle name="Normal 58 3 5 2 3" xfId="3777"/>
    <cellStyle name="Normal 58 3 5 2 3 2" xfId="17423"/>
    <cellStyle name="Normal 58 3 5 2 3 3" xfId="13844"/>
    <cellStyle name="Normal 58 3 5 2 3 4" xfId="8587"/>
    <cellStyle name="Normal 58 3 5 2 4" xfId="6646"/>
    <cellStyle name="Normal 58 3 5 2 4 2" xfId="15730"/>
    <cellStyle name="Normal 58 3 5 2 5" xfId="10041"/>
    <cellStyle name="Normal 58 3 5 2 5 2" xfId="18868"/>
    <cellStyle name="Normal 58 3 5 2 6" xfId="11486"/>
    <cellStyle name="Normal 58 3 5 2 7" xfId="5124"/>
    <cellStyle name="Normal 58 3 5 3" xfId="1138"/>
    <cellStyle name="Normal 58 3 5 3 2" xfId="2858"/>
    <cellStyle name="Normal 58 3 5 3 2 2" xfId="16666"/>
    <cellStyle name="Normal 58 3 5 3 2 3" xfId="13087"/>
    <cellStyle name="Normal 58 3 5 3 2 4" xfId="7798"/>
    <cellStyle name="Normal 58 3 5 3 3" xfId="4126"/>
    <cellStyle name="Normal 58 3 5 3 3 2" xfId="17771"/>
    <cellStyle name="Normal 58 3 5 3 3 3" xfId="14192"/>
    <cellStyle name="Normal 58 3 5 3 3 4" xfId="8935"/>
    <cellStyle name="Normal 58 3 5 3 4" xfId="6205"/>
    <cellStyle name="Normal 58 3 5 3 4 2" xfId="15289"/>
    <cellStyle name="Normal 58 3 5 3 5" xfId="10389"/>
    <cellStyle name="Normal 58 3 5 3 5 2" xfId="19216"/>
    <cellStyle name="Normal 58 3 5 3 6" xfId="11835"/>
    <cellStyle name="Normal 58 3 5 3 7" xfId="5392"/>
    <cellStyle name="Normal 58 3 5 4" xfId="1518"/>
    <cellStyle name="Normal 58 3 5 4 2" xfId="3117"/>
    <cellStyle name="Normal 58 3 5 4 2 2" xfId="18030"/>
    <cellStyle name="Normal 58 3 5 4 2 3" xfId="14451"/>
    <cellStyle name="Normal 58 3 5 4 2 4" xfId="9194"/>
    <cellStyle name="Normal 58 3 5 4 3" xfId="10648"/>
    <cellStyle name="Normal 58 3 5 4 3 2" xfId="19475"/>
    <cellStyle name="Normal 58 3 5 4 4" xfId="12094"/>
    <cellStyle name="Normal 58 3 5 4 5" xfId="7089"/>
    <cellStyle name="Normal 58 3 5 5" xfId="2074"/>
    <cellStyle name="Normal 58 3 5 5 2" xfId="16987"/>
    <cellStyle name="Normal 58 3 5 5 3" xfId="13408"/>
    <cellStyle name="Normal 58 3 5 5 4" xfId="8151"/>
    <cellStyle name="Normal 58 3 5 6" xfId="5712"/>
    <cellStyle name="Normal 58 3 5 6 2" xfId="14798"/>
    <cellStyle name="Normal 58 3 5 7" xfId="9605"/>
    <cellStyle name="Normal 58 3 5 7 2" xfId="18432"/>
    <cellStyle name="Normal 58 3 5 8" xfId="11049"/>
    <cellStyle name="Normal 58 3 5 9" xfId="4683"/>
    <cellStyle name="Normal 58 3 5_Degree data" xfId="1755"/>
    <cellStyle name="Normal 58 3 6" xfId="476"/>
    <cellStyle name="Normal 58 3 6 2" xfId="782"/>
    <cellStyle name="Normal 58 3 6 2 2" xfId="2511"/>
    <cellStyle name="Normal 58 3 6 2 2 2" xfId="16399"/>
    <cellStyle name="Normal 58 3 6 2 2 3" xfId="12821"/>
    <cellStyle name="Normal 58 3 6 2 2 4" xfId="7531"/>
    <cellStyle name="Normal 58 3 6 2 3" xfId="3778"/>
    <cellStyle name="Normal 58 3 6 2 3 2" xfId="17424"/>
    <cellStyle name="Normal 58 3 6 2 3 3" xfId="13845"/>
    <cellStyle name="Normal 58 3 6 2 3 4" xfId="8588"/>
    <cellStyle name="Normal 58 3 6 2 4" xfId="6647"/>
    <cellStyle name="Normal 58 3 6 2 4 2" xfId="15731"/>
    <cellStyle name="Normal 58 3 6 2 5" xfId="10042"/>
    <cellStyle name="Normal 58 3 6 2 5 2" xfId="18869"/>
    <cellStyle name="Normal 58 3 6 2 6" xfId="11487"/>
    <cellStyle name="Normal 58 3 6 2 7" xfId="5125"/>
    <cellStyle name="Normal 58 3 6 3" xfId="1139"/>
    <cellStyle name="Normal 58 3 6 3 2" xfId="2859"/>
    <cellStyle name="Normal 58 3 6 3 2 2" xfId="16514"/>
    <cellStyle name="Normal 58 3 6 3 2 3" xfId="12936"/>
    <cellStyle name="Normal 58 3 6 3 2 4" xfId="7646"/>
    <cellStyle name="Normal 58 3 6 3 3" xfId="4127"/>
    <cellStyle name="Normal 58 3 6 3 3 2" xfId="17772"/>
    <cellStyle name="Normal 58 3 6 3 3 3" xfId="14193"/>
    <cellStyle name="Normal 58 3 6 3 3 4" xfId="8936"/>
    <cellStyle name="Normal 58 3 6 3 4" xfId="6751"/>
    <cellStyle name="Normal 58 3 6 3 4 2" xfId="15834"/>
    <cellStyle name="Normal 58 3 6 3 5" xfId="10390"/>
    <cellStyle name="Normal 58 3 6 3 5 2" xfId="19217"/>
    <cellStyle name="Normal 58 3 6 3 6" xfId="11836"/>
    <cellStyle name="Normal 58 3 6 3 7" xfId="5240"/>
    <cellStyle name="Normal 58 3 6 4" xfId="1352"/>
    <cellStyle name="Normal 58 3 6 4 2" xfId="2965"/>
    <cellStyle name="Normal 58 3 6 4 2 2" xfId="17878"/>
    <cellStyle name="Normal 58 3 6 4 2 3" xfId="14299"/>
    <cellStyle name="Normal 58 3 6 4 2 4" xfId="9042"/>
    <cellStyle name="Normal 58 3 6 4 3" xfId="10496"/>
    <cellStyle name="Normal 58 3 6 4 3 2" xfId="19323"/>
    <cellStyle name="Normal 58 3 6 4 4" xfId="11942"/>
    <cellStyle name="Normal 58 3 6 4 5" xfId="6937"/>
    <cellStyle name="Normal 58 3 6 5" xfId="1922"/>
    <cellStyle name="Normal 58 3 6 5 2" xfId="16833"/>
    <cellStyle name="Normal 58 3 6 5 3" xfId="13254"/>
    <cellStyle name="Normal 58 3 6 5 4" xfId="7997"/>
    <cellStyle name="Normal 58 3 6 6" xfId="6053"/>
    <cellStyle name="Normal 58 3 6 6 2" xfId="15137"/>
    <cellStyle name="Normal 58 3 6 7" xfId="9453"/>
    <cellStyle name="Normal 58 3 6 7 2" xfId="18280"/>
    <cellStyle name="Normal 58 3 6 8" xfId="10897"/>
    <cellStyle name="Normal 58 3 6 9" xfId="4531"/>
    <cellStyle name="Normal 58 3 6_Degree data" xfId="1756"/>
    <cellStyle name="Normal 58 3 7" xfId="771"/>
    <cellStyle name="Normal 58 3 7 2" xfId="2500"/>
    <cellStyle name="Normal 58 3 7 2 2" xfId="16388"/>
    <cellStyle name="Normal 58 3 7 2 3" xfId="12810"/>
    <cellStyle name="Normal 58 3 7 2 4" xfId="7520"/>
    <cellStyle name="Normal 58 3 7 3" xfId="3767"/>
    <cellStyle name="Normal 58 3 7 3 2" xfId="17413"/>
    <cellStyle name="Normal 58 3 7 3 3" xfId="13834"/>
    <cellStyle name="Normal 58 3 7 3 4" xfId="8577"/>
    <cellStyle name="Normal 58 3 7 4" xfId="6636"/>
    <cellStyle name="Normal 58 3 7 4 2" xfId="15720"/>
    <cellStyle name="Normal 58 3 7 5" xfId="10031"/>
    <cellStyle name="Normal 58 3 7 5 2" xfId="18858"/>
    <cellStyle name="Normal 58 3 7 6" xfId="11476"/>
    <cellStyle name="Normal 58 3 7 7" xfId="5114"/>
    <cellStyle name="Normal 58 3 8" xfId="1128"/>
    <cellStyle name="Normal 58 3 8 2" xfId="2848"/>
    <cellStyle name="Normal 58 3 8 2 2" xfId="16494"/>
    <cellStyle name="Normal 58 3 8 2 3" xfId="12916"/>
    <cellStyle name="Normal 58 3 8 2 4" xfId="7626"/>
    <cellStyle name="Normal 58 3 8 3" xfId="4116"/>
    <cellStyle name="Normal 58 3 8 3 2" xfId="17761"/>
    <cellStyle name="Normal 58 3 8 3 3" xfId="14182"/>
    <cellStyle name="Normal 58 3 8 3 4" xfId="8925"/>
    <cellStyle name="Normal 58 3 8 4" xfId="5885"/>
    <cellStyle name="Normal 58 3 8 4 2" xfId="14971"/>
    <cellStyle name="Normal 58 3 8 5" xfId="10379"/>
    <cellStyle name="Normal 58 3 8 5 2" xfId="19206"/>
    <cellStyle name="Normal 58 3 8 6" xfId="11825"/>
    <cellStyle name="Normal 58 3 8 7" xfId="5220"/>
    <cellStyle name="Normal 58 3 9" xfId="1330"/>
    <cellStyle name="Normal 58 3 9 2" xfId="2945"/>
    <cellStyle name="Normal 58 3 9 2 2" xfId="17858"/>
    <cellStyle name="Normal 58 3 9 2 3" xfId="14279"/>
    <cellStyle name="Normal 58 3 9 2 4" xfId="9022"/>
    <cellStyle name="Normal 58 3 9 3" xfId="10476"/>
    <cellStyle name="Normal 58 3 9 3 2" xfId="19303"/>
    <cellStyle name="Normal 58 3 9 4" xfId="11922"/>
    <cellStyle name="Normal 58 3 9 5" xfId="6771"/>
    <cellStyle name="Normal 58 3_Degree data" xfId="1745"/>
    <cellStyle name="Normal 58 4" xfId="100"/>
    <cellStyle name="Normal 58 4 10" xfId="1897"/>
    <cellStyle name="Normal 58 4 10 2" xfId="9428"/>
    <cellStyle name="Normal 58 4 10 2 2" xfId="18255"/>
    <cellStyle name="Normal 58 4 10 3" xfId="10872"/>
    <cellStyle name="Normal 58 4 10 4" xfId="7972"/>
    <cellStyle name="Normal 58 4 11" xfId="1864"/>
    <cellStyle name="Normal 58 4 11 2" xfId="14664"/>
    <cellStyle name="Normal 58 4 11 3" xfId="5578"/>
    <cellStyle name="Normal 58 4 12" xfId="9398"/>
    <cellStyle name="Normal 58 4 12 2" xfId="18225"/>
    <cellStyle name="Normal 58 4 13" xfId="10839"/>
    <cellStyle name="Normal 58 4 14" xfId="4377"/>
    <cellStyle name="Normal 58 4 2" xfId="222"/>
    <cellStyle name="Normal 58 4 2 10" xfId="9530"/>
    <cellStyle name="Normal 58 4 2 10 2" xfId="18357"/>
    <cellStyle name="Normal 58 4 2 11" xfId="10974"/>
    <cellStyle name="Normal 58 4 2 12" xfId="4391"/>
    <cellStyle name="Normal 58 4 2 2" xfId="436"/>
    <cellStyle name="Normal 58 4 2 2 10" xfId="4495"/>
    <cellStyle name="Normal 58 4 2 2 2" xfId="785"/>
    <cellStyle name="Normal 58 4 2 2 2 2" xfId="2514"/>
    <cellStyle name="Normal 58 4 2 2 2 2 2" xfId="16095"/>
    <cellStyle name="Normal 58 4 2 2 2 2 3" xfId="12517"/>
    <cellStyle name="Normal 58 4 2 2 2 2 4" xfId="7218"/>
    <cellStyle name="Normal 58 4 2 2 2 3" xfId="3781"/>
    <cellStyle name="Normal 58 4 2 2 2 3 2" xfId="17427"/>
    <cellStyle name="Normal 58 4 2 2 2 3 3" xfId="13848"/>
    <cellStyle name="Normal 58 4 2 2 2 3 4" xfId="8591"/>
    <cellStyle name="Normal 58 4 2 2 2 4" xfId="6334"/>
    <cellStyle name="Normal 58 4 2 2 2 4 2" xfId="15418"/>
    <cellStyle name="Normal 58 4 2 2 2 5" xfId="10045"/>
    <cellStyle name="Normal 58 4 2 2 2 5 2" xfId="18872"/>
    <cellStyle name="Normal 58 4 2 2 2 6" xfId="11490"/>
    <cellStyle name="Normal 58 4 2 2 2 7" xfId="4812"/>
    <cellStyle name="Normal 58 4 2 2 3" xfId="1142"/>
    <cellStyle name="Normal 58 4 2 2 3 2" xfId="2862"/>
    <cellStyle name="Normal 58 4 2 2 3 2 2" xfId="16402"/>
    <cellStyle name="Normal 58 4 2 2 3 2 3" xfId="12824"/>
    <cellStyle name="Normal 58 4 2 2 3 2 4" xfId="7534"/>
    <cellStyle name="Normal 58 4 2 2 3 3" xfId="4130"/>
    <cellStyle name="Normal 58 4 2 2 3 3 2" xfId="17775"/>
    <cellStyle name="Normal 58 4 2 2 3 3 3" xfId="14196"/>
    <cellStyle name="Normal 58 4 2 2 3 3 4" xfId="8939"/>
    <cellStyle name="Normal 58 4 2 2 3 4" xfId="6650"/>
    <cellStyle name="Normal 58 4 2 2 3 4 2" xfId="15734"/>
    <cellStyle name="Normal 58 4 2 2 3 5" xfId="10393"/>
    <cellStyle name="Normal 58 4 2 2 3 5 2" xfId="19220"/>
    <cellStyle name="Normal 58 4 2 2 3 6" xfId="11839"/>
    <cellStyle name="Normal 58 4 2 2 3 7" xfId="5128"/>
    <cellStyle name="Normal 58 4 2 2 4" xfId="1650"/>
    <cellStyle name="Normal 58 4 2 2 4 2" xfId="3246"/>
    <cellStyle name="Normal 58 4 2 2 4 2 2" xfId="16795"/>
    <cellStyle name="Normal 58 4 2 2 4 2 3" xfId="13216"/>
    <cellStyle name="Normal 58 4 2 2 4 2 4" xfId="7927"/>
    <cellStyle name="Normal 58 4 2 2 4 3" xfId="4317"/>
    <cellStyle name="Normal 58 4 2 2 4 3 2" xfId="18159"/>
    <cellStyle name="Normal 58 4 2 2 4 3 3" xfId="14580"/>
    <cellStyle name="Normal 58 4 2 2 4 3 4" xfId="9323"/>
    <cellStyle name="Normal 58 4 2 2 4 4" xfId="6015"/>
    <cellStyle name="Normal 58 4 2 2 4 4 2" xfId="15101"/>
    <cellStyle name="Normal 58 4 2 2 4 5" xfId="10777"/>
    <cellStyle name="Normal 58 4 2 2 4 5 2" xfId="19604"/>
    <cellStyle name="Normal 58 4 2 2 4 6" xfId="12223"/>
    <cellStyle name="Normal 58 4 2 2 4 7" xfId="5521"/>
    <cellStyle name="Normal 58 4 2 2 5" xfId="2203"/>
    <cellStyle name="Normal 58 4 2 2 5 2" xfId="15944"/>
    <cellStyle name="Normal 58 4 2 2 5 3" xfId="12272"/>
    <cellStyle name="Normal 58 4 2 2 5 4" xfId="6901"/>
    <cellStyle name="Normal 58 4 2 2 6" xfId="3479"/>
    <cellStyle name="Normal 58 4 2 2 6 2" xfId="17116"/>
    <cellStyle name="Normal 58 4 2 2 6 3" xfId="13537"/>
    <cellStyle name="Normal 58 4 2 2 6 4" xfId="8280"/>
    <cellStyle name="Normal 58 4 2 2 7" xfId="5841"/>
    <cellStyle name="Normal 58 4 2 2 7 2" xfId="14927"/>
    <cellStyle name="Normal 58 4 2 2 8" xfId="9734"/>
    <cellStyle name="Normal 58 4 2 2 8 2" xfId="18561"/>
    <cellStyle name="Normal 58 4 2 2 9" xfId="11178"/>
    <cellStyle name="Normal 58 4 2 2_Degree data" xfId="1759"/>
    <cellStyle name="Normal 58 4 2 3" xfId="331"/>
    <cellStyle name="Normal 58 4 2 3 2" xfId="786"/>
    <cellStyle name="Normal 58 4 2 3 2 2" xfId="2515"/>
    <cellStyle name="Normal 58 4 2 3 2 2 2" xfId="16403"/>
    <cellStyle name="Normal 58 4 2 3 2 2 3" xfId="12825"/>
    <cellStyle name="Normal 58 4 2 3 2 2 4" xfId="7535"/>
    <cellStyle name="Normal 58 4 2 3 2 3" xfId="3782"/>
    <cellStyle name="Normal 58 4 2 3 2 3 2" xfId="17428"/>
    <cellStyle name="Normal 58 4 2 3 2 3 3" xfId="13849"/>
    <cellStyle name="Normal 58 4 2 3 2 3 4" xfId="8592"/>
    <cellStyle name="Normal 58 4 2 3 2 4" xfId="6651"/>
    <cellStyle name="Normal 58 4 2 3 2 4 2" xfId="15735"/>
    <cellStyle name="Normal 58 4 2 3 2 5" xfId="10046"/>
    <cellStyle name="Normal 58 4 2 3 2 5 2" xfId="18873"/>
    <cellStyle name="Normal 58 4 2 3 2 6" xfId="11491"/>
    <cellStyle name="Normal 58 4 2 3 2 7" xfId="5129"/>
    <cellStyle name="Normal 58 4 2 3 3" xfId="1143"/>
    <cellStyle name="Normal 58 4 2 3 3 2" xfId="2863"/>
    <cellStyle name="Normal 58 4 2 3 3 2 2" xfId="16691"/>
    <cellStyle name="Normal 58 4 2 3 3 2 3" xfId="13112"/>
    <cellStyle name="Normal 58 4 2 3 3 2 4" xfId="7823"/>
    <cellStyle name="Normal 58 4 2 3 3 3" xfId="4131"/>
    <cellStyle name="Normal 58 4 2 3 3 3 2" xfId="17776"/>
    <cellStyle name="Normal 58 4 2 3 3 3 3" xfId="14197"/>
    <cellStyle name="Normal 58 4 2 3 3 3 4" xfId="8940"/>
    <cellStyle name="Normal 58 4 2 3 3 4" xfId="6230"/>
    <cellStyle name="Normal 58 4 2 3 3 4 2" xfId="15314"/>
    <cellStyle name="Normal 58 4 2 3 3 5" xfId="10394"/>
    <cellStyle name="Normal 58 4 2 3 3 5 2" xfId="19221"/>
    <cellStyle name="Normal 58 4 2 3 3 6" xfId="11840"/>
    <cellStyle name="Normal 58 4 2 3 3 7" xfId="5417"/>
    <cellStyle name="Normal 58 4 2 3 4" xfId="1543"/>
    <cellStyle name="Normal 58 4 2 3 4 2" xfId="3142"/>
    <cellStyle name="Normal 58 4 2 3 4 2 2" xfId="18055"/>
    <cellStyle name="Normal 58 4 2 3 4 2 3" xfId="14476"/>
    <cellStyle name="Normal 58 4 2 3 4 2 4" xfId="9219"/>
    <cellStyle name="Normal 58 4 2 3 4 3" xfId="10673"/>
    <cellStyle name="Normal 58 4 2 3 4 3 2" xfId="19500"/>
    <cellStyle name="Normal 58 4 2 3 4 4" xfId="12119"/>
    <cellStyle name="Normal 58 4 2 3 4 5" xfId="7114"/>
    <cellStyle name="Normal 58 4 2 3 5" xfId="2099"/>
    <cellStyle name="Normal 58 4 2 3 5 2" xfId="17012"/>
    <cellStyle name="Normal 58 4 2 3 5 3" xfId="13433"/>
    <cellStyle name="Normal 58 4 2 3 5 4" xfId="8176"/>
    <cellStyle name="Normal 58 4 2 3 6" xfId="5737"/>
    <cellStyle name="Normal 58 4 2 3 6 2" xfId="14823"/>
    <cellStyle name="Normal 58 4 2 3 7" xfId="9630"/>
    <cellStyle name="Normal 58 4 2 3 7 2" xfId="18457"/>
    <cellStyle name="Normal 58 4 2 3 8" xfId="11074"/>
    <cellStyle name="Normal 58 4 2 3 9" xfId="4708"/>
    <cellStyle name="Normal 58 4 2 3_Degree data" xfId="1760"/>
    <cellStyle name="Normal 58 4 2 4" xfId="784"/>
    <cellStyle name="Normal 58 4 2 4 2" xfId="2513"/>
    <cellStyle name="Normal 58 4 2 4 2 2" xfId="16028"/>
    <cellStyle name="Normal 58 4 2 4 2 3" xfId="12481"/>
    <cellStyle name="Normal 58 4 2 4 2 4" xfId="7014"/>
    <cellStyle name="Normal 58 4 2 4 3" xfId="3780"/>
    <cellStyle name="Normal 58 4 2 4 3 2" xfId="17426"/>
    <cellStyle name="Normal 58 4 2 4 3 3" xfId="13847"/>
    <cellStyle name="Normal 58 4 2 4 3 4" xfId="8590"/>
    <cellStyle name="Normal 58 4 2 4 4" xfId="6130"/>
    <cellStyle name="Normal 58 4 2 4 4 2" xfId="15214"/>
    <cellStyle name="Normal 58 4 2 4 5" xfId="10044"/>
    <cellStyle name="Normal 58 4 2 4 5 2" xfId="18871"/>
    <cellStyle name="Normal 58 4 2 4 6" xfId="11489"/>
    <cellStyle name="Normal 58 4 2 4 7" xfId="4608"/>
    <cellStyle name="Normal 58 4 2 5" xfId="1141"/>
    <cellStyle name="Normal 58 4 2 5 2" xfId="2861"/>
    <cellStyle name="Normal 58 4 2 5 2 2" xfId="16401"/>
    <cellStyle name="Normal 58 4 2 5 2 3" xfId="12823"/>
    <cellStyle name="Normal 58 4 2 5 2 4" xfId="7533"/>
    <cellStyle name="Normal 58 4 2 5 3" xfId="4129"/>
    <cellStyle name="Normal 58 4 2 5 3 2" xfId="17774"/>
    <cellStyle name="Normal 58 4 2 5 3 3" xfId="14195"/>
    <cellStyle name="Normal 58 4 2 5 3 4" xfId="8938"/>
    <cellStyle name="Normal 58 4 2 5 4" xfId="6649"/>
    <cellStyle name="Normal 58 4 2 5 4 2" xfId="15733"/>
    <cellStyle name="Normal 58 4 2 5 5" xfId="10392"/>
    <cellStyle name="Normal 58 4 2 5 5 2" xfId="19219"/>
    <cellStyle name="Normal 58 4 2 5 6" xfId="11838"/>
    <cellStyle name="Normal 58 4 2 5 7" xfId="5127"/>
    <cellStyle name="Normal 58 4 2 6" xfId="1440"/>
    <cellStyle name="Normal 58 4 2 6 2" xfId="3042"/>
    <cellStyle name="Normal 58 4 2 6 2 2" xfId="16591"/>
    <cellStyle name="Normal 58 4 2 6 2 3" xfId="13012"/>
    <cellStyle name="Normal 58 4 2 6 2 4" xfId="7723"/>
    <cellStyle name="Normal 58 4 2 6 3" xfId="4250"/>
    <cellStyle name="Normal 58 4 2 6 3 2" xfId="17955"/>
    <cellStyle name="Normal 58 4 2 6 3 3" xfId="14376"/>
    <cellStyle name="Normal 58 4 2 6 3 4" xfId="9119"/>
    <cellStyle name="Normal 58 4 2 6 4" xfId="5910"/>
    <cellStyle name="Normal 58 4 2 6 4 2" xfId="14996"/>
    <cellStyle name="Normal 58 4 2 6 5" xfId="10573"/>
    <cellStyle name="Normal 58 4 2 6 5 2" xfId="19400"/>
    <cellStyle name="Normal 58 4 2 6 6" xfId="12019"/>
    <cellStyle name="Normal 58 4 2 6 7" xfId="5317"/>
    <cellStyle name="Normal 58 4 2 7" xfId="1999"/>
    <cellStyle name="Normal 58 4 2 7 2" xfId="15845"/>
    <cellStyle name="Normal 58 4 2 7 3" xfId="12486"/>
    <cellStyle name="Normal 58 4 2 7 4" xfId="6797"/>
    <cellStyle name="Normal 58 4 2 8" xfId="3412"/>
    <cellStyle name="Normal 58 4 2 8 2" xfId="16912"/>
    <cellStyle name="Normal 58 4 2 8 3" xfId="13333"/>
    <cellStyle name="Normal 58 4 2 8 4" xfId="8076"/>
    <cellStyle name="Normal 58 4 2 9" xfId="5637"/>
    <cellStyle name="Normal 58 4 2 9 2" xfId="14723"/>
    <cellStyle name="Normal 58 4 2_Degree data" xfId="1758"/>
    <cellStyle name="Normal 58 4 3" xfId="266"/>
    <cellStyle name="Normal 58 4 3 10" xfId="11017"/>
    <cellStyle name="Normal 58 4 3 11" xfId="4434"/>
    <cellStyle name="Normal 58 4 3 2" xfId="374"/>
    <cellStyle name="Normal 58 4 3 2 2" xfId="788"/>
    <cellStyle name="Normal 58 4 3 2 2 2" xfId="2517"/>
    <cellStyle name="Normal 58 4 3 2 2 2 2" xfId="16405"/>
    <cellStyle name="Normal 58 4 3 2 2 2 3" xfId="12827"/>
    <cellStyle name="Normal 58 4 3 2 2 2 4" xfId="7537"/>
    <cellStyle name="Normal 58 4 3 2 2 3" xfId="3784"/>
    <cellStyle name="Normal 58 4 3 2 2 3 2" xfId="17430"/>
    <cellStyle name="Normal 58 4 3 2 2 3 3" xfId="13851"/>
    <cellStyle name="Normal 58 4 3 2 2 3 4" xfId="8594"/>
    <cellStyle name="Normal 58 4 3 2 2 4" xfId="6653"/>
    <cellStyle name="Normal 58 4 3 2 2 4 2" xfId="15737"/>
    <cellStyle name="Normal 58 4 3 2 2 5" xfId="10048"/>
    <cellStyle name="Normal 58 4 3 2 2 5 2" xfId="18875"/>
    <cellStyle name="Normal 58 4 3 2 2 6" xfId="11493"/>
    <cellStyle name="Normal 58 4 3 2 2 7" xfId="5131"/>
    <cellStyle name="Normal 58 4 3 2 3" xfId="1145"/>
    <cellStyle name="Normal 58 4 3 2 3 2" xfId="2865"/>
    <cellStyle name="Normal 58 4 3 2 3 2 2" xfId="16734"/>
    <cellStyle name="Normal 58 4 3 2 3 2 3" xfId="13155"/>
    <cellStyle name="Normal 58 4 3 2 3 2 4" xfId="7866"/>
    <cellStyle name="Normal 58 4 3 2 3 3" xfId="4133"/>
    <cellStyle name="Normal 58 4 3 2 3 3 2" xfId="17778"/>
    <cellStyle name="Normal 58 4 3 2 3 3 3" xfId="14199"/>
    <cellStyle name="Normal 58 4 3 2 3 3 4" xfId="8942"/>
    <cellStyle name="Normal 58 4 3 2 3 4" xfId="6273"/>
    <cellStyle name="Normal 58 4 3 2 3 4 2" xfId="15357"/>
    <cellStyle name="Normal 58 4 3 2 3 5" xfId="10396"/>
    <cellStyle name="Normal 58 4 3 2 3 5 2" xfId="19223"/>
    <cellStyle name="Normal 58 4 3 2 3 6" xfId="11842"/>
    <cellStyle name="Normal 58 4 3 2 3 7" xfId="5460"/>
    <cellStyle name="Normal 58 4 3 2 4" xfId="1587"/>
    <cellStyle name="Normal 58 4 3 2 4 2" xfId="3185"/>
    <cellStyle name="Normal 58 4 3 2 4 2 2" xfId="18098"/>
    <cellStyle name="Normal 58 4 3 2 4 2 3" xfId="14519"/>
    <cellStyle name="Normal 58 4 3 2 4 2 4" xfId="9262"/>
    <cellStyle name="Normal 58 4 3 2 4 3" xfId="10716"/>
    <cellStyle name="Normal 58 4 3 2 4 3 2" xfId="19543"/>
    <cellStyle name="Normal 58 4 3 2 4 4" xfId="12162"/>
    <cellStyle name="Normal 58 4 3 2 4 5" xfId="7157"/>
    <cellStyle name="Normal 58 4 3 2 5" xfId="2142"/>
    <cellStyle name="Normal 58 4 3 2 5 2" xfId="17055"/>
    <cellStyle name="Normal 58 4 3 2 5 3" xfId="13476"/>
    <cellStyle name="Normal 58 4 3 2 5 4" xfId="8219"/>
    <cellStyle name="Normal 58 4 3 2 6" xfId="5780"/>
    <cellStyle name="Normal 58 4 3 2 6 2" xfId="14866"/>
    <cellStyle name="Normal 58 4 3 2 7" xfId="9673"/>
    <cellStyle name="Normal 58 4 3 2 7 2" xfId="18500"/>
    <cellStyle name="Normal 58 4 3 2 8" xfId="11117"/>
    <cellStyle name="Normal 58 4 3 2 9" xfId="4751"/>
    <cellStyle name="Normal 58 4 3 2_Degree data" xfId="1762"/>
    <cellStyle name="Normal 58 4 3 3" xfId="787"/>
    <cellStyle name="Normal 58 4 3 3 2" xfId="2516"/>
    <cellStyle name="Normal 58 4 3 3 2 2" xfId="16071"/>
    <cellStyle name="Normal 58 4 3 3 2 3" xfId="12384"/>
    <cellStyle name="Normal 58 4 3 3 2 4" xfId="7057"/>
    <cellStyle name="Normal 58 4 3 3 3" xfId="3783"/>
    <cellStyle name="Normal 58 4 3 3 3 2" xfId="17429"/>
    <cellStyle name="Normal 58 4 3 3 3 3" xfId="13850"/>
    <cellStyle name="Normal 58 4 3 3 3 4" xfId="8593"/>
    <cellStyle name="Normal 58 4 3 3 4" xfId="6173"/>
    <cellStyle name="Normal 58 4 3 3 4 2" xfId="15257"/>
    <cellStyle name="Normal 58 4 3 3 5" xfId="10047"/>
    <cellStyle name="Normal 58 4 3 3 5 2" xfId="18874"/>
    <cellStyle name="Normal 58 4 3 3 6" xfId="11492"/>
    <cellStyle name="Normal 58 4 3 3 7" xfId="4651"/>
    <cellStyle name="Normal 58 4 3 4" xfId="1144"/>
    <cellStyle name="Normal 58 4 3 4 2" xfId="2864"/>
    <cellStyle name="Normal 58 4 3 4 2 2" xfId="16404"/>
    <cellStyle name="Normal 58 4 3 4 2 3" xfId="12826"/>
    <cellStyle name="Normal 58 4 3 4 2 4" xfId="7536"/>
    <cellStyle name="Normal 58 4 3 4 3" xfId="4132"/>
    <cellStyle name="Normal 58 4 3 4 3 2" xfId="17777"/>
    <cellStyle name="Normal 58 4 3 4 3 3" xfId="14198"/>
    <cellStyle name="Normal 58 4 3 4 3 4" xfId="8941"/>
    <cellStyle name="Normal 58 4 3 4 4" xfId="6652"/>
    <cellStyle name="Normal 58 4 3 4 4 2" xfId="15736"/>
    <cellStyle name="Normal 58 4 3 4 5" xfId="10395"/>
    <cellStyle name="Normal 58 4 3 4 5 2" xfId="19222"/>
    <cellStyle name="Normal 58 4 3 4 6" xfId="11841"/>
    <cellStyle name="Normal 58 4 3 4 7" xfId="5130"/>
    <cellStyle name="Normal 58 4 3 5" xfId="1485"/>
    <cellStyle name="Normal 58 4 3 5 2" xfId="3085"/>
    <cellStyle name="Normal 58 4 3 5 2 2" xfId="16634"/>
    <cellStyle name="Normal 58 4 3 5 2 3" xfId="13055"/>
    <cellStyle name="Normal 58 4 3 5 2 4" xfId="7766"/>
    <cellStyle name="Normal 58 4 3 5 3" xfId="4293"/>
    <cellStyle name="Normal 58 4 3 5 3 2" xfId="17998"/>
    <cellStyle name="Normal 58 4 3 5 3 3" xfId="14419"/>
    <cellStyle name="Normal 58 4 3 5 3 4" xfId="9162"/>
    <cellStyle name="Normal 58 4 3 5 4" xfId="5954"/>
    <cellStyle name="Normal 58 4 3 5 4 2" xfId="15040"/>
    <cellStyle name="Normal 58 4 3 5 5" xfId="10616"/>
    <cellStyle name="Normal 58 4 3 5 5 2" xfId="19443"/>
    <cellStyle name="Normal 58 4 3 5 6" xfId="12062"/>
    <cellStyle name="Normal 58 4 3 5 7" xfId="5360"/>
    <cellStyle name="Normal 58 4 3 6" xfId="2042"/>
    <cellStyle name="Normal 58 4 3 6 2" xfId="15883"/>
    <cellStyle name="Normal 58 4 3 6 3" xfId="12275"/>
    <cellStyle name="Normal 58 4 3 6 4" xfId="6840"/>
    <cellStyle name="Normal 58 4 3 7" xfId="3455"/>
    <cellStyle name="Normal 58 4 3 7 2" xfId="16955"/>
    <cellStyle name="Normal 58 4 3 7 3" xfId="13376"/>
    <cellStyle name="Normal 58 4 3 7 4" xfId="8119"/>
    <cellStyle name="Normal 58 4 3 8" xfId="5680"/>
    <cellStyle name="Normal 58 4 3 8 2" xfId="14766"/>
    <cellStyle name="Normal 58 4 3 9" xfId="9573"/>
    <cellStyle name="Normal 58 4 3 9 2" xfId="18400"/>
    <cellStyle name="Normal 58 4 3_Degree data" xfId="1761"/>
    <cellStyle name="Normal 58 4 4" xfId="206"/>
    <cellStyle name="Normal 58 4 4 10" xfId="10960"/>
    <cellStyle name="Normal 58 4 4 11" xfId="4482"/>
    <cellStyle name="Normal 58 4 4 2" xfId="423"/>
    <cellStyle name="Normal 58 4 4 2 2" xfId="790"/>
    <cellStyle name="Normal 58 4 4 2 2 2" xfId="2519"/>
    <cellStyle name="Normal 58 4 4 2 2 2 2" xfId="16407"/>
    <cellStyle name="Normal 58 4 4 2 2 2 3" xfId="12829"/>
    <cellStyle name="Normal 58 4 4 2 2 2 4" xfId="7539"/>
    <cellStyle name="Normal 58 4 4 2 2 3" xfId="3786"/>
    <cellStyle name="Normal 58 4 4 2 2 3 2" xfId="17432"/>
    <cellStyle name="Normal 58 4 4 2 2 3 3" xfId="13853"/>
    <cellStyle name="Normal 58 4 4 2 2 3 4" xfId="8596"/>
    <cellStyle name="Normal 58 4 4 2 2 4" xfId="6655"/>
    <cellStyle name="Normal 58 4 4 2 2 4 2" xfId="15739"/>
    <cellStyle name="Normal 58 4 4 2 2 5" xfId="10050"/>
    <cellStyle name="Normal 58 4 4 2 2 5 2" xfId="18877"/>
    <cellStyle name="Normal 58 4 4 2 2 6" xfId="11495"/>
    <cellStyle name="Normal 58 4 4 2 2 7" xfId="5133"/>
    <cellStyle name="Normal 58 4 4 2 3" xfId="1147"/>
    <cellStyle name="Normal 58 4 4 2 3 2" xfId="2867"/>
    <cellStyle name="Normal 58 4 4 2 3 2 2" xfId="16782"/>
    <cellStyle name="Normal 58 4 4 2 3 2 3" xfId="13203"/>
    <cellStyle name="Normal 58 4 4 2 3 2 4" xfId="7914"/>
    <cellStyle name="Normal 58 4 4 2 3 3" xfId="4135"/>
    <cellStyle name="Normal 58 4 4 2 3 3 2" xfId="17780"/>
    <cellStyle name="Normal 58 4 4 2 3 3 3" xfId="14201"/>
    <cellStyle name="Normal 58 4 4 2 3 3 4" xfId="8944"/>
    <cellStyle name="Normal 58 4 4 2 3 4" xfId="6321"/>
    <cellStyle name="Normal 58 4 4 2 3 4 2" xfId="15405"/>
    <cellStyle name="Normal 58 4 4 2 3 5" xfId="10398"/>
    <cellStyle name="Normal 58 4 4 2 3 5 2" xfId="19225"/>
    <cellStyle name="Normal 58 4 4 2 3 6" xfId="11844"/>
    <cellStyle name="Normal 58 4 4 2 3 7" xfId="5508"/>
    <cellStyle name="Normal 58 4 4 2 4" xfId="1637"/>
    <cellStyle name="Normal 58 4 4 2 4 2" xfId="3233"/>
    <cellStyle name="Normal 58 4 4 2 4 2 2" xfId="18146"/>
    <cellStyle name="Normal 58 4 4 2 4 2 3" xfId="14567"/>
    <cellStyle name="Normal 58 4 4 2 4 2 4" xfId="9310"/>
    <cellStyle name="Normal 58 4 4 2 4 3" xfId="10764"/>
    <cellStyle name="Normal 58 4 4 2 4 3 2" xfId="19591"/>
    <cellStyle name="Normal 58 4 4 2 4 4" xfId="12210"/>
    <cellStyle name="Normal 58 4 4 2 4 5" xfId="7205"/>
    <cellStyle name="Normal 58 4 4 2 5" xfId="2190"/>
    <cellStyle name="Normal 58 4 4 2 5 2" xfId="17103"/>
    <cellStyle name="Normal 58 4 4 2 5 3" xfId="13524"/>
    <cellStyle name="Normal 58 4 4 2 5 4" xfId="8267"/>
    <cellStyle name="Normal 58 4 4 2 6" xfId="5828"/>
    <cellStyle name="Normal 58 4 4 2 6 2" xfId="14914"/>
    <cellStyle name="Normal 58 4 4 2 7" xfId="9721"/>
    <cellStyle name="Normal 58 4 4 2 7 2" xfId="18548"/>
    <cellStyle name="Normal 58 4 4 2 8" xfId="11165"/>
    <cellStyle name="Normal 58 4 4 2 9" xfId="4799"/>
    <cellStyle name="Normal 58 4 4 2_Degree data" xfId="1764"/>
    <cellStyle name="Normal 58 4 4 3" xfId="789"/>
    <cellStyle name="Normal 58 4 4 3 2" xfId="2518"/>
    <cellStyle name="Normal 58 4 4 3 2 2" xfId="16014"/>
    <cellStyle name="Normal 58 4 4 3 2 3" xfId="12338"/>
    <cellStyle name="Normal 58 4 4 3 2 4" xfId="7000"/>
    <cellStyle name="Normal 58 4 4 3 3" xfId="3785"/>
    <cellStyle name="Normal 58 4 4 3 3 2" xfId="17431"/>
    <cellStyle name="Normal 58 4 4 3 3 3" xfId="13852"/>
    <cellStyle name="Normal 58 4 4 3 3 4" xfId="8595"/>
    <cellStyle name="Normal 58 4 4 3 4" xfId="6116"/>
    <cellStyle name="Normal 58 4 4 3 4 2" xfId="15200"/>
    <cellStyle name="Normal 58 4 4 3 5" xfId="10049"/>
    <cellStyle name="Normal 58 4 4 3 5 2" xfId="18876"/>
    <cellStyle name="Normal 58 4 4 3 6" xfId="11494"/>
    <cellStyle name="Normal 58 4 4 3 7" xfId="4594"/>
    <cellStyle name="Normal 58 4 4 4" xfId="1146"/>
    <cellStyle name="Normal 58 4 4 4 2" xfId="2866"/>
    <cellStyle name="Normal 58 4 4 4 2 2" xfId="16406"/>
    <cellStyle name="Normal 58 4 4 4 2 3" xfId="12828"/>
    <cellStyle name="Normal 58 4 4 4 2 4" xfId="7538"/>
    <cellStyle name="Normal 58 4 4 4 3" xfId="4134"/>
    <cellStyle name="Normal 58 4 4 4 3 2" xfId="17779"/>
    <cellStyle name="Normal 58 4 4 4 3 3" xfId="14200"/>
    <cellStyle name="Normal 58 4 4 4 3 4" xfId="8943"/>
    <cellStyle name="Normal 58 4 4 4 4" xfId="6654"/>
    <cellStyle name="Normal 58 4 4 4 4 2" xfId="15738"/>
    <cellStyle name="Normal 58 4 4 4 5" xfId="10397"/>
    <cellStyle name="Normal 58 4 4 4 5 2" xfId="19224"/>
    <cellStyle name="Normal 58 4 4 4 6" xfId="11843"/>
    <cellStyle name="Normal 58 4 4 4 7" xfId="5132"/>
    <cellStyle name="Normal 58 4 4 5" xfId="1423"/>
    <cellStyle name="Normal 58 4 4 5 2" xfId="3028"/>
    <cellStyle name="Normal 58 4 4 5 2 2" xfId="16577"/>
    <cellStyle name="Normal 58 4 4 5 2 3" xfId="12998"/>
    <cellStyle name="Normal 58 4 4 5 2 4" xfId="7709"/>
    <cellStyle name="Normal 58 4 4 5 3" xfId="4236"/>
    <cellStyle name="Normal 58 4 4 5 3 2" xfId="17941"/>
    <cellStyle name="Normal 58 4 4 5 3 3" xfId="14362"/>
    <cellStyle name="Normal 58 4 4 5 3 4" xfId="9105"/>
    <cellStyle name="Normal 58 4 4 5 4" xfId="6002"/>
    <cellStyle name="Normal 58 4 4 5 4 2" xfId="15088"/>
    <cellStyle name="Normal 58 4 4 5 5" xfId="10559"/>
    <cellStyle name="Normal 58 4 4 5 5 2" xfId="19386"/>
    <cellStyle name="Normal 58 4 4 5 6" xfId="12005"/>
    <cellStyle name="Normal 58 4 4 5 7" xfId="5303"/>
    <cellStyle name="Normal 58 4 4 6" xfId="1985"/>
    <cellStyle name="Normal 58 4 4 6 2" xfId="15931"/>
    <cellStyle name="Normal 58 4 4 6 3" xfId="12359"/>
    <cellStyle name="Normal 58 4 4 6 4" xfId="6888"/>
    <cellStyle name="Normal 58 4 4 7" xfId="3399"/>
    <cellStyle name="Normal 58 4 4 7 2" xfId="16898"/>
    <cellStyle name="Normal 58 4 4 7 3" xfId="13319"/>
    <cellStyle name="Normal 58 4 4 7 4" xfId="8062"/>
    <cellStyle name="Normal 58 4 4 8" xfId="5623"/>
    <cellStyle name="Normal 58 4 4 8 2" xfId="14709"/>
    <cellStyle name="Normal 58 4 4 9" xfId="9516"/>
    <cellStyle name="Normal 58 4 4 9 2" xfId="18343"/>
    <cellStyle name="Normal 58 4 4_Degree data" xfId="1763"/>
    <cellStyle name="Normal 58 4 5" xfId="317"/>
    <cellStyle name="Normal 58 4 5 2" xfId="791"/>
    <cellStyle name="Normal 58 4 5 2 2" xfId="2520"/>
    <cellStyle name="Normal 58 4 5 2 2 2" xfId="16408"/>
    <cellStyle name="Normal 58 4 5 2 2 3" xfId="12830"/>
    <cellStyle name="Normal 58 4 5 2 2 4" xfId="7540"/>
    <cellStyle name="Normal 58 4 5 2 3" xfId="3787"/>
    <cellStyle name="Normal 58 4 5 2 3 2" xfId="17433"/>
    <cellStyle name="Normal 58 4 5 2 3 3" xfId="13854"/>
    <cellStyle name="Normal 58 4 5 2 3 4" xfId="8597"/>
    <cellStyle name="Normal 58 4 5 2 4" xfId="6656"/>
    <cellStyle name="Normal 58 4 5 2 4 2" xfId="15740"/>
    <cellStyle name="Normal 58 4 5 2 5" xfId="10051"/>
    <cellStyle name="Normal 58 4 5 2 5 2" xfId="18878"/>
    <cellStyle name="Normal 58 4 5 2 6" xfId="11496"/>
    <cellStyle name="Normal 58 4 5 2 7" xfId="5134"/>
    <cellStyle name="Normal 58 4 5 3" xfId="1148"/>
    <cellStyle name="Normal 58 4 5 3 2" xfId="2868"/>
    <cellStyle name="Normal 58 4 5 3 2 2" xfId="16677"/>
    <cellStyle name="Normal 58 4 5 3 2 3" xfId="13098"/>
    <cellStyle name="Normal 58 4 5 3 2 4" xfId="7809"/>
    <cellStyle name="Normal 58 4 5 3 3" xfId="4136"/>
    <cellStyle name="Normal 58 4 5 3 3 2" xfId="17781"/>
    <cellStyle name="Normal 58 4 5 3 3 3" xfId="14202"/>
    <cellStyle name="Normal 58 4 5 3 3 4" xfId="8945"/>
    <cellStyle name="Normal 58 4 5 3 4" xfId="6216"/>
    <cellStyle name="Normal 58 4 5 3 4 2" xfId="15300"/>
    <cellStyle name="Normal 58 4 5 3 5" xfId="10399"/>
    <cellStyle name="Normal 58 4 5 3 5 2" xfId="19226"/>
    <cellStyle name="Normal 58 4 5 3 6" xfId="11845"/>
    <cellStyle name="Normal 58 4 5 3 7" xfId="5403"/>
    <cellStyle name="Normal 58 4 5 4" xfId="1529"/>
    <cellStyle name="Normal 58 4 5 4 2" xfId="3128"/>
    <cellStyle name="Normal 58 4 5 4 2 2" xfId="18041"/>
    <cellStyle name="Normal 58 4 5 4 2 3" xfId="14462"/>
    <cellStyle name="Normal 58 4 5 4 2 4" xfId="9205"/>
    <cellStyle name="Normal 58 4 5 4 3" xfId="10659"/>
    <cellStyle name="Normal 58 4 5 4 3 2" xfId="19486"/>
    <cellStyle name="Normal 58 4 5 4 4" xfId="12105"/>
    <cellStyle name="Normal 58 4 5 4 5" xfId="7100"/>
    <cellStyle name="Normal 58 4 5 5" xfId="2085"/>
    <cellStyle name="Normal 58 4 5 5 2" xfId="16998"/>
    <cellStyle name="Normal 58 4 5 5 3" xfId="13419"/>
    <cellStyle name="Normal 58 4 5 5 4" xfId="8162"/>
    <cellStyle name="Normal 58 4 5 6" xfId="5723"/>
    <cellStyle name="Normal 58 4 5 6 2" xfId="14809"/>
    <cellStyle name="Normal 58 4 5 7" xfId="9616"/>
    <cellStyle name="Normal 58 4 5 7 2" xfId="18443"/>
    <cellStyle name="Normal 58 4 5 8" xfId="11060"/>
    <cellStyle name="Normal 58 4 5 9" xfId="4694"/>
    <cellStyle name="Normal 58 4 5_Degree data" xfId="1765"/>
    <cellStyle name="Normal 58 4 6" xfId="483"/>
    <cellStyle name="Normal 58 4 6 2" xfId="792"/>
    <cellStyle name="Normal 58 4 6 2 2" xfId="2521"/>
    <cellStyle name="Normal 58 4 6 2 2 2" xfId="16409"/>
    <cellStyle name="Normal 58 4 6 2 2 3" xfId="12831"/>
    <cellStyle name="Normal 58 4 6 2 2 4" xfId="7541"/>
    <cellStyle name="Normal 58 4 6 2 3" xfId="3788"/>
    <cellStyle name="Normal 58 4 6 2 3 2" xfId="17434"/>
    <cellStyle name="Normal 58 4 6 2 3 3" xfId="13855"/>
    <cellStyle name="Normal 58 4 6 2 3 4" xfId="8598"/>
    <cellStyle name="Normal 58 4 6 2 4" xfId="6657"/>
    <cellStyle name="Normal 58 4 6 2 4 2" xfId="15741"/>
    <cellStyle name="Normal 58 4 6 2 5" xfId="10052"/>
    <cellStyle name="Normal 58 4 6 2 5 2" xfId="18879"/>
    <cellStyle name="Normal 58 4 6 2 6" xfId="11497"/>
    <cellStyle name="Normal 58 4 6 2 7" xfId="5135"/>
    <cellStyle name="Normal 58 4 6 3" xfId="1149"/>
    <cellStyle name="Normal 58 4 6 3 2" xfId="2869"/>
    <cellStyle name="Normal 58 4 6 3 2 2" xfId="16532"/>
    <cellStyle name="Normal 58 4 6 3 2 3" xfId="12954"/>
    <cellStyle name="Normal 58 4 6 3 2 4" xfId="7664"/>
    <cellStyle name="Normal 58 4 6 3 3" xfId="4137"/>
    <cellStyle name="Normal 58 4 6 3 3 2" xfId="17782"/>
    <cellStyle name="Normal 58 4 6 3 3 3" xfId="14203"/>
    <cellStyle name="Normal 58 4 6 3 3 4" xfId="8946"/>
    <cellStyle name="Normal 58 4 6 3 4" xfId="6752"/>
    <cellStyle name="Normal 58 4 6 3 4 2" xfId="15835"/>
    <cellStyle name="Normal 58 4 6 3 5" xfId="10400"/>
    <cellStyle name="Normal 58 4 6 3 5 2" xfId="19227"/>
    <cellStyle name="Normal 58 4 6 3 6" xfId="11846"/>
    <cellStyle name="Normal 58 4 6 3 7" xfId="5258"/>
    <cellStyle name="Normal 58 4 6 4" xfId="1372"/>
    <cellStyle name="Normal 58 4 6 4 2" xfId="2983"/>
    <cellStyle name="Normal 58 4 6 4 2 2" xfId="17896"/>
    <cellStyle name="Normal 58 4 6 4 2 3" xfId="14317"/>
    <cellStyle name="Normal 58 4 6 4 2 4" xfId="9060"/>
    <cellStyle name="Normal 58 4 6 4 3" xfId="10514"/>
    <cellStyle name="Normal 58 4 6 4 3 2" xfId="19341"/>
    <cellStyle name="Normal 58 4 6 4 4" xfId="11960"/>
    <cellStyle name="Normal 58 4 6 4 5" xfId="6955"/>
    <cellStyle name="Normal 58 4 6 5" xfId="1940"/>
    <cellStyle name="Normal 58 4 6 5 2" xfId="16851"/>
    <cellStyle name="Normal 58 4 6 5 3" xfId="13272"/>
    <cellStyle name="Normal 58 4 6 5 4" xfId="8015"/>
    <cellStyle name="Normal 58 4 6 6" xfId="6071"/>
    <cellStyle name="Normal 58 4 6 6 2" xfId="15155"/>
    <cellStyle name="Normal 58 4 6 7" xfId="9471"/>
    <cellStyle name="Normal 58 4 6 7 2" xfId="18298"/>
    <cellStyle name="Normal 58 4 6 8" xfId="10915"/>
    <cellStyle name="Normal 58 4 6 9" xfId="4549"/>
    <cellStyle name="Normal 58 4 6_Degree data" xfId="1766"/>
    <cellStyle name="Normal 58 4 7" xfId="783"/>
    <cellStyle name="Normal 58 4 7 2" xfId="2512"/>
    <cellStyle name="Normal 58 4 7 2 2" xfId="16400"/>
    <cellStyle name="Normal 58 4 7 2 3" xfId="12822"/>
    <cellStyle name="Normal 58 4 7 2 4" xfId="7532"/>
    <cellStyle name="Normal 58 4 7 3" xfId="3779"/>
    <cellStyle name="Normal 58 4 7 3 2" xfId="17425"/>
    <cellStyle name="Normal 58 4 7 3 3" xfId="13846"/>
    <cellStyle name="Normal 58 4 7 3 4" xfId="8589"/>
    <cellStyle name="Normal 58 4 7 4" xfId="6648"/>
    <cellStyle name="Normal 58 4 7 4 2" xfId="15732"/>
    <cellStyle name="Normal 58 4 7 5" xfId="10043"/>
    <cellStyle name="Normal 58 4 7 5 2" xfId="18870"/>
    <cellStyle name="Normal 58 4 7 6" xfId="11488"/>
    <cellStyle name="Normal 58 4 7 7" xfId="5126"/>
    <cellStyle name="Normal 58 4 8" xfId="1140"/>
    <cellStyle name="Normal 58 4 8 2" xfId="2860"/>
    <cellStyle name="Normal 58 4 8 2 2" xfId="16489"/>
    <cellStyle name="Normal 58 4 8 2 3" xfId="12911"/>
    <cellStyle name="Normal 58 4 8 2 4" xfId="7621"/>
    <cellStyle name="Normal 58 4 8 3" xfId="4128"/>
    <cellStyle name="Normal 58 4 8 3 2" xfId="17773"/>
    <cellStyle name="Normal 58 4 8 3 3" xfId="14194"/>
    <cellStyle name="Normal 58 4 8 3 4" xfId="8937"/>
    <cellStyle name="Normal 58 4 8 4" xfId="5896"/>
    <cellStyle name="Normal 58 4 8 4 2" xfId="14982"/>
    <cellStyle name="Normal 58 4 8 5" xfId="10391"/>
    <cellStyle name="Normal 58 4 8 5 2" xfId="19218"/>
    <cellStyle name="Normal 58 4 8 6" xfId="11837"/>
    <cellStyle name="Normal 58 4 8 7" xfId="5215"/>
    <cellStyle name="Normal 58 4 9" xfId="1301"/>
    <cellStyle name="Normal 58 4 9 2" xfId="2940"/>
    <cellStyle name="Normal 58 4 9 2 2" xfId="17853"/>
    <cellStyle name="Normal 58 4 9 2 3" xfId="14274"/>
    <cellStyle name="Normal 58 4 9 2 4" xfId="9017"/>
    <cellStyle name="Normal 58 4 9 3" xfId="10471"/>
    <cellStyle name="Normal 58 4 9 3 2" xfId="19298"/>
    <cellStyle name="Normal 58 4 9 4" xfId="11917"/>
    <cellStyle name="Normal 58 4 9 5" xfId="6783"/>
    <cellStyle name="Normal 58 4_Degree data" xfId="1757"/>
    <cellStyle name="Normal 58 5" xfId="161"/>
    <cellStyle name="Normal 58 5 10" xfId="1880"/>
    <cellStyle name="Normal 58 5 10 2" xfId="14679"/>
    <cellStyle name="Normal 58 5 10 3" xfId="5593"/>
    <cellStyle name="Normal 58 5 11" xfId="9411"/>
    <cellStyle name="Normal 58 5 11 2" xfId="18238"/>
    <cellStyle name="Normal 58 5 12" xfId="10855"/>
    <cellStyle name="Normal 58 5 13" xfId="4404"/>
    <cellStyle name="Normal 58 5 2" xfId="279"/>
    <cellStyle name="Normal 58 5 2 10" xfId="11030"/>
    <cellStyle name="Normal 58 5 2 11" xfId="4447"/>
    <cellStyle name="Normal 58 5 2 2" xfId="387"/>
    <cellStyle name="Normal 58 5 2 2 2" xfId="795"/>
    <cellStyle name="Normal 58 5 2 2 2 2" xfId="2524"/>
    <cellStyle name="Normal 58 5 2 2 2 2 2" xfId="16412"/>
    <cellStyle name="Normal 58 5 2 2 2 2 3" xfId="12834"/>
    <cellStyle name="Normal 58 5 2 2 2 2 4" xfId="7544"/>
    <cellStyle name="Normal 58 5 2 2 2 3" xfId="3791"/>
    <cellStyle name="Normal 58 5 2 2 2 3 2" xfId="17437"/>
    <cellStyle name="Normal 58 5 2 2 2 3 3" xfId="13858"/>
    <cellStyle name="Normal 58 5 2 2 2 3 4" xfId="8601"/>
    <cellStyle name="Normal 58 5 2 2 2 4" xfId="6660"/>
    <cellStyle name="Normal 58 5 2 2 2 4 2" xfId="15744"/>
    <cellStyle name="Normal 58 5 2 2 2 5" xfId="10055"/>
    <cellStyle name="Normal 58 5 2 2 2 5 2" xfId="18882"/>
    <cellStyle name="Normal 58 5 2 2 2 6" xfId="11500"/>
    <cellStyle name="Normal 58 5 2 2 2 7" xfId="5138"/>
    <cellStyle name="Normal 58 5 2 2 3" xfId="1152"/>
    <cellStyle name="Normal 58 5 2 2 3 2" xfId="2872"/>
    <cellStyle name="Normal 58 5 2 2 3 2 2" xfId="16747"/>
    <cellStyle name="Normal 58 5 2 2 3 2 3" xfId="13168"/>
    <cellStyle name="Normal 58 5 2 2 3 2 4" xfId="7879"/>
    <cellStyle name="Normal 58 5 2 2 3 3" xfId="4140"/>
    <cellStyle name="Normal 58 5 2 2 3 3 2" xfId="17785"/>
    <cellStyle name="Normal 58 5 2 2 3 3 3" xfId="14206"/>
    <cellStyle name="Normal 58 5 2 2 3 3 4" xfId="8949"/>
    <cellStyle name="Normal 58 5 2 2 3 4" xfId="6286"/>
    <cellStyle name="Normal 58 5 2 2 3 4 2" xfId="15370"/>
    <cellStyle name="Normal 58 5 2 2 3 5" xfId="10403"/>
    <cellStyle name="Normal 58 5 2 2 3 5 2" xfId="19230"/>
    <cellStyle name="Normal 58 5 2 2 3 6" xfId="11849"/>
    <cellStyle name="Normal 58 5 2 2 3 7" xfId="5473"/>
    <cellStyle name="Normal 58 5 2 2 4" xfId="1601"/>
    <cellStyle name="Normal 58 5 2 2 4 2" xfId="3198"/>
    <cellStyle name="Normal 58 5 2 2 4 2 2" xfId="18111"/>
    <cellStyle name="Normal 58 5 2 2 4 2 3" xfId="14532"/>
    <cellStyle name="Normal 58 5 2 2 4 2 4" xfId="9275"/>
    <cellStyle name="Normal 58 5 2 2 4 3" xfId="10729"/>
    <cellStyle name="Normal 58 5 2 2 4 3 2" xfId="19556"/>
    <cellStyle name="Normal 58 5 2 2 4 4" xfId="12175"/>
    <cellStyle name="Normal 58 5 2 2 4 5" xfId="7170"/>
    <cellStyle name="Normal 58 5 2 2 5" xfId="2155"/>
    <cellStyle name="Normal 58 5 2 2 5 2" xfId="17068"/>
    <cellStyle name="Normal 58 5 2 2 5 3" xfId="13489"/>
    <cellStyle name="Normal 58 5 2 2 5 4" xfId="8232"/>
    <cellStyle name="Normal 58 5 2 2 6" xfId="5793"/>
    <cellStyle name="Normal 58 5 2 2 6 2" xfId="14879"/>
    <cellStyle name="Normal 58 5 2 2 7" xfId="9686"/>
    <cellStyle name="Normal 58 5 2 2 7 2" xfId="18513"/>
    <cellStyle name="Normal 58 5 2 2 8" xfId="11130"/>
    <cellStyle name="Normal 58 5 2 2 9" xfId="4764"/>
    <cellStyle name="Normal 58 5 2 2_Degree data" xfId="1769"/>
    <cellStyle name="Normal 58 5 2 3" xfId="794"/>
    <cellStyle name="Normal 58 5 2 3 2" xfId="2523"/>
    <cellStyle name="Normal 58 5 2 3 2 2" xfId="16084"/>
    <cellStyle name="Normal 58 5 2 3 2 3" xfId="12321"/>
    <cellStyle name="Normal 58 5 2 3 2 4" xfId="7070"/>
    <cellStyle name="Normal 58 5 2 3 3" xfId="3790"/>
    <cellStyle name="Normal 58 5 2 3 3 2" xfId="17436"/>
    <cellStyle name="Normal 58 5 2 3 3 3" xfId="13857"/>
    <cellStyle name="Normal 58 5 2 3 3 4" xfId="8600"/>
    <cellStyle name="Normal 58 5 2 3 4" xfId="6186"/>
    <cellStyle name="Normal 58 5 2 3 4 2" xfId="15270"/>
    <cellStyle name="Normal 58 5 2 3 5" xfId="10054"/>
    <cellStyle name="Normal 58 5 2 3 5 2" xfId="18881"/>
    <cellStyle name="Normal 58 5 2 3 6" xfId="11499"/>
    <cellStyle name="Normal 58 5 2 3 7" xfId="4664"/>
    <cellStyle name="Normal 58 5 2 4" xfId="1151"/>
    <cellStyle name="Normal 58 5 2 4 2" xfId="2871"/>
    <cellStyle name="Normal 58 5 2 4 2 2" xfId="16411"/>
    <cellStyle name="Normal 58 5 2 4 2 3" xfId="12833"/>
    <cellStyle name="Normal 58 5 2 4 2 4" xfId="7543"/>
    <cellStyle name="Normal 58 5 2 4 3" xfId="4139"/>
    <cellStyle name="Normal 58 5 2 4 3 2" xfId="17784"/>
    <cellStyle name="Normal 58 5 2 4 3 3" xfId="14205"/>
    <cellStyle name="Normal 58 5 2 4 3 4" xfId="8948"/>
    <cellStyle name="Normal 58 5 2 4 4" xfId="6659"/>
    <cellStyle name="Normal 58 5 2 4 4 2" xfId="15743"/>
    <cellStyle name="Normal 58 5 2 4 5" xfId="10402"/>
    <cellStyle name="Normal 58 5 2 4 5 2" xfId="19229"/>
    <cellStyle name="Normal 58 5 2 4 6" xfId="11848"/>
    <cellStyle name="Normal 58 5 2 4 7" xfId="5137"/>
    <cellStyle name="Normal 58 5 2 5" xfId="1499"/>
    <cellStyle name="Normal 58 5 2 5 2" xfId="3098"/>
    <cellStyle name="Normal 58 5 2 5 2 2" xfId="16647"/>
    <cellStyle name="Normal 58 5 2 5 2 3" xfId="13068"/>
    <cellStyle name="Normal 58 5 2 5 2 4" xfId="7779"/>
    <cellStyle name="Normal 58 5 2 5 3" xfId="4306"/>
    <cellStyle name="Normal 58 5 2 5 3 2" xfId="18011"/>
    <cellStyle name="Normal 58 5 2 5 3 3" xfId="14432"/>
    <cellStyle name="Normal 58 5 2 5 3 4" xfId="9175"/>
    <cellStyle name="Normal 58 5 2 5 4" xfId="5967"/>
    <cellStyle name="Normal 58 5 2 5 4 2" xfId="15053"/>
    <cellStyle name="Normal 58 5 2 5 5" xfId="10629"/>
    <cellStyle name="Normal 58 5 2 5 5 2" xfId="19456"/>
    <cellStyle name="Normal 58 5 2 5 6" xfId="12075"/>
    <cellStyle name="Normal 58 5 2 5 7" xfId="5373"/>
    <cellStyle name="Normal 58 5 2 6" xfId="2055"/>
    <cellStyle name="Normal 58 5 2 6 2" xfId="15896"/>
    <cellStyle name="Normal 58 5 2 6 3" xfId="10824"/>
    <cellStyle name="Normal 58 5 2 6 4" xfId="6853"/>
    <cellStyle name="Normal 58 5 2 7" xfId="3468"/>
    <cellStyle name="Normal 58 5 2 7 2" xfId="16968"/>
    <cellStyle name="Normal 58 5 2 7 3" xfId="13389"/>
    <cellStyle name="Normal 58 5 2 7 4" xfId="8132"/>
    <cellStyle name="Normal 58 5 2 8" xfId="5693"/>
    <cellStyle name="Normal 58 5 2 8 2" xfId="14779"/>
    <cellStyle name="Normal 58 5 2 9" xfId="9586"/>
    <cellStyle name="Normal 58 5 2 9 2" xfId="18413"/>
    <cellStyle name="Normal 58 5 2_Degree data" xfId="1768"/>
    <cellStyle name="Normal 58 5 3" xfId="236"/>
    <cellStyle name="Normal 58 5 3 10" xfId="10987"/>
    <cellStyle name="Normal 58 5 3 11" xfId="4508"/>
    <cellStyle name="Normal 58 5 3 2" xfId="449"/>
    <cellStyle name="Normal 58 5 3 2 2" xfId="797"/>
    <cellStyle name="Normal 58 5 3 2 2 2" xfId="2526"/>
    <cellStyle name="Normal 58 5 3 2 2 2 2" xfId="16414"/>
    <cellStyle name="Normal 58 5 3 2 2 2 3" xfId="12836"/>
    <cellStyle name="Normal 58 5 3 2 2 2 4" xfId="7546"/>
    <cellStyle name="Normal 58 5 3 2 2 3" xfId="3793"/>
    <cellStyle name="Normal 58 5 3 2 2 3 2" xfId="17439"/>
    <cellStyle name="Normal 58 5 3 2 2 3 3" xfId="13860"/>
    <cellStyle name="Normal 58 5 3 2 2 3 4" xfId="8603"/>
    <cellStyle name="Normal 58 5 3 2 2 4" xfId="6662"/>
    <cellStyle name="Normal 58 5 3 2 2 4 2" xfId="15746"/>
    <cellStyle name="Normal 58 5 3 2 2 5" xfId="10057"/>
    <cellStyle name="Normal 58 5 3 2 2 5 2" xfId="18884"/>
    <cellStyle name="Normal 58 5 3 2 2 6" xfId="11502"/>
    <cellStyle name="Normal 58 5 3 2 2 7" xfId="5140"/>
    <cellStyle name="Normal 58 5 3 2 3" xfId="1154"/>
    <cellStyle name="Normal 58 5 3 2 3 2" xfId="2874"/>
    <cellStyle name="Normal 58 5 3 2 3 2 2" xfId="16808"/>
    <cellStyle name="Normal 58 5 3 2 3 2 3" xfId="13229"/>
    <cellStyle name="Normal 58 5 3 2 3 2 4" xfId="7940"/>
    <cellStyle name="Normal 58 5 3 2 3 3" xfId="4142"/>
    <cellStyle name="Normal 58 5 3 2 3 3 2" xfId="17787"/>
    <cellStyle name="Normal 58 5 3 2 3 3 3" xfId="14208"/>
    <cellStyle name="Normal 58 5 3 2 3 3 4" xfId="8951"/>
    <cellStyle name="Normal 58 5 3 2 3 4" xfId="6347"/>
    <cellStyle name="Normal 58 5 3 2 3 4 2" xfId="15431"/>
    <cellStyle name="Normal 58 5 3 2 3 5" xfId="10405"/>
    <cellStyle name="Normal 58 5 3 2 3 5 2" xfId="19232"/>
    <cellStyle name="Normal 58 5 3 2 3 6" xfId="11851"/>
    <cellStyle name="Normal 58 5 3 2 3 7" xfId="5534"/>
    <cellStyle name="Normal 58 5 3 2 4" xfId="1663"/>
    <cellStyle name="Normal 58 5 3 2 4 2" xfId="3259"/>
    <cellStyle name="Normal 58 5 3 2 4 2 2" xfId="18172"/>
    <cellStyle name="Normal 58 5 3 2 4 2 3" xfId="14593"/>
    <cellStyle name="Normal 58 5 3 2 4 2 4" xfId="9336"/>
    <cellStyle name="Normal 58 5 3 2 4 3" xfId="10790"/>
    <cellStyle name="Normal 58 5 3 2 4 3 2" xfId="19617"/>
    <cellStyle name="Normal 58 5 3 2 4 4" xfId="12236"/>
    <cellStyle name="Normal 58 5 3 2 4 5" xfId="7231"/>
    <cellStyle name="Normal 58 5 3 2 5" xfId="2216"/>
    <cellStyle name="Normal 58 5 3 2 5 2" xfId="17129"/>
    <cellStyle name="Normal 58 5 3 2 5 3" xfId="13550"/>
    <cellStyle name="Normal 58 5 3 2 5 4" xfId="8293"/>
    <cellStyle name="Normal 58 5 3 2 6" xfId="5854"/>
    <cellStyle name="Normal 58 5 3 2 6 2" xfId="14940"/>
    <cellStyle name="Normal 58 5 3 2 7" xfId="9747"/>
    <cellStyle name="Normal 58 5 3 2 7 2" xfId="18574"/>
    <cellStyle name="Normal 58 5 3 2 8" xfId="11191"/>
    <cellStyle name="Normal 58 5 3 2 9" xfId="4825"/>
    <cellStyle name="Normal 58 5 3 2_Degree data" xfId="1771"/>
    <cellStyle name="Normal 58 5 3 3" xfId="796"/>
    <cellStyle name="Normal 58 5 3 3 2" xfId="2525"/>
    <cellStyle name="Normal 58 5 3 3 2 2" xfId="16041"/>
    <cellStyle name="Normal 58 5 3 3 2 3" xfId="12332"/>
    <cellStyle name="Normal 58 5 3 3 2 4" xfId="7027"/>
    <cellStyle name="Normal 58 5 3 3 3" xfId="3792"/>
    <cellStyle name="Normal 58 5 3 3 3 2" xfId="17438"/>
    <cellStyle name="Normal 58 5 3 3 3 3" xfId="13859"/>
    <cellStyle name="Normal 58 5 3 3 3 4" xfId="8602"/>
    <cellStyle name="Normal 58 5 3 3 4" xfId="6143"/>
    <cellStyle name="Normal 58 5 3 3 4 2" xfId="15227"/>
    <cellStyle name="Normal 58 5 3 3 5" xfId="10056"/>
    <cellStyle name="Normal 58 5 3 3 5 2" xfId="18883"/>
    <cellStyle name="Normal 58 5 3 3 6" xfId="11501"/>
    <cellStyle name="Normal 58 5 3 3 7" xfId="4621"/>
    <cellStyle name="Normal 58 5 3 4" xfId="1153"/>
    <cellStyle name="Normal 58 5 3 4 2" xfId="2873"/>
    <cellStyle name="Normal 58 5 3 4 2 2" xfId="16413"/>
    <cellStyle name="Normal 58 5 3 4 2 3" xfId="12835"/>
    <cellStyle name="Normal 58 5 3 4 2 4" xfId="7545"/>
    <cellStyle name="Normal 58 5 3 4 3" xfId="4141"/>
    <cellStyle name="Normal 58 5 3 4 3 2" xfId="17786"/>
    <cellStyle name="Normal 58 5 3 4 3 3" xfId="14207"/>
    <cellStyle name="Normal 58 5 3 4 3 4" xfId="8950"/>
    <cellStyle name="Normal 58 5 3 4 4" xfId="6661"/>
    <cellStyle name="Normal 58 5 3 4 4 2" xfId="15745"/>
    <cellStyle name="Normal 58 5 3 4 5" xfId="10404"/>
    <cellStyle name="Normal 58 5 3 4 5 2" xfId="19231"/>
    <cellStyle name="Normal 58 5 3 4 6" xfId="11850"/>
    <cellStyle name="Normal 58 5 3 4 7" xfId="5139"/>
    <cellStyle name="Normal 58 5 3 5" xfId="1454"/>
    <cellStyle name="Normal 58 5 3 5 2" xfId="3055"/>
    <cellStyle name="Normal 58 5 3 5 2 2" xfId="16604"/>
    <cellStyle name="Normal 58 5 3 5 2 3" xfId="13025"/>
    <cellStyle name="Normal 58 5 3 5 2 4" xfId="7736"/>
    <cellStyle name="Normal 58 5 3 5 3" xfId="4263"/>
    <cellStyle name="Normal 58 5 3 5 3 2" xfId="17968"/>
    <cellStyle name="Normal 58 5 3 5 3 3" xfId="14389"/>
    <cellStyle name="Normal 58 5 3 5 3 4" xfId="9132"/>
    <cellStyle name="Normal 58 5 3 5 4" xfId="6028"/>
    <cellStyle name="Normal 58 5 3 5 4 2" xfId="15114"/>
    <cellStyle name="Normal 58 5 3 5 5" xfId="10586"/>
    <cellStyle name="Normal 58 5 3 5 5 2" xfId="19413"/>
    <cellStyle name="Normal 58 5 3 5 6" xfId="12032"/>
    <cellStyle name="Normal 58 5 3 5 7" xfId="5330"/>
    <cellStyle name="Normal 58 5 3 6" xfId="2012"/>
    <cellStyle name="Normal 58 5 3 6 2" xfId="15957"/>
    <cellStyle name="Normal 58 5 3 6 3" xfId="12411"/>
    <cellStyle name="Normal 58 5 3 6 4" xfId="6914"/>
    <cellStyle name="Normal 58 5 3 7" xfId="3425"/>
    <cellStyle name="Normal 58 5 3 7 2" xfId="16925"/>
    <cellStyle name="Normal 58 5 3 7 3" xfId="13346"/>
    <cellStyle name="Normal 58 5 3 7 4" xfId="8089"/>
    <cellStyle name="Normal 58 5 3 8" xfId="5650"/>
    <cellStyle name="Normal 58 5 3 8 2" xfId="14736"/>
    <cellStyle name="Normal 58 5 3 9" xfId="9543"/>
    <cellStyle name="Normal 58 5 3 9 2" xfId="18370"/>
    <cellStyle name="Normal 58 5 3_Degree data" xfId="1770"/>
    <cellStyle name="Normal 58 5 4" xfId="344"/>
    <cellStyle name="Normal 58 5 4 2" xfId="798"/>
    <cellStyle name="Normal 58 5 4 2 2" xfId="2527"/>
    <cellStyle name="Normal 58 5 4 2 2 2" xfId="16415"/>
    <cellStyle name="Normal 58 5 4 2 2 3" xfId="12837"/>
    <cellStyle name="Normal 58 5 4 2 2 4" xfId="7547"/>
    <cellStyle name="Normal 58 5 4 2 3" xfId="3794"/>
    <cellStyle name="Normal 58 5 4 2 3 2" xfId="17440"/>
    <cellStyle name="Normal 58 5 4 2 3 3" xfId="13861"/>
    <cellStyle name="Normal 58 5 4 2 3 4" xfId="8604"/>
    <cellStyle name="Normal 58 5 4 2 4" xfId="6663"/>
    <cellStyle name="Normal 58 5 4 2 4 2" xfId="15747"/>
    <cellStyle name="Normal 58 5 4 2 5" xfId="10058"/>
    <cellStyle name="Normal 58 5 4 2 5 2" xfId="18885"/>
    <cellStyle name="Normal 58 5 4 2 6" xfId="11503"/>
    <cellStyle name="Normal 58 5 4 2 7" xfId="5141"/>
    <cellStyle name="Normal 58 5 4 3" xfId="1155"/>
    <cellStyle name="Normal 58 5 4 3 2" xfId="2875"/>
    <cellStyle name="Normal 58 5 4 3 2 2" xfId="16704"/>
    <cellStyle name="Normal 58 5 4 3 2 3" xfId="13125"/>
    <cellStyle name="Normal 58 5 4 3 2 4" xfId="7836"/>
    <cellStyle name="Normal 58 5 4 3 3" xfId="4143"/>
    <cellStyle name="Normal 58 5 4 3 3 2" xfId="17788"/>
    <cellStyle name="Normal 58 5 4 3 3 3" xfId="14209"/>
    <cellStyle name="Normal 58 5 4 3 3 4" xfId="8952"/>
    <cellStyle name="Normal 58 5 4 3 4" xfId="6243"/>
    <cellStyle name="Normal 58 5 4 3 4 2" xfId="15327"/>
    <cellStyle name="Normal 58 5 4 3 5" xfId="10406"/>
    <cellStyle name="Normal 58 5 4 3 5 2" xfId="19233"/>
    <cellStyle name="Normal 58 5 4 3 6" xfId="11852"/>
    <cellStyle name="Normal 58 5 4 3 7" xfId="5430"/>
    <cellStyle name="Normal 58 5 4 4" xfId="1556"/>
    <cellStyle name="Normal 58 5 4 4 2" xfId="3155"/>
    <cellStyle name="Normal 58 5 4 4 2 2" xfId="18068"/>
    <cellStyle name="Normal 58 5 4 4 2 3" xfId="14489"/>
    <cellStyle name="Normal 58 5 4 4 2 4" xfId="9232"/>
    <cellStyle name="Normal 58 5 4 4 3" xfId="10686"/>
    <cellStyle name="Normal 58 5 4 4 3 2" xfId="19513"/>
    <cellStyle name="Normal 58 5 4 4 4" xfId="12132"/>
    <cellStyle name="Normal 58 5 4 4 5" xfId="7127"/>
    <cellStyle name="Normal 58 5 4 5" xfId="2112"/>
    <cellStyle name="Normal 58 5 4 5 2" xfId="17025"/>
    <cellStyle name="Normal 58 5 4 5 3" xfId="13446"/>
    <cellStyle name="Normal 58 5 4 5 4" xfId="8189"/>
    <cellStyle name="Normal 58 5 4 6" xfId="5750"/>
    <cellStyle name="Normal 58 5 4 6 2" xfId="14836"/>
    <cellStyle name="Normal 58 5 4 7" xfId="9643"/>
    <cellStyle name="Normal 58 5 4 7 2" xfId="18470"/>
    <cellStyle name="Normal 58 5 4 8" xfId="11087"/>
    <cellStyle name="Normal 58 5 4 9" xfId="4721"/>
    <cellStyle name="Normal 58 5 4_Degree data" xfId="1772"/>
    <cellStyle name="Normal 58 5 5" xfId="493"/>
    <cellStyle name="Normal 58 5 5 2" xfId="799"/>
    <cellStyle name="Normal 58 5 5 2 2" xfId="2528"/>
    <cellStyle name="Normal 58 5 5 2 2 2" xfId="16416"/>
    <cellStyle name="Normal 58 5 5 2 2 3" xfId="12838"/>
    <cellStyle name="Normal 58 5 5 2 2 4" xfId="7548"/>
    <cellStyle name="Normal 58 5 5 2 3" xfId="3795"/>
    <cellStyle name="Normal 58 5 5 2 3 2" xfId="17441"/>
    <cellStyle name="Normal 58 5 5 2 3 3" xfId="13862"/>
    <cellStyle name="Normal 58 5 5 2 3 4" xfId="8605"/>
    <cellStyle name="Normal 58 5 5 2 4" xfId="6664"/>
    <cellStyle name="Normal 58 5 5 2 4 2" xfId="15748"/>
    <cellStyle name="Normal 58 5 5 2 5" xfId="10059"/>
    <cellStyle name="Normal 58 5 5 2 5 2" xfId="18886"/>
    <cellStyle name="Normal 58 5 5 2 6" xfId="11504"/>
    <cellStyle name="Normal 58 5 5 2 7" xfId="5142"/>
    <cellStyle name="Normal 58 5 5 3" xfId="1156"/>
    <cellStyle name="Normal 58 5 5 3 2" xfId="2876"/>
    <cellStyle name="Normal 58 5 5 3 2 2" xfId="16547"/>
    <cellStyle name="Normal 58 5 5 3 2 3" xfId="12968"/>
    <cellStyle name="Normal 58 5 5 3 2 4" xfId="7679"/>
    <cellStyle name="Normal 58 5 5 3 3" xfId="4144"/>
    <cellStyle name="Normal 58 5 5 3 3 2" xfId="17789"/>
    <cellStyle name="Normal 58 5 5 3 3 3" xfId="14210"/>
    <cellStyle name="Normal 58 5 5 3 3 4" xfId="8953"/>
    <cellStyle name="Normal 58 5 5 3 4" xfId="6753"/>
    <cellStyle name="Normal 58 5 5 3 4 2" xfId="15836"/>
    <cellStyle name="Normal 58 5 5 3 5" xfId="10407"/>
    <cellStyle name="Normal 58 5 5 3 5 2" xfId="19234"/>
    <cellStyle name="Normal 58 5 5 3 6" xfId="11853"/>
    <cellStyle name="Normal 58 5 5 3 7" xfId="5273"/>
    <cellStyle name="Normal 58 5 5 4" xfId="1389"/>
    <cellStyle name="Normal 58 5 5 4 2" xfId="2998"/>
    <cellStyle name="Normal 58 5 5 4 2 2" xfId="17911"/>
    <cellStyle name="Normal 58 5 5 4 2 3" xfId="14332"/>
    <cellStyle name="Normal 58 5 5 4 2 4" xfId="9075"/>
    <cellStyle name="Normal 58 5 5 4 3" xfId="10529"/>
    <cellStyle name="Normal 58 5 5 4 3 2" xfId="19356"/>
    <cellStyle name="Normal 58 5 5 4 4" xfId="11975"/>
    <cellStyle name="Normal 58 5 5 4 5" xfId="6970"/>
    <cellStyle name="Normal 58 5 5 5" xfId="1955"/>
    <cellStyle name="Normal 58 5 5 5 2" xfId="16866"/>
    <cellStyle name="Normal 58 5 5 5 3" xfId="13287"/>
    <cellStyle name="Normal 58 5 5 5 4" xfId="8030"/>
    <cellStyle name="Normal 58 5 5 6" xfId="6086"/>
    <cellStyle name="Normal 58 5 5 6 2" xfId="15170"/>
    <cellStyle name="Normal 58 5 5 7" xfId="9486"/>
    <cellStyle name="Normal 58 5 5 7 2" xfId="18313"/>
    <cellStyle name="Normal 58 5 5 8" xfId="10930"/>
    <cellStyle name="Normal 58 5 5 9" xfId="4564"/>
    <cellStyle name="Normal 58 5 5_Degree data" xfId="1773"/>
    <cellStyle name="Normal 58 5 6" xfId="793"/>
    <cellStyle name="Normal 58 5 6 2" xfId="2522"/>
    <cellStyle name="Normal 58 5 6 2 2" xfId="16410"/>
    <cellStyle name="Normal 58 5 6 2 3" xfId="12832"/>
    <cellStyle name="Normal 58 5 6 2 4" xfId="7542"/>
    <cellStyle name="Normal 58 5 6 3" xfId="3789"/>
    <cellStyle name="Normal 58 5 6 3 2" xfId="17435"/>
    <cellStyle name="Normal 58 5 6 3 3" xfId="13856"/>
    <cellStyle name="Normal 58 5 6 3 4" xfId="8599"/>
    <cellStyle name="Normal 58 5 6 4" xfId="6658"/>
    <cellStyle name="Normal 58 5 6 4 2" xfId="15742"/>
    <cellStyle name="Normal 58 5 6 5" xfId="10053"/>
    <cellStyle name="Normal 58 5 6 5 2" xfId="18880"/>
    <cellStyle name="Normal 58 5 6 6" xfId="11498"/>
    <cellStyle name="Normal 58 5 6 7" xfId="5136"/>
    <cellStyle name="Normal 58 5 7" xfId="1150"/>
    <cellStyle name="Normal 58 5 7 2" xfId="2870"/>
    <cellStyle name="Normal 58 5 7 2 2" xfId="16502"/>
    <cellStyle name="Normal 58 5 7 2 3" xfId="12924"/>
    <cellStyle name="Normal 58 5 7 2 4" xfId="7634"/>
    <cellStyle name="Normal 58 5 7 3" xfId="4138"/>
    <cellStyle name="Normal 58 5 7 3 2" xfId="17783"/>
    <cellStyle name="Normal 58 5 7 3 3" xfId="14204"/>
    <cellStyle name="Normal 58 5 7 3 4" xfId="8947"/>
    <cellStyle name="Normal 58 5 7 4" xfId="5924"/>
    <cellStyle name="Normal 58 5 7 4 2" xfId="15010"/>
    <cellStyle name="Normal 58 5 7 5" xfId="10401"/>
    <cellStyle name="Normal 58 5 7 5 2" xfId="19228"/>
    <cellStyle name="Normal 58 5 7 6" xfId="11847"/>
    <cellStyle name="Normal 58 5 7 7" xfId="5228"/>
    <cellStyle name="Normal 58 5 8" xfId="1340"/>
    <cellStyle name="Normal 58 5 8 2" xfId="2953"/>
    <cellStyle name="Normal 58 5 8 2 2" xfId="17866"/>
    <cellStyle name="Normal 58 5 8 2 3" xfId="14287"/>
    <cellStyle name="Normal 58 5 8 2 4" xfId="9030"/>
    <cellStyle name="Normal 58 5 8 3" xfId="10484"/>
    <cellStyle name="Normal 58 5 8 3 2" xfId="19311"/>
    <cellStyle name="Normal 58 5 8 4" xfId="11930"/>
    <cellStyle name="Normal 58 5 8 5" xfId="6810"/>
    <cellStyle name="Normal 58 5 9" xfId="1910"/>
    <cellStyle name="Normal 58 5 9 2" xfId="9441"/>
    <cellStyle name="Normal 58 5 9 2 2" xfId="18268"/>
    <cellStyle name="Normal 58 5 9 3" xfId="10885"/>
    <cellStyle name="Normal 58 5 9 4" xfId="7985"/>
    <cellStyle name="Normal 58 5_Degree data" xfId="1767"/>
    <cellStyle name="Normal 58 6" xfId="147"/>
    <cellStyle name="Normal 58 6 10" xfId="5571"/>
    <cellStyle name="Normal 58 6 10 2" xfId="14657"/>
    <cellStyle name="Normal 58 6 11" xfId="9391"/>
    <cellStyle name="Normal 58 6 11 2" xfId="18218"/>
    <cellStyle name="Normal 58 6 12" xfId="10831"/>
    <cellStyle name="Normal 58 6 13" xfId="4384"/>
    <cellStyle name="Normal 58 6 2" xfId="259"/>
    <cellStyle name="Normal 58 6 2 10" xfId="11010"/>
    <cellStyle name="Normal 58 6 2 11" xfId="4427"/>
    <cellStyle name="Normal 58 6 2 2" xfId="367"/>
    <cellStyle name="Normal 58 6 2 2 2" xfId="802"/>
    <cellStyle name="Normal 58 6 2 2 2 2" xfId="2531"/>
    <cellStyle name="Normal 58 6 2 2 2 2 2" xfId="16419"/>
    <cellStyle name="Normal 58 6 2 2 2 2 3" xfId="12841"/>
    <cellStyle name="Normal 58 6 2 2 2 2 4" xfId="7551"/>
    <cellStyle name="Normal 58 6 2 2 2 3" xfId="3798"/>
    <cellStyle name="Normal 58 6 2 2 2 3 2" xfId="17444"/>
    <cellStyle name="Normal 58 6 2 2 2 3 3" xfId="13865"/>
    <cellStyle name="Normal 58 6 2 2 2 3 4" xfId="8608"/>
    <cellStyle name="Normal 58 6 2 2 2 4" xfId="6667"/>
    <cellStyle name="Normal 58 6 2 2 2 4 2" xfId="15751"/>
    <cellStyle name="Normal 58 6 2 2 2 5" xfId="10062"/>
    <cellStyle name="Normal 58 6 2 2 2 5 2" xfId="18889"/>
    <cellStyle name="Normal 58 6 2 2 2 6" xfId="11507"/>
    <cellStyle name="Normal 58 6 2 2 2 7" xfId="5145"/>
    <cellStyle name="Normal 58 6 2 2 3" xfId="1159"/>
    <cellStyle name="Normal 58 6 2 2 3 2" xfId="2879"/>
    <cellStyle name="Normal 58 6 2 2 3 2 2" xfId="16727"/>
    <cellStyle name="Normal 58 6 2 2 3 2 3" xfId="13148"/>
    <cellStyle name="Normal 58 6 2 2 3 2 4" xfId="7859"/>
    <cellStyle name="Normal 58 6 2 2 3 3" xfId="4147"/>
    <cellStyle name="Normal 58 6 2 2 3 3 2" xfId="17792"/>
    <cellStyle name="Normal 58 6 2 2 3 3 3" xfId="14213"/>
    <cellStyle name="Normal 58 6 2 2 3 3 4" xfId="8956"/>
    <cellStyle name="Normal 58 6 2 2 3 4" xfId="6266"/>
    <cellStyle name="Normal 58 6 2 2 3 4 2" xfId="15350"/>
    <cellStyle name="Normal 58 6 2 2 3 5" xfId="10410"/>
    <cellStyle name="Normal 58 6 2 2 3 5 2" xfId="19237"/>
    <cellStyle name="Normal 58 6 2 2 3 6" xfId="11856"/>
    <cellStyle name="Normal 58 6 2 2 3 7" xfId="5453"/>
    <cellStyle name="Normal 58 6 2 2 4" xfId="1580"/>
    <cellStyle name="Normal 58 6 2 2 4 2" xfId="3178"/>
    <cellStyle name="Normal 58 6 2 2 4 2 2" xfId="18091"/>
    <cellStyle name="Normal 58 6 2 2 4 2 3" xfId="14512"/>
    <cellStyle name="Normal 58 6 2 2 4 2 4" xfId="9255"/>
    <cellStyle name="Normal 58 6 2 2 4 3" xfId="10709"/>
    <cellStyle name="Normal 58 6 2 2 4 3 2" xfId="19536"/>
    <cellStyle name="Normal 58 6 2 2 4 4" xfId="12155"/>
    <cellStyle name="Normal 58 6 2 2 4 5" xfId="7150"/>
    <cellStyle name="Normal 58 6 2 2 5" xfId="2135"/>
    <cellStyle name="Normal 58 6 2 2 5 2" xfId="17048"/>
    <cellStyle name="Normal 58 6 2 2 5 3" xfId="13469"/>
    <cellStyle name="Normal 58 6 2 2 5 4" xfId="8212"/>
    <cellStyle name="Normal 58 6 2 2 6" xfId="5773"/>
    <cellStyle name="Normal 58 6 2 2 6 2" xfId="14859"/>
    <cellStyle name="Normal 58 6 2 2 7" xfId="9666"/>
    <cellStyle name="Normal 58 6 2 2 7 2" xfId="18493"/>
    <cellStyle name="Normal 58 6 2 2 8" xfId="11110"/>
    <cellStyle name="Normal 58 6 2 2 9" xfId="4744"/>
    <cellStyle name="Normal 58 6 2 2_Degree data" xfId="1776"/>
    <cellStyle name="Normal 58 6 2 3" xfId="801"/>
    <cellStyle name="Normal 58 6 2 3 2" xfId="2530"/>
    <cellStyle name="Normal 58 6 2 3 2 2" xfId="16064"/>
    <cellStyle name="Normal 58 6 2 3 2 3" xfId="12324"/>
    <cellStyle name="Normal 58 6 2 3 2 4" xfId="7050"/>
    <cellStyle name="Normal 58 6 2 3 3" xfId="3797"/>
    <cellStyle name="Normal 58 6 2 3 3 2" xfId="17443"/>
    <cellStyle name="Normal 58 6 2 3 3 3" xfId="13864"/>
    <cellStyle name="Normal 58 6 2 3 3 4" xfId="8607"/>
    <cellStyle name="Normal 58 6 2 3 4" xfId="6166"/>
    <cellStyle name="Normal 58 6 2 3 4 2" xfId="15250"/>
    <cellStyle name="Normal 58 6 2 3 5" xfId="10061"/>
    <cellStyle name="Normal 58 6 2 3 5 2" xfId="18888"/>
    <cellStyle name="Normal 58 6 2 3 6" xfId="11506"/>
    <cellStyle name="Normal 58 6 2 3 7" xfId="4644"/>
    <cellStyle name="Normal 58 6 2 4" xfId="1158"/>
    <cellStyle name="Normal 58 6 2 4 2" xfId="2878"/>
    <cellStyle name="Normal 58 6 2 4 2 2" xfId="16418"/>
    <cellStyle name="Normal 58 6 2 4 2 3" xfId="12840"/>
    <cellStyle name="Normal 58 6 2 4 2 4" xfId="7550"/>
    <cellStyle name="Normal 58 6 2 4 3" xfId="4146"/>
    <cellStyle name="Normal 58 6 2 4 3 2" xfId="17791"/>
    <cellStyle name="Normal 58 6 2 4 3 3" xfId="14212"/>
    <cellStyle name="Normal 58 6 2 4 3 4" xfId="8955"/>
    <cellStyle name="Normal 58 6 2 4 4" xfId="6666"/>
    <cellStyle name="Normal 58 6 2 4 4 2" xfId="15750"/>
    <cellStyle name="Normal 58 6 2 4 5" xfId="10409"/>
    <cellStyle name="Normal 58 6 2 4 5 2" xfId="19236"/>
    <cellStyle name="Normal 58 6 2 4 6" xfId="11855"/>
    <cellStyle name="Normal 58 6 2 4 7" xfId="5144"/>
    <cellStyle name="Normal 58 6 2 5" xfId="1478"/>
    <cellStyle name="Normal 58 6 2 5 2" xfId="3078"/>
    <cellStyle name="Normal 58 6 2 5 2 2" xfId="16627"/>
    <cellStyle name="Normal 58 6 2 5 2 3" xfId="13048"/>
    <cellStyle name="Normal 58 6 2 5 2 4" xfId="7759"/>
    <cellStyle name="Normal 58 6 2 5 3" xfId="4286"/>
    <cellStyle name="Normal 58 6 2 5 3 2" xfId="17991"/>
    <cellStyle name="Normal 58 6 2 5 3 3" xfId="14412"/>
    <cellStyle name="Normal 58 6 2 5 3 4" xfId="9155"/>
    <cellStyle name="Normal 58 6 2 5 4" xfId="5947"/>
    <cellStyle name="Normal 58 6 2 5 4 2" xfId="15033"/>
    <cellStyle name="Normal 58 6 2 5 5" xfId="10609"/>
    <cellStyle name="Normal 58 6 2 5 5 2" xfId="19436"/>
    <cellStyle name="Normal 58 6 2 5 6" xfId="12055"/>
    <cellStyle name="Normal 58 6 2 5 7" xfId="5353"/>
    <cellStyle name="Normal 58 6 2 6" xfId="2035"/>
    <cellStyle name="Normal 58 6 2 6 2" xfId="15876"/>
    <cellStyle name="Normal 58 6 2 6 3" xfId="12430"/>
    <cellStyle name="Normal 58 6 2 6 4" xfId="6833"/>
    <cellStyle name="Normal 58 6 2 7" xfId="3448"/>
    <cellStyle name="Normal 58 6 2 7 2" xfId="16948"/>
    <cellStyle name="Normal 58 6 2 7 3" xfId="13369"/>
    <cellStyle name="Normal 58 6 2 7 4" xfId="8112"/>
    <cellStyle name="Normal 58 6 2 8" xfId="5673"/>
    <cellStyle name="Normal 58 6 2 8 2" xfId="14759"/>
    <cellStyle name="Normal 58 6 2 9" xfId="9566"/>
    <cellStyle name="Normal 58 6 2 9 2" xfId="18393"/>
    <cellStyle name="Normal 58 6 2_Degree data" xfId="1775"/>
    <cellStyle name="Normal 58 6 3" xfId="216"/>
    <cellStyle name="Normal 58 6 3 10" xfId="10967"/>
    <cellStyle name="Normal 58 6 3 11" xfId="4489"/>
    <cellStyle name="Normal 58 6 3 2" xfId="430"/>
    <cellStyle name="Normal 58 6 3 2 2" xfId="804"/>
    <cellStyle name="Normal 58 6 3 2 2 2" xfId="2533"/>
    <cellStyle name="Normal 58 6 3 2 2 2 2" xfId="16421"/>
    <cellStyle name="Normal 58 6 3 2 2 2 3" xfId="12843"/>
    <cellStyle name="Normal 58 6 3 2 2 2 4" xfId="7553"/>
    <cellStyle name="Normal 58 6 3 2 2 3" xfId="3800"/>
    <cellStyle name="Normal 58 6 3 2 2 3 2" xfId="17446"/>
    <cellStyle name="Normal 58 6 3 2 2 3 3" xfId="13867"/>
    <cellStyle name="Normal 58 6 3 2 2 3 4" xfId="8610"/>
    <cellStyle name="Normal 58 6 3 2 2 4" xfId="6669"/>
    <cellStyle name="Normal 58 6 3 2 2 4 2" xfId="15753"/>
    <cellStyle name="Normal 58 6 3 2 2 5" xfId="10064"/>
    <cellStyle name="Normal 58 6 3 2 2 5 2" xfId="18891"/>
    <cellStyle name="Normal 58 6 3 2 2 6" xfId="11509"/>
    <cellStyle name="Normal 58 6 3 2 2 7" xfId="5147"/>
    <cellStyle name="Normal 58 6 3 2 3" xfId="1161"/>
    <cellStyle name="Normal 58 6 3 2 3 2" xfId="2881"/>
    <cellStyle name="Normal 58 6 3 2 3 2 2" xfId="16789"/>
    <cellStyle name="Normal 58 6 3 2 3 2 3" xfId="13210"/>
    <cellStyle name="Normal 58 6 3 2 3 2 4" xfId="7921"/>
    <cellStyle name="Normal 58 6 3 2 3 3" xfId="4149"/>
    <cellStyle name="Normal 58 6 3 2 3 3 2" xfId="17794"/>
    <cellStyle name="Normal 58 6 3 2 3 3 3" xfId="14215"/>
    <cellStyle name="Normal 58 6 3 2 3 3 4" xfId="8958"/>
    <cellStyle name="Normal 58 6 3 2 3 4" xfId="6328"/>
    <cellStyle name="Normal 58 6 3 2 3 4 2" xfId="15412"/>
    <cellStyle name="Normal 58 6 3 2 3 5" xfId="10412"/>
    <cellStyle name="Normal 58 6 3 2 3 5 2" xfId="19239"/>
    <cellStyle name="Normal 58 6 3 2 3 6" xfId="11858"/>
    <cellStyle name="Normal 58 6 3 2 3 7" xfId="5515"/>
    <cellStyle name="Normal 58 6 3 2 4" xfId="1644"/>
    <cellStyle name="Normal 58 6 3 2 4 2" xfId="3240"/>
    <cellStyle name="Normal 58 6 3 2 4 2 2" xfId="18153"/>
    <cellStyle name="Normal 58 6 3 2 4 2 3" xfId="14574"/>
    <cellStyle name="Normal 58 6 3 2 4 2 4" xfId="9317"/>
    <cellStyle name="Normal 58 6 3 2 4 3" xfId="10771"/>
    <cellStyle name="Normal 58 6 3 2 4 3 2" xfId="19598"/>
    <cellStyle name="Normal 58 6 3 2 4 4" xfId="12217"/>
    <cellStyle name="Normal 58 6 3 2 4 5" xfId="7212"/>
    <cellStyle name="Normal 58 6 3 2 5" xfId="2197"/>
    <cellStyle name="Normal 58 6 3 2 5 2" xfId="17110"/>
    <cellStyle name="Normal 58 6 3 2 5 3" xfId="13531"/>
    <cellStyle name="Normal 58 6 3 2 5 4" xfId="8274"/>
    <cellStyle name="Normal 58 6 3 2 6" xfId="5835"/>
    <cellStyle name="Normal 58 6 3 2 6 2" xfId="14921"/>
    <cellStyle name="Normal 58 6 3 2 7" xfId="9728"/>
    <cellStyle name="Normal 58 6 3 2 7 2" xfId="18555"/>
    <cellStyle name="Normal 58 6 3 2 8" xfId="11172"/>
    <cellStyle name="Normal 58 6 3 2 9" xfId="4806"/>
    <cellStyle name="Normal 58 6 3 2_Degree data" xfId="1778"/>
    <cellStyle name="Normal 58 6 3 3" xfId="803"/>
    <cellStyle name="Normal 58 6 3 3 2" xfId="2532"/>
    <cellStyle name="Normal 58 6 3 3 2 2" xfId="16021"/>
    <cellStyle name="Normal 58 6 3 3 2 3" xfId="12397"/>
    <cellStyle name="Normal 58 6 3 3 2 4" xfId="7007"/>
    <cellStyle name="Normal 58 6 3 3 3" xfId="3799"/>
    <cellStyle name="Normal 58 6 3 3 3 2" xfId="17445"/>
    <cellStyle name="Normal 58 6 3 3 3 3" xfId="13866"/>
    <cellStyle name="Normal 58 6 3 3 3 4" xfId="8609"/>
    <cellStyle name="Normal 58 6 3 3 4" xfId="6123"/>
    <cellStyle name="Normal 58 6 3 3 4 2" xfId="15207"/>
    <cellStyle name="Normal 58 6 3 3 5" xfId="10063"/>
    <cellStyle name="Normal 58 6 3 3 5 2" xfId="18890"/>
    <cellStyle name="Normal 58 6 3 3 6" xfId="11508"/>
    <cellStyle name="Normal 58 6 3 3 7" xfId="4601"/>
    <cellStyle name="Normal 58 6 3 4" xfId="1160"/>
    <cellStyle name="Normal 58 6 3 4 2" xfId="2880"/>
    <cellStyle name="Normal 58 6 3 4 2 2" xfId="16420"/>
    <cellStyle name="Normal 58 6 3 4 2 3" xfId="12842"/>
    <cellStyle name="Normal 58 6 3 4 2 4" xfId="7552"/>
    <cellStyle name="Normal 58 6 3 4 3" xfId="4148"/>
    <cellStyle name="Normal 58 6 3 4 3 2" xfId="17793"/>
    <cellStyle name="Normal 58 6 3 4 3 3" xfId="14214"/>
    <cellStyle name="Normal 58 6 3 4 3 4" xfId="8957"/>
    <cellStyle name="Normal 58 6 3 4 4" xfId="6668"/>
    <cellStyle name="Normal 58 6 3 4 4 2" xfId="15752"/>
    <cellStyle name="Normal 58 6 3 4 5" xfId="10411"/>
    <cellStyle name="Normal 58 6 3 4 5 2" xfId="19238"/>
    <cellStyle name="Normal 58 6 3 4 6" xfId="11857"/>
    <cellStyle name="Normal 58 6 3 4 7" xfId="5146"/>
    <cellStyle name="Normal 58 6 3 5" xfId="1433"/>
    <cellStyle name="Normal 58 6 3 5 2" xfId="3035"/>
    <cellStyle name="Normal 58 6 3 5 2 2" xfId="16584"/>
    <cellStyle name="Normal 58 6 3 5 2 3" xfId="13005"/>
    <cellStyle name="Normal 58 6 3 5 2 4" xfId="7716"/>
    <cellStyle name="Normal 58 6 3 5 3" xfId="4243"/>
    <cellStyle name="Normal 58 6 3 5 3 2" xfId="17948"/>
    <cellStyle name="Normal 58 6 3 5 3 3" xfId="14369"/>
    <cellStyle name="Normal 58 6 3 5 3 4" xfId="9112"/>
    <cellStyle name="Normal 58 6 3 5 4" xfId="6009"/>
    <cellStyle name="Normal 58 6 3 5 4 2" xfId="15095"/>
    <cellStyle name="Normal 58 6 3 5 5" xfId="10566"/>
    <cellStyle name="Normal 58 6 3 5 5 2" xfId="19393"/>
    <cellStyle name="Normal 58 6 3 5 6" xfId="12012"/>
    <cellStyle name="Normal 58 6 3 5 7" xfId="5310"/>
    <cellStyle name="Normal 58 6 3 6" xfId="1992"/>
    <cellStyle name="Normal 58 6 3 6 2" xfId="15938"/>
    <cellStyle name="Normal 58 6 3 6 3" xfId="12417"/>
    <cellStyle name="Normal 58 6 3 6 4" xfId="6895"/>
    <cellStyle name="Normal 58 6 3 7" xfId="3406"/>
    <cellStyle name="Normal 58 6 3 7 2" xfId="16905"/>
    <cellStyle name="Normal 58 6 3 7 3" xfId="13326"/>
    <cellStyle name="Normal 58 6 3 7 4" xfId="8069"/>
    <cellStyle name="Normal 58 6 3 8" xfId="5630"/>
    <cellStyle name="Normal 58 6 3 8 2" xfId="14716"/>
    <cellStyle name="Normal 58 6 3 9" xfId="9523"/>
    <cellStyle name="Normal 58 6 3 9 2" xfId="18350"/>
    <cellStyle name="Normal 58 6 3_Degree data" xfId="1777"/>
    <cellStyle name="Normal 58 6 4" xfId="324"/>
    <cellStyle name="Normal 58 6 4 2" xfId="805"/>
    <cellStyle name="Normal 58 6 4 2 2" xfId="2534"/>
    <cellStyle name="Normal 58 6 4 2 2 2" xfId="16422"/>
    <cellStyle name="Normal 58 6 4 2 2 3" xfId="12844"/>
    <cellStyle name="Normal 58 6 4 2 2 4" xfId="7554"/>
    <cellStyle name="Normal 58 6 4 2 3" xfId="3801"/>
    <cellStyle name="Normal 58 6 4 2 3 2" xfId="17447"/>
    <cellStyle name="Normal 58 6 4 2 3 3" xfId="13868"/>
    <cellStyle name="Normal 58 6 4 2 3 4" xfId="8611"/>
    <cellStyle name="Normal 58 6 4 2 4" xfId="6670"/>
    <cellStyle name="Normal 58 6 4 2 4 2" xfId="15754"/>
    <cellStyle name="Normal 58 6 4 2 5" xfId="10065"/>
    <cellStyle name="Normal 58 6 4 2 5 2" xfId="18892"/>
    <cellStyle name="Normal 58 6 4 2 6" xfId="11510"/>
    <cellStyle name="Normal 58 6 4 2 7" xfId="5148"/>
    <cellStyle name="Normal 58 6 4 3" xfId="1162"/>
    <cellStyle name="Normal 58 6 4 3 2" xfId="2882"/>
    <cellStyle name="Normal 58 6 4 3 2 2" xfId="16684"/>
    <cellStyle name="Normal 58 6 4 3 2 3" xfId="13105"/>
    <cellStyle name="Normal 58 6 4 3 2 4" xfId="7816"/>
    <cellStyle name="Normal 58 6 4 3 3" xfId="4150"/>
    <cellStyle name="Normal 58 6 4 3 3 2" xfId="17795"/>
    <cellStyle name="Normal 58 6 4 3 3 3" xfId="14216"/>
    <cellStyle name="Normal 58 6 4 3 3 4" xfId="8959"/>
    <cellStyle name="Normal 58 6 4 3 4" xfId="6223"/>
    <cellStyle name="Normal 58 6 4 3 4 2" xfId="15307"/>
    <cellStyle name="Normal 58 6 4 3 5" xfId="10413"/>
    <cellStyle name="Normal 58 6 4 3 5 2" xfId="19240"/>
    <cellStyle name="Normal 58 6 4 3 6" xfId="11859"/>
    <cellStyle name="Normal 58 6 4 3 7" xfId="5410"/>
    <cellStyle name="Normal 58 6 4 4" xfId="1536"/>
    <cellStyle name="Normal 58 6 4 4 2" xfId="3135"/>
    <cellStyle name="Normal 58 6 4 4 2 2" xfId="18048"/>
    <cellStyle name="Normal 58 6 4 4 2 3" xfId="14469"/>
    <cellStyle name="Normal 58 6 4 4 2 4" xfId="9212"/>
    <cellStyle name="Normal 58 6 4 4 3" xfId="10666"/>
    <cellStyle name="Normal 58 6 4 4 3 2" xfId="19493"/>
    <cellStyle name="Normal 58 6 4 4 4" xfId="12112"/>
    <cellStyle name="Normal 58 6 4 4 5" xfId="7107"/>
    <cellStyle name="Normal 58 6 4 5" xfId="2092"/>
    <cellStyle name="Normal 58 6 4 5 2" xfId="17005"/>
    <cellStyle name="Normal 58 6 4 5 3" xfId="13426"/>
    <cellStyle name="Normal 58 6 4 5 4" xfId="8169"/>
    <cellStyle name="Normal 58 6 4 6" xfId="5730"/>
    <cellStyle name="Normal 58 6 4 6 2" xfId="14816"/>
    <cellStyle name="Normal 58 6 4 7" xfId="9623"/>
    <cellStyle name="Normal 58 6 4 7 2" xfId="18450"/>
    <cellStyle name="Normal 58 6 4 8" xfId="11067"/>
    <cellStyle name="Normal 58 6 4 9" xfId="4701"/>
    <cellStyle name="Normal 58 6 4_Degree data" xfId="1779"/>
    <cellStyle name="Normal 58 6 5" xfId="800"/>
    <cellStyle name="Normal 58 6 5 2" xfId="2529"/>
    <cellStyle name="Normal 58 6 5 2 2" xfId="15978"/>
    <cellStyle name="Normal 58 6 5 2 3" xfId="12497"/>
    <cellStyle name="Normal 58 6 5 2 4" xfId="6948"/>
    <cellStyle name="Normal 58 6 5 3" xfId="3796"/>
    <cellStyle name="Normal 58 6 5 3 2" xfId="17442"/>
    <cellStyle name="Normal 58 6 5 3 3" xfId="13863"/>
    <cellStyle name="Normal 58 6 5 3 4" xfId="8606"/>
    <cellStyle name="Normal 58 6 5 4" xfId="6064"/>
    <cellStyle name="Normal 58 6 5 4 2" xfId="15148"/>
    <cellStyle name="Normal 58 6 5 5" xfId="10060"/>
    <cellStyle name="Normal 58 6 5 5 2" xfId="18887"/>
    <cellStyle name="Normal 58 6 5 6" xfId="11505"/>
    <cellStyle name="Normal 58 6 5 7" xfId="4542"/>
    <cellStyle name="Normal 58 6 6" xfId="1157"/>
    <cellStyle name="Normal 58 6 6 2" xfId="2877"/>
    <cellStyle name="Normal 58 6 6 2 2" xfId="16417"/>
    <cellStyle name="Normal 58 6 6 2 3" xfId="12839"/>
    <cellStyle name="Normal 58 6 6 2 4" xfId="7549"/>
    <cellStyle name="Normal 58 6 6 3" xfId="4145"/>
    <cellStyle name="Normal 58 6 6 3 2" xfId="17790"/>
    <cellStyle name="Normal 58 6 6 3 3" xfId="14211"/>
    <cellStyle name="Normal 58 6 6 3 4" xfId="8954"/>
    <cellStyle name="Normal 58 6 6 4" xfId="6665"/>
    <cellStyle name="Normal 58 6 6 4 2" xfId="15749"/>
    <cellStyle name="Normal 58 6 6 5" xfId="10408"/>
    <cellStyle name="Normal 58 6 6 5 2" xfId="19235"/>
    <cellStyle name="Normal 58 6 6 6" xfId="11854"/>
    <cellStyle name="Normal 58 6 6 7" xfId="5143"/>
    <cellStyle name="Normal 58 6 7" xfId="1365"/>
    <cellStyle name="Normal 58 6 7 2" xfId="2976"/>
    <cellStyle name="Normal 58 6 7 2 2" xfId="16525"/>
    <cellStyle name="Normal 58 6 7 2 3" xfId="12947"/>
    <cellStyle name="Normal 58 6 7 2 4" xfId="7657"/>
    <cellStyle name="Normal 58 6 7 3" xfId="4201"/>
    <cellStyle name="Normal 58 6 7 3 2" xfId="17889"/>
    <cellStyle name="Normal 58 6 7 3 3" xfId="14310"/>
    <cellStyle name="Normal 58 6 7 3 4" xfId="9053"/>
    <cellStyle name="Normal 58 6 7 4" xfId="5903"/>
    <cellStyle name="Normal 58 6 7 4 2" xfId="14989"/>
    <cellStyle name="Normal 58 6 7 5" xfId="10507"/>
    <cellStyle name="Normal 58 6 7 5 2" xfId="19334"/>
    <cellStyle name="Normal 58 6 7 6" xfId="11953"/>
    <cellStyle name="Normal 58 6 7 7" xfId="5251"/>
    <cellStyle name="Normal 58 6 8" xfId="1933"/>
    <cellStyle name="Normal 58 6 8 2" xfId="9464"/>
    <cellStyle name="Normal 58 6 8 2 2" xfId="18291"/>
    <cellStyle name="Normal 58 6 8 3" xfId="10908"/>
    <cellStyle name="Normal 58 6 8 4" xfId="6790"/>
    <cellStyle name="Normal 58 6 9" xfId="1857"/>
    <cellStyle name="Normal 58 6 9 2" xfId="16844"/>
    <cellStyle name="Normal 58 6 9 3" xfId="13265"/>
    <cellStyle name="Normal 58 6 9 4" xfId="8008"/>
    <cellStyle name="Normal 58 6_Degree data" xfId="1774"/>
    <cellStyle name="Normal 58 7" xfId="242"/>
    <cellStyle name="Normal 58 7 10" xfId="10993"/>
    <cellStyle name="Normal 58 7 11" xfId="4410"/>
    <cellStyle name="Normal 58 7 2" xfId="350"/>
    <cellStyle name="Normal 58 7 2 2" xfId="807"/>
    <cellStyle name="Normal 58 7 2 2 2" xfId="2536"/>
    <cellStyle name="Normal 58 7 2 2 2 2" xfId="16424"/>
    <cellStyle name="Normal 58 7 2 2 2 3" xfId="12846"/>
    <cellStyle name="Normal 58 7 2 2 2 4" xfId="7556"/>
    <cellStyle name="Normal 58 7 2 2 3" xfId="3803"/>
    <cellStyle name="Normal 58 7 2 2 3 2" xfId="17449"/>
    <cellStyle name="Normal 58 7 2 2 3 3" xfId="13870"/>
    <cellStyle name="Normal 58 7 2 2 3 4" xfId="8613"/>
    <cellStyle name="Normal 58 7 2 2 4" xfId="6672"/>
    <cellStyle name="Normal 58 7 2 2 4 2" xfId="15756"/>
    <cellStyle name="Normal 58 7 2 2 5" xfId="10067"/>
    <cellStyle name="Normal 58 7 2 2 5 2" xfId="18894"/>
    <cellStyle name="Normal 58 7 2 2 6" xfId="11512"/>
    <cellStyle name="Normal 58 7 2 2 7" xfId="5150"/>
    <cellStyle name="Normal 58 7 2 3" xfId="1164"/>
    <cellStyle name="Normal 58 7 2 3 2" xfId="2884"/>
    <cellStyle name="Normal 58 7 2 3 2 2" xfId="16710"/>
    <cellStyle name="Normal 58 7 2 3 2 3" xfId="13131"/>
    <cellStyle name="Normal 58 7 2 3 2 4" xfId="7842"/>
    <cellStyle name="Normal 58 7 2 3 3" xfId="4152"/>
    <cellStyle name="Normal 58 7 2 3 3 2" xfId="17797"/>
    <cellStyle name="Normal 58 7 2 3 3 3" xfId="14218"/>
    <cellStyle name="Normal 58 7 2 3 3 4" xfId="8961"/>
    <cellStyle name="Normal 58 7 2 3 4" xfId="6249"/>
    <cellStyle name="Normal 58 7 2 3 4 2" xfId="15333"/>
    <cellStyle name="Normal 58 7 2 3 5" xfId="10415"/>
    <cellStyle name="Normal 58 7 2 3 5 2" xfId="19242"/>
    <cellStyle name="Normal 58 7 2 3 6" xfId="11861"/>
    <cellStyle name="Normal 58 7 2 3 7" xfId="5436"/>
    <cellStyle name="Normal 58 7 2 4" xfId="1563"/>
    <cellStyle name="Normal 58 7 2 4 2" xfId="3161"/>
    <cellStyle name="Normal 58 7 2 4 2 2" xfId="18074"/>
    <cellStyle name="Normal 58 7 2 4 2 3" xfId="14495"/>
    <cellStyle name="Normal 58 7 2 4 2 4" xfId="9238"/>
    <cellStyle name="Normal 58 7 2 4 3" xfId="10692"/>
    <cellStyle name="Normal 58 7 2 4 3 2" xfId="19519"/>
    <cellStyle name="Normal 58 7 2 4 4" xfId="12138"/>
    <cellStyle name="Normal 58 7 2 4 5" xfId="7133"/>
    <cellStyle name="Normal 58 7 2 5" xfId="2118"/>
    <cellStyle name="Normal 58 7 2 5 2" xfId="17031"/>
    <cellStyle name="Normal 58 7 2 5 3" xfId="13452"/>
    <cellStyle name="Normal 58 7 2 5 4" xfId="8195"/>
    <cellStyle name="Normal 58 7 2 6" xfId="5756"/>
    <cellStyle name="Normal 58 7 2 6 2" xfId="14842"/>
    <cellStyle name="Normal 58 7 2 7" xfId="9649"/>
    <cellStyle name="Normal 58 7 2 7 2" xfId="18476"/>
    <cellStyle name="Normal 58 7 2 8" xfId="11093"/>
    <cellStyle name="Normal 58 7 2 9" xfId="4727"/>
    <cellStyle name="Normal 58 7 2_Degree data" xfId="1781"/>
    <cellStyle name="Normal 58 7 3" xfId="806"/>
    <cellStyle name="Normal 58 7 3 2" xfId="2535"/>
    <cellStyle name="Normal 58 7 3 2 2" xfId="16047"/>
    <cellStyle name="Normal 58 7 3 2 3" xfId="12273"/>
    <cellStyle name="Normal 58 7 3 2 4" xfId="7033"/>
    <cellStyle name="Normal 58 7 3 3" xfId="3802"/>
    <cellStyle name="Normal 58 7 3 3 2" xfId="17448"/>
    <cellStyle name="Normal 58 7 3 3 3" xfId="13869"/>
    <cellStyle name="Normal 58 7 3 3 4" xfId="8612"/>
    <cellStyle name="Normal 58 7 3 4" xfId="6149"/>
    <cellStyle name="Normal 58 7 3 4 2" xfId="15233"/>
    <cellStyle name="Normal 58 7 3 5" xfId="10066"/>
    <cellStyle name="Normal 58 7 3 5 2" xfId="18893"/>
    <cellStyle name="Normal 58 7 3 6" xfId="11511"/>
    <cellStyle name="Normal 58 7 3 7" xfId="4627"/>
    <cellStyle name="Normal 58 7 4" xfId="1163"/>
    <cellStyle name="Normal 58 7 4 2" xfId="2883"/>
    <cellStyle name="Normal 58 7 4 2 2" xfId="16423"/>
    <cellStyle name="Normal 58 7 4 2 3" xfId="12845"/>
    <cellStyle name="Normal 58 7 4 2 4" xfId="7555"/>
    <cellStyle name="Normal 58 7 4 3" xfId="4151"/>
    <cellStyle name="Normal 58 7 4 3 2" xfId="17796"/>
    <cellStyle name="Normal 58 7 4 3 3" xfId="14217"/>
    <cellStyle name="Normal 58 7 4 3 4" xfId="8960"/>
    <cellStyle name="Normal 58 7 4 4" xfId="6671"/>
    <cellStyle name="Normal 58 7 4 4 2" xfId="15755"/>
    <cellStyle name="Normal 58 7 4 5" xfId="10414"/>
    <cellStyle name="Normal 58 7 4 5 2" xfId="19241"/>
    <cellStyle name="Normal 58 7 4 6" xfId="11860"/>
    <cellStyle name="Normal 58 7 4 7" xfId="5149"/>
    <cellStyle name="Normal 58 7 5" xfId="1461"/>
    <cellStyle name="Normal 58 7 5 2" xfId="3061"/>
    <cellStyle name="Normal 58 7 5 2 2" xfId="16610"/>
    <cellStyle name="Normal 58 7 5 2 3" xfId="13031"/>
    <cellStyle name="Normal 58 7 5 2 4" xfId="7742"/>
    <cellStyle name="Normal 58 7 5 3" xfId="4269"/>
    <cellStyle name="Normal 58 7 5 3 2" xfId="17974"/>
    <cellStyle name="Normal 58 7 5 3 3" xfId="14395"/>
    <cellStyle name="Normal 58 7 5 3 4" xfId="9138"/>
    <cellStyle name="Normal 58 7 5 4" xfId="5930"/>
    <cellStyle name="Normal 58 7 5 4 2" xfId="15016"/>
    <cellStyle name="Normal 58 7 5 5" xfId="10592"/>
    <cellStyle name="Normal 58 7 5 5 2" xfId="19419"/>
    <cellStyle name="Normal 58 7 5 6" xfId="12038"/>
    <cellStyle name="Normal 58 7 5 7" xfId="5336"/>
    <cellStyle name="Normal 58 7 6" xfId="2018"/>
    <cellStyle name="Normal 58 7 6 2" xfId="15859"/>
    <cellStyle name="Normal 58 7 6 3" xfId="12496"/>
    <cellStyle name="Normal 58 7 6 4" xfId="6816"/>
    <cellStyle name="Normal 58 7 7" xfId="3431"/>
    <cellStyle name="Normal 58 7 7 2" xfId="16931"/>
    <cellStyle name="Normal 58 7 7 3" xfId="13352"/>
    <cellStyle name="Normal 58 7 7 4" xfId="8095"/>
    <cellStyle name="Normal 58 7 8" xfId="5656"/>
    <cellStyle name="Normal 58 7 8 2" xfId="14742"/>
    <cellStyle name="Normal 58 7 9" xfId="9549"/>
    <cellStyle name="Normal 58 7 9 2" xfId="18376"/>
    <cellStyle name="Normal 58 7_Degree data" xfId="1780"/>
    <cellStyle name="Normal 58 8" xfId="182"/>
    <cellStyle name="Normal 58 8 10" xfId="10936"/>
    <cellStyle name="Normal 58 8 11" xfId="4458"/>
    <cellStyle name="Normal 58 8 2" xfId="399"/>
    <cellStyle name="Normal 58 8 2 2" xfId="809"/>
    <cellStyle name="Normal 58 8 2 2 2" xfId="2538"/>
    <cellStyle name="Normal 58 8 2 2 2 2" xfId="16426"/>
    <cellStyle name="Normal 58 8 2 2 2 3" xfId="12848"/>
    <cellStyle name="Normal 58 8 2 2 2 4" xfId="7558"/>
    <cellStyle name="Normal 58 8 2 2 3" xfId="3805"/>
    <cellStyle name="Normal 58 8 2 2 3 2" xfId="17451"/>
    <cellStyle name="Normal 58 8 2 2 3 3" xfId="13872"/>
    <cellStyle name="Normal 58 8 2 2 3 4" xfId="8615"/>
    <cellStyle name="Normal 58 8 2 2 4" xfId="6674"/>
    <cellStyle name="Normal 58 8 2 2 4 2" xfId="15758"/>
    <cellStyle name="Normal 58 8 2 2 5" xfId="10069"/>
    <cellStyle name="Normal 58 8 2 2 5 2" xfId="18896"/>
    <cellStyle name="Normal 58 8 2 2 6" xfId="11514"/>
    <cellStyle name="Normal 58 8 2 2 7" xfId="5152"/>
    <cellStyle name="Normal 58 8 2 3" xfId="1166"/>
    <cellStyle name="Normal 58 8 2 3 2" xfId="2886"/>
    <cellStyle name="Normal 58 8 2 3 2 2" xfId="16758"/>
    <cellStyle name="Normal 58 8 2 3 2 3" xfId="13179"/>
    <cellStyle name="Normal 58 8 2 3 2 4" xfId="7890"/>
    <cellStyle name="Normal 58 8 2 3 3" xfId="4154"/>
    <cellStyle name="Normal 58 8 2 3 3 2" xfId="17799"/>
    <cellStyle name="Normal 58 8 2 3 3 3" xfId="14220"/>
    <cellStyle name="Normal 58 8 2 3 3 4" xfId="8963"/>
    <cellStyle name="Normal 58 8 2 3 4" xfId="6297"/>
    <cellStyle name="Normal 58 8 2 3 4 2" xfId="15381"/>
    <cellStyle name="Normal 58 8 2 3 5" xfId="10417"/>
    <cellStyle name="Normal 58 8 2 3 5 2" xfId="19244"/>
    <cellStyle name="Normal 58 8 2 3 6" xfId="11863"/>
    <cellStyle name="Normal 58 8 2 3 7" xfId="5484"/>
    <cellStyle name="Normal 58 8 2 4" xfId="1613"/>
    <cellStyle name="Normal 58 8 2 4 2" xfId="3209"/>
    <cellStyle name="Normal 58 8 2 4 2 2" xfId="18122"/>
    <cellStyle name="Normal 58 8 2 4 2 3" xfId="14543"/>
    <cellStyle name="Normal 58 8 2 4 2 4" xfId="9286"/>
    <cellStyle name="Normal 58 8 2 4 3" xfId="10740"/>
    <cellStyle name="Normal 58 8 2 4 3 2" xfId="19567"/>
    <cellStyle name="Normal 58 8 2 4 4" xfId="12186"/>
    <cellStyle name="Normal 58 8 2 4 5" xfId="7181"/>
    <cellStyle name="Normal 58 8 2 5" xfId="2166"/>
    <cellStyle name="Normal 58 8 2 5 2" xfId="17079"/>
    <cellStyle name="Normal 58 8 2 5 3" xfId="13500"/>
    <cellStyle name="Normal 58 8 2 5 4" xfId="8243"/>
    <cellStyle name="Normal 58 8 2 6" xfId="5804"/>
    <cellStyle name="Normal 58 8 2 6 2" xfId="14890"/>
    <cellStyle name="Normal 58 8 2 7" xfId="9697"/>
    <cellStyle name="Normal 58 8 2 7 2" xfId="18524"/>
    <cellStyle name="Normal 58 8 2 8" xfId="11141"/>
    <cellStyle name="Normal 58 8 2 9" xfId="4775"/>
    <cellStyle name="Normal 58 8 2_Degree data" xfId="1783"/>
    <cellStyle name="Normal 58 8 3" xfId="808"/>
    <cellStyle name="Normal 58 8 3 2" xfId="2537"/>
    <cellStyle name="Normal 58 8 3 2 2" xfId="15990"/>
    <cellStyle name="Normal 58 8 3 2 3" xfId="12502"/>
    <cellStyle name="Normal 58 8 3 2 4" xfId="6976"/>
    <cellStyle name="Normal 58 8 3 3" xfId="3804"/>
    <cellStyle name="Normal 58 8 3 3 2" xfId="17450"/>
    <cellStyle name="Normal 58 8 3 3 3" xfId="13871"/>
    <cellStyle name="Normal 58 8 3 3 4" xfId="8614"/>
    <cellStyle name="Normal 58 8 3 4" xfId="6092"/>
    <cellStyle name="Normal 58 8 3 4 2" xfId="15176"/>
    <cellStyle name="Normal 58 8 3 5" xfId="10068"/>
    <cellStyle name="Normal 58 8 3 5 2" xfId="18895"/>
    <cellStyle name="Normal 58 8 3 6" xfId="11513"/>
    <cellStyle name="Normal 58 8 3 7" xfId="4570"/>
    <cellStyle name="Normal 58 8 4" xfId="1165"/>
    <cellStyle name="Normal 58 8 4 2" xfId="2885"/>
    <cellStyle name="Normal 58 8 4 2 2" xfId="16425"/>
    <cellStyle name="Normal 58 8 4 2 3" xfId="12847"/>
    <cellStyle name="Normal 58 8 4 2 4" xfId="7557"/>
    <cellStyle name="Normal 58 8 4 3" xfId="4153"/>
    <cellStyle name="Normal 58 8 4 3 2" xfId="17798"/>
    <cellStyle name="Normal 58 8 4 3 3" xfId="14219"/>
    <cellStyle name="Normal 58 8 4 3 4" xfId="8962"/>
    <cellStyle name="Normal 58 8 4 4" xfId="6673"/>
    <cellStyle name="Normal 58 8 4 4 2" xfId="15757"/>
    <cellStyle name="Normal 58 8 4 5" xfId="10416"/>
    <cellStyle name="Normal 58 8 4 5 2" xfId="19243"/>
    <cellStyle name="Normal 58 8 4 6" xfId="11862"/>
    <cellStyle name="Normal 58 8 4 7" xfId="5151"/>
    <cellStyle name="Normal 58 8 5" xfId="1399"/>
    <cellStyle name="Normal 58 8 5 2" xfId="3004"/>
    <cellStyle name="Normal 58 8 5 2 2" xfId="16553"/>
    <cellStyle name="Normal 58 8 5 2 3" xfId="12974"/>
    <cellStyle name="Normal 58 8 5 2 4" xfId="7685"/>
    <cellStyle name="Normal 58 8 5 3" xfId="4212"/>
    <cellStyle name="Normal 58 8 5 3 2" xfId="17917"/>
    <cellStyle name="Normal 58 8 5 3 3" xfId="14338"/>
    <cellStyle name="Normal 58 8 5 3 4" xfId="9081"/>
    <cellStyle name="Normal 58 8 5 4" xfId="5978"/>
    <cellStyle name="Normal 58 8 5 4 2" xfId="15064"/>
    <cellStyle name="Normal 58 8 5 5" xfId="10535"/>
    <cellStyle name="Normal 58 8 5 5 2" xfId="19362"/>
    <cellStyle name="Normal 58 8 5 6" xfId="11981"/>
    <cellStyle name="Normal 58 8 5 7" xfId="5279"/>
    <cellStyle name="Normal 58 8 6" xfId="1961"/>
    <cellStyle name="Normal 58 8 6 2" xfId="15907"/>
    <cellStyle name="Normal 58 8 6 3" xfId="12425"/>
    <cellStyle name="Normal 58 8 6 4" xfId="6864"/>
    <cellStyle name="Normal 58 8 7" xfId="3375"/>
    <cellStyle name="Normal 58 8 7 2" xfId="16874"/>
    <cellStyle name="Normal 58 8 7 3" xfId="13295"/>
    <cellStyle name="Normal 58 8 7 4" xfId="8038"/>
    <cellStyle name="Normal 58 8 8" xfId="5599"/>
    <cellStyle name="Normal 58 8 8 2" xfId="14685"/>
    <cellStyle name="Normal 58 8 9" xfId="9492"/>
    <cellStyle name="Normal 58 8 9 2" xfId="18319"/>
    <cellStyle name="Normal 58 8_Degree data" xfId="1782"/>
    <cellStyle name="Normal 58 9" xfId="455"/>
    <cellStyle name="Normal 58 9 10" xfId="4514"/>
    <cellStyle name="Normal 58 9 2" xfId="810"/>
    <cellStyle name="Normal 58 9 2 2" xfId="2539"/>
    <cellStyle name="Normal 58 9 2 2 2" xfId="16106"/>
    <cellStyle name="Normal 58 9 2 2 3" xfId="12528"/>
    <cellStyle name="Normal 58 9 2 2 4" xfId="7237"/>
    <cellStyle name="Normal 58 9 2 3" xfId="3806"/>
    <cellStyle name="Normal 58 9 2 3 2" xfId="17452"/>
    <cellStyle name="Normal 58 9 2 3 3" xfId="13873"/>
    <cellStyle name="Normal 58 9 2 3 4" xfId="8616"/>
    <cellStyle name="Normal 58 9 2 4" xfId="6353"/>
    <cellStyle name="Normal 58 9 2 4 2" xfId="15437"/>
    <cellStyle name="Normal 58 9 2 5" xfId="10070"/>
    <cellStyle name="Normal 58 9 2 5 2" xfId="18897"/>
    <cellStyle name="Normal 58 9 2 6" xfId="11515"/>
    <cellStyle name="Normal 58 9 2 7" xfId="4831"/>
    <cellStyle name="Normal 58 9 3" xfId="1167"/>
    <cellStyle name="Normal 58 9 3 2" xfId="2887"/>
    <cellStyle name="Normal 58 9 3 2 2" xfId="16427"/>
    <cellStyle name="Normal 58 9 3 2 3" xfId="12849"/>
    <cellStyle name="Normal 58 9 3 2 4" xfId="7559"/>
    <cellStyle name="Normal 58 9 3 3" xfId="4155"/>
    <cellStyle name="Normal 58 9 3 3 2" xfId="17800"/>
    <cellStyle name="Normal 58 9 3 3 3" xfId="14221"/>
    <cellStyle name="Normal 58 9 3 3 4" xfId="8964"/>
    <cellStyle name="Normal 58 9 3 4" xfId="6675"/>
    <cellStyle name="Normal 58 9 3 4 2" xfId="15759"/>
    <cellStyle name="Normal 58 9 3 5" xfId="10418"/>
    <cellStyle name="Normal 58 9 3 5 2" xfId="19245"/>
    <cellStyle name="Normal 58 9 3 6" xfId="11864"/>
    <cellStyle name="Normal 58 9 3 7" xfId="5153"/>
    <cellStyle name="Normal 58 9 4" xfId="1669"/>
    <cellStyle name="Normal 58 9 4 2" xfId="3265"/>
    <cellStyle name="Normal 58 9 4 2 2" xfId="16814"/>
    <cellStyle name="Normal 58 9 4 2 3" xfId="13235"/>
    <cellStyle name="Normal 58 9 4 2 4" xfId="7946"/>
    <cellStyle name="Normal 58 9 4 3" xfId="4328"/>
    <cellStyle name="Normal 58 9 4 3 2" xfId="18178"/>
    <cellStyle name="Normal 58 9 4 3 3" xfId="14599"/>
    <cellStyle name="Normal 58 9 4 3 4" xfId="9342"/>
    <cellStyle name="Normal 58 9 4 4" xfId="6034"/>
    <cellStyle name="Normal 58 9 4 4 2" xfId="15120"/>
    <cellStyle name="Normal 58 9 4 5" xfId="10796"/>
    <cellStyle name="Normal 58 9 4 5 2" xfId="19623"/>
    <cellStyle name="Normal 58 9 4 6" xfId="12242"/>
    <cellStyle name="Normal 58 9 4 7" xfId="5540"/>
    <cellStyle name="Normal 58 9 5" xfId="2222"/>
    <cellStyle name="Normal 58 9 5 2" xfId="15963"/>
    <cellStyle name="Normal 58 9 5 3" xfId="12267"/>
    <cellStyle name="Normal 58 9 5 4" xfId="6920"/>
    <cellStyle name="Normal 58 9 6" xfId="3490"/>
    <cellStyle name="Normal 58 9 6 2" xfId="17135"/>
    <cellStyle name="Normal 58 9 6 3" xfId="13556"/>
    <cellStyle name="Normal 58 9 6 4" xfId="8299"/>
    <cellStyle name="Normal 58 9 7" xfId="5860"/>
    <cellStyle name="Normal 58 9 7 2" xfId="14946"/>
    <cellStyle name="Normal 58 9 8" xfId="9753"/>
    <cellStyle name="Normal 58 9 8 2" xfId="18580"/>
    <cellStyle name="Normal 58 9 9" xfId="11197"/>
    <cellStyle name="Normal 58 9_Degree data" xfId="1784"/>
    <cellStyle name="Normal 58_Degree data" xfId="1742"/>
    <cellStyle name="Normal 59" xfId="39"/>
    <cellStyle name="Normal 6" xfId="24"/>
    <cellStyle name="Normal 6 2 2" xfId="38"/>
    <cellStyle name="Normal 6_sreb progression tab 2 redo" xfId="31"/>
    <cellStyle name="Normal 60" xfId="50"/>
    <cellStyle name="Normal 60 2" xfId="180"/>
    <cellStyle name="Normal 60 2 2" xfId="811"/>
    <cellStyle name="Normal 60 3" xfId="462"/>
    <cellStyle name="Normal 60_Degree data" xfId="1785"/>
    <cellStyle name="Normal 61" xfId="166"/>
    <cellStyle name="Normal 61 2" xfId="179"/>
    <cellStyle name="Normal 61 2 2" xfId="812"/>
    <cellStyle name="Normal 61 3" xfId="467"/>
    <cellStyle name="Normal 61_Degree data" xfId="1786"/>
    <cellStyle name="Normal 62" xfId="140"/>
    <cellStyle name="Normal 62 2" xfId="176"/>
    <cellStyle name="Normal 62 2 2" xfId="813"/>
    <cellStyle name="Normal 62 3" xfId="466"/>
    <cellStyle name="Normal 62_Degree data" xfId="1787"/>
    <cellStyle name="Normal 63" xfId="155"/>
    <cellStyle name="Normal 63 10" xfId="5582"/>
    <cellStyle name="Normal 63 10 2" xfId="14668"/>
    <cellStyle name="Normal 63 11" xfId="9475"/>
    <cellStyle name="Normal 63 11 2" xfId="18302"/>
    <cellStyle name="Normal 63 12" xfId="10919"/>
    <cellStyle name="Normal 63 13" xfId="4372"/>
    <cellStyle name="Normal 63 2" xfId="201"/>
    <cellStyle name="Normal 63 2 10" xfId="10955"/>
    <cellStyle name="Normal 63 2 11" xfId="4477"/>
    <cellStyle name="Normal 63 2 2" xfId="418"/>
    <cellStyle name="Normal 63 2 2 2" xfId="816"/>
    <cellStyle name="Normal 63 2 2 2 2" xfId="2542"/>
    <cellStyle name="Normal 63 2 2 2 2 2" xfId="16430"/>
    <cellStyle name="Normal 63 2 2 2 2 3" xfId="12852"/>
    <cellStyle name="Normal 63 2 2 2 2 4" xfId="7562"/>
    <cellStyle name="Normal 63 2 2 2 3" xfId="3809"/>
    <cellStyle name="Normal 63 2 2 2 3 2" xfId="17455"/>
    <cellStyle name="Normal 63 2 2 2 3 3" xfId="13876"/>
    <cellStyle name="Normal 63 2 2 2 3 4" xfId="8619"/>
    <cellStyle name="Normal 63 2 2 2 4" xfId="6678"/>
    <cellStyle name="Normal 63 2 2 2 4 2" xfId="15762"/>
    <cellStyle name="Normal 63 2 2 2 5" xfId="10073"/>
    <cellStyle name="Normal 63 2 2 2 5 2" xfId="18900"/>
    <cellStyle name="Normal 63 2 2 2 6" xfId="11519"/>
    <cellStyle name="Normal 63 2 2 2 7" xfId="5156"/>
    <cellStyle name="Normal 63 2 2 3" xfId="1170"/>
    <cellStyle name="Normal 63 2 2 3 2" xfId="2890"/>
    <cellStyle name="Normal 63 2 2 3 2 2" xfId="16777"/>
    <cellStyle name="Normal 63 2 2 3 2 3" xfId="13198"/>
    <cellStyle name="Normal 63 2 2 3 2 4" xfId="7909"/>
    <cellStyle name="Normal 63 2 2 3 3" xfId="4158"/>
    <cellStyle name="Normal 63 2 2 3 3 2" xfId="17803"/>
    <cellStyle name="Normal 63 2 2 3 3 3" xfId="14224"/>
    <cellStyle name="Normal 63 2 2 3 3 4" xfId="8967"/>
    <cellStyle name="Normal 63 2 2 3 4" xfId="6316"/>
    <cellStyle name="Normal 63 2 2 3 4 2" xfId="15400"/>
    <cellStyle name="Normal 63 2 2 3 5" xfId="10421"/>
    <cellStyle name="Normal 63 2 2 3 5 2" xfId="19248"/>
    <cellStyle name="Normal 63 2 2 3 6" xfId="11867"/>
    <cellStyle name="Normal 63 2 2 3 7" xfId="5503"/>
    <cellStyle name="Normal 63 2 2 4" xfId="1632"/>
    <cellStyle name="Normal 63 2 2 4 2" xfId="3228"/>
    <cellStyle name="Normal 63 2 2 4 2 2" xfId="18141"/>
    <cellStyle name="Normal 63 2 2 4 2 3" xfId="14562"/>
    <cellStyle name="Normal 63 2 2 4 2 4" xfId="9305"/>
    <cellStyle name="Normal 63 2 2 4 3" xfId="10759"/>
    <cellStyle name="Normal 63 2 2 4 3 2" xfId="19586"/>
    <cellStyle name="Normal 63 2 2 4 4" xfId="12205"/>
    <cellStyle name="Normal 63 2 2 4 5" xfId="7200"/>
    <cellStyle name="Normal 63 2 2 5" xfId="2185"/>
    <cellStyle name="Normal 63 2 2 5 2" xfId="17098"/>
    <cellStyle name="Normal 63 2 2 5 3" xfId="13519"/>
    <cellStyle name="Normal 63 2 2 5 4" xfId="8262"/>
    <cellStyle name="Normal 63 2 2 6" xfId="5823"/>
    <cellStyle name="Normal 63 2 2 6 2" xfId="14909"/>
    <cellStyle name="Normal 63 2 2 7" xfId="9716"/>
    <cellStyle name="Normal 63 2 2 7 2" xfId="18543"/>
    <cellStyle name="Normal 63 2 2 8" xfId="11160"/>
    <cellStyle name="Normal 63 2 2 9" xfId="4794"/>
    <cellStyle name="Normal 63 2 2_Degree data" xfId="1790"/>
    <cellStyle name="Normal 63 2 3" xfId="815"/>
    <cellStyle name="Normal 63 2 3 2" xfId="2541"/>
    <cellStyle name="Normal 63 2 3 2 2" xfId="16009"/>
    <cellStyle name="Normal 63 2 3 2 3" xfId="12452"/>
    <cellStyle name="Normal 63 2 3 2 4" xfId="6995"/>
    <cellStyle name="Normal 63 2 3 3" xfId="3808"/>
    <cellStyle name="Normal 63 2 3 3 2" xfId="17454"/>
    <cellStyle name="Normal 63 2 3 3 3" xfId="13875"/>
    <cellStyle name="Normal 63 2 3 3 4" xfId="8618"/>
    <cellStyle name="Normal 63 2 3 4" xfId="6111"/>
    <cellStyle name="Normal 63 2 3 4 2" xfId="15195"/>
    <cellStyle name="Normal 63 2 3 5" xfId="10072"/>
    <cellStyle name="Normal 63 2 3 5 2" xfId="18899"/>
    <cellStyle name="Normal 63 2 3 6" xfId="11518"/>
    <cellStyle name="Normal 63 2 3 7" xfId="4589"/>
    <cellStyle name="Normal 63 2 4" xfId="1169"/>
    <cellStyle name="Normal 63 2 4 2" xfId="2889"/>
    <cellStyle name="Normal 63 2 4 2 2" xfId="16429"/>
    <cellStyle name="Normal 63 2 4 2 3" xfId="12851"/>
    <cellStyle name="Normal 63 2 4 2 4" xfId="7561"/>
    <cellStyle name="Normal 63 2 4 3" xfId="4157"/>
    <cellStyle name="Normal 63 2 4 3 2" xfId="17802"/>
    <cellStyle name="Normal 63 2 4 3 3" xfId="14223"/>
    <cellStyle name="Normal 63 2 4 3 4" xfId="8966"/>
    <cellStyle name="Normal 63 2 4 4" xfId="6677"/>
    <cellStyle name="Normal 63 2 4 4 2" xfId="15761"/>
    <cellStyle name="Normal 63 2 4 5" xfId="10420"/>
    <cellStyle name="Normal 63 2 4 5 2" xfId="19247"/>
    <cellStyle name="Normal 63 2 4 6" xfId="11866"/>
    <cellStyle name="Normal 63 2 4 7" xfId="5155"/>
    <cellStyle name="Normal 63 2 5" xfId="1418"/>
    <cellStyle name="Normal 63 2 5 2" xfId="3023"/>
    <cellStyle name="Normal 63 2 5 2 2" xfId="16572"/>
    <cellStyle name="Normal 63 2 5 2 3" xfId="12993"/>
    <cellStyle name="Normal 63 2 5 2 4" xfId="7704"/>
    <cellStyle name="Normal 63 2 5 3" xfId="4231"/>
    <cellStyle name="Normal 63 2 5 3 2" xfId="17936"/>
    <cellStyle name="Normal 63 2 5 3 3" xfId="14357"/>
    <cellStyle name="Normal 63 2 5 3 4" xfId="9100"/>
    <cellStyle name="Normal 63 2 5 4" xfId="5997"/>
    <cellStyle name="Normal 63 2 5 4 2" xfId="15083"/>
    <cellStyle name="Normal 63 2 5 5" xfId="10554"/>
    <cellStyle name="Normal 63 2 5 5 2" xfId="19381"/>
    <cellStyle name="Normal 63 2 5 6" xfId="12000"/>
    <cellStyle name="Normal 63 2 5 7" xfId="5298"/>
    <cellStyle name="Normal 63 2 6" xfId="1980"/>
    <cellStyle name="Normal 63 2 6 2" xfId="15926"/>
    <cellStyle name="Normal 63 2 6 3" xfId="12457"/>
    <cellStyle name="Normal 63 2 6 4" xfId="6883"/>
    <cellStyle name="Normal 63 2 7" xfId="3394"/>
    <cellStyle name="Normal 63 2 7 2" xfId="16893"/>
    <cellStyle name="Normal 63 2 7 3" xfId="13314"/>
    <cellStyle name="Normal 63 2 7 4" xfId="8057"/>
    <cellStyle name="Normal 63 2 8" xfId="5618"/>
    <cellStyle name="Normal 63 2 8 2" xfId="14704"/>
    <cellStyle name="Normal 63 2 9" xfId="9511"/>
    <cellStyle name="Normal 63 2 9 2" xfId="18338"/>
    <cellStyle name="Normal 63 2_Degree data" xfId="1789"/>
    <cellStyle name="Normal 63 3" xfId="395"/>
    <cellStyle name="Normal 63 3 10" xfId="4454"/>
    <cellStyle name="Normal 63 3 2" xfId="817"/>
    <cellStyle name="Normal 63 3 2 2" xfId="2543"/>
    <cellStyle name="Normal 63 3 2 2 2" xfId="16091"/>
    <cellStyle name="Normal 63 3 2 2 3" xfId="12449"/>
    <cellStyle name="Normal 63 3 2 2 4" xfId="7177"/>
    <cellStyle name="Normal 63 3 2 3" xfId="3810"/>
    <cellStyle name="Normal 63 3 2 3 2" xfId="17456"/>
    <cellStyle name="Normal 63 3 2 3 3" xfId="13877"/>
    <cellStyle name="Normal 63 3 2 3 4" xfId="8620"/>
    <cellStyle name="Normal 63 3 2 4" xfId="6293"/>
    <cellStyle name="Normal 63 3 2 4 2" xfId="15377"/>
    <cellStyle name="Normal 63 3 2 5" xfId="10074"/>
    <cellStyle name="Normal 63 3 2 5 2" xfId="18901"/>
    <cellStyle name="Normal 63 3 2 6" xfId="11520"/>
    <cellStyle name="Normal 63 3 2 7" xfId="4771"/>
    <cellStyle name="Normal 63 3 3" xfId="1171"/>
    <cellStyle name="Normal 63 3 3 2" xfId="2891"/>
    <cellStyle name="Normal 63 3 3 2 2" xfId="16431"/>
    <cellStyle name="Normal 63 3 3 2 3" xfId="12853"/>
    <cellStyle name="Normal 63 3 3 2 4" xfId="7563"/>
    <cellStyle name="Normal 63 3 3 3" xfId="4159"/>
    <cellStyle name="Normal 63 3 3 3 2" xfId="17804"/>
    <cellStyle name="Normal 63 3 3 3 3" xfId="14225"/>
    <cellStyle name="Normal 63 3 3 3 4" xfId="8968"/>
    <cellStyle name="Normal 63 3 3 4" xfId="6679"/>
    <cellStyle name="Normal 63 3 3 4 2" xfId="15763"/>
    <cellStyle name="Normal 63 3 3 5" xfId="10422"/>
    <cellStyle name="Normal 63 3 3 5 2" xfId="19249"/>
    <cellStyle name="Normal 63 3 3 6" xfId="11868"/>
    <cellStyle name="Normal 63 3 3 7" xfId="5157"/>
    <cellStyle name="Normal 63 3 4" xfId="1609"/>
    <cellStyle name="Normal 63 3 4 2" xfId="3205"/>
    <cellStyle name="Normal 63 3 4 2 2" xfId="16754"/>
    <cellStyle name="Normal 63 3 4 2 3" xfId="13175"/>
    <cellStyle name="Normal 63 3 4 2 4" xfId="7886"/>
    <cellStyle name="Normal 63 3 4 3" xfId="4313"/>
    <cellStyle name="Normal 63 3 4 3 2" xfId="18118"/>
    <cellStyle name="Normal 63 3 4 3 3" xfId="14539"/>
    <cellStyle name="Normal 63 3 4 3 4" xfId="9282"/>
    <cellStyle name="Normal 63 3 4 4" xfId="5974"/>
    <cellStyle name="Normal 63 3 4 4 2" xfId="15060"/>
    <cellStyle name="Normal 63 3 4 5" xfId="10736"/>
    <cellStyle name="Normal 63 3 4 5 2" xfId="19563"/>
    <cellStyle name="Normal 63 3 4 6" xfId="12182"/>
    <cellStyle name="Normal 63 3 4 7" xfId="5480"/>
    <cellStyle name="Normal 63 3 5" xfId="2162"/>
    <cellStyle name="Normal 63 3 5 2" xfId="15903"/>
    <cellStyle name="Normal 63 3 5 3" xfId="12426"/>
    <cellStyle name="Normal 63 3 5 4" xfId="6860"/>
    <cellStyle name="Normal 63 3 6" xfId="3475"/>
    <cellStyle name="Normal 63 3 6 2" xfId="17075"/>
    <cellStyle name="Normal 63 3 6 3" xfId="13496"/>
    <cellStyle name="Normal 63 3 6 4" xfId="8239"/>
    <cellStyle name="Normal 63 3 7" xfId="5800"/>
    <cellStyle name="Normal 63 3 7 2" xfId="14886"/>
    <cellStyle name="Normal 63 3 8" xfId="9693"/>
    <cellStyle name="Normal 63 3 8 2" xfId="18520"/>
    <cellStyle name="Normal 63 3 9" xfId="11137"/>
    <cellStyle name="Normal 63 3_Degree data" xfId="1791"/>
    <cellStyle name="Normal 63 4" xfId="312"/>
    <cellStyle name="Normal 63 4 2" xfId="818"/>
    <cellStyle name="Normal 63 4 2 2" xfId="2544"/>
    <cellStyle name="Normal 63 4 2 2 2" xfId="16432"/>
    <cellStyle name="Normal 63 4 2 2 3" xfId="12854"/>
    <cellStyle name="Normal 63 4 2 2 4" xfId="7564"/>
    <cellStyle name="Normal 63 4 2 3" xfId="3811"/>
    <cellStyle name="Normal 63 4 2 3 2" xfId="17457"/>
    <cellStyle name="Normal 63 4 2 3 3" xfId="13878"/>
    <cellStyle name="Normal 63 4 2 3 4" xfId="8621"/>
    <cellStyle name="Normal 63 4 2 4" xfId="6680"/>
    <cellStyle name="Normal 63 4 2 4 2" xfId="15764"/>
    <cellStyle name="Normal 63 4 2 5" xfId="10075"/>
    <cellStyle name="Normal 63 4 2 5 2" xfId="18902"/>
    <cellStyle name="Normal 63 4 2 6" xfId="11521"/>
    <cellStyle name="Normal 63 4 2 7" xfId="5158"/>
    <cellStyle name="Normal 63 4 3" xfId="1172"/>
    <cellStyle name="Normal 63 4 3 2" xfId="2892"/>
    <cellStyle name="Normal 63 4 3 2 2" xfId="16672"/>
    <cellStyle name="Normal 63 4 3 2 3" xfId="13093"/>
    <cellStyle name="Normal 63 4 3 2 4" xfId="7804"/>
    <cellStyle name="Normal 63 4 3 3" xfId="4160"/>
    <cellStyle name="Normal 63 4 3 3 2" xfId="17805"/>
    <cellStyle name="Normal 63 4 3 3 3" xfId="14226"/>
    <cellStyle name="Normal 63 4 3 3 4" xfId="8969"/>
    <cellStyle name="Normal 63 4 3 4" xfId="6211"/>
    <cellStyle name="Normal 63 4 3 4 2" xfId="15295"/>
    <cellStyle name="Normal 63 4 3 5" xfId="10423"/>
    <cellStyle name="Normal 63 4 3 5 2" xfId="19250"/>
    <cellStyle name="Normal 63 4 3 6" xfId="11869"/>
    <cellStyle name="Normal 63 4 3 7" xfId="5398"/>
    <cellStyle name="Normal 63 4 4" xfId="1524"/>
    <cellStyle name="Normal 63 4 4 2" xfId="3123"/>
    <cellStyle name="Normal 63 4 4 2 2" xfId="18036"/>
    <cellStyle name="Normal 63 4 4 2 3" xfId="14457"/>
    <cellStyle name="Normal 63 4 4 2 4" xfId="9200"/>
    <cellStyle name="Normal 63 4 4 3" xfId="10654"/>
    <cellStyle name="Normal 63 4 4 3 2" xfId="19481"/>
    <cellStyle name="Normal 63 4 4 4" xfId="12100"/>
    <cellStyle name="Normal 63 4 4 5" xfId="7095"/>
    <cellStyle name="Normal 63 4 5" xfId="2080"/>
    <cellStyle name="Normal 63 4 5 2" xfId="16993"/>
    <cellStyle name="Normal 63 4 5 3" xfId="13414"/>
    <cellStyle name="Normal 63 4 5 4" xfId="8157"/>
    <cellStyle name="Normal 63 4 6" xfId="5718"/>
    <cellStyle name="Normal 63 4 6 2" xfId="14804"/>
    <cellStyle name="Normal 63 4 7" xfId="9611"/>
    <cellStyle name="Normal 63 4 7 2" xfId="18438"/>
    <cellStyle name="Normal 63 4 8" xfId="11055"/>
    <cellStyle name="Normal 63 4 9" xfId="4689"/>
    <cellStyle name="Normal 63 4_Degree data" xfId="1792"/>
    <cellStyle name="Normal 63 5" xfId="814"/>
    <cellStyle name="Normal 63 5 2" xfId="2540"/>
    <cellStyle name="Normal 63 5 2 2" xfId="15985"/>
    <cellStyle name="Normal 63 5 2 3" xfId="12345"/>
    <cellStyle name="Normal 63 5 2 4" xfId="6959"/>
    <cellStyle name="Normal 63 5 3" xfId="3807"/>
    <cellStyle name="Normal 63 5 3 2" xfId="17453"/>
    <cellStyle name="Normal 63 5 3 3" xfId="13874"/>
    <cellStyle name="Normal 63 5 3 4" xfId="8617"/>
    <cellStyle name="Normal 63 5 4" xfId="6075"/>
    <cellStyle name="Normal 63 5 4 2" xfId="15159"/>
    <cellStyle name="Normal 63 5 5" xfId="10071"/>
    <cellStyle name="Normal 63 5 5 2" xfId="18898"/>
    <cellStyle name="Normal 63 5 6" xfId="11517"/>
    <cellStyle name="Normal 63 5 7" xfId="4553"/>
    <cellStyle name="Normal 63 6" xfId="1168"/>
    <cellStyle name="Normal 63 6 2" xfId="2888"/>
    <cellStyle name="Normal 63 6 2 2" xfId="16428"/>
    <cellStyle name="Normal 63 6 2 3" xfId="12850"/>
    <cellStyle name="Normal 63 6 2 4" xfId="7560"/>
    <cellStyle name="Normal 63 6 3" xfId="4156"/>
    <cellStyle name="Normal 63 6 3 2" xfId="17801"/>
    <cellStyle name="Normal 63 6 3 3" xfId="14222"/>
    <cellStyle name="Normal 63 6 3 4" xfId="8965"/>
    <cellStyle name="Normal 63 6 4" xfId="6676"/>
    <cellStyle name="Normal 63 6 4 2" xfId="15760"/>
    <cellStyle name="Normal 63 6 5" xfId="10419"/>
    <cellStyle name="Normal 63 6 5 2" xfId="19246"/>
    <cellStyle name="Normal 63 6 6" xfId="11865"/>
    <cellStyle name="Normal 63 6 7" xfId="5154"/>
    <cellStyle name="Normal 63 7" xfId="1377"/>
    <cellStyle name="Normal 63 7 2" xfId="2987"/>
    <cellStyle name="Normal 63 7 2 2" xfId="16536"/>
    <cellStyle name="Normal 63 7 2 3" xfId="12957"/>
    <cellStyle name="Normal 63 7 2 4" xfId="7668"/>
    <cellStyle name="Normal 63 7 3" xfId="4207"/>
    <cellStyle name="Normal 63 7 3 2" xfId="17900"/>
    <cellStyle name="Normal 63 7 3 3" xfId="14321"/>
    <cellStyle name="Normal 63 7 3 4" xfId="9064"/>
    <cellStyle name="Normal 63 7 4" xfId="5891"/>
    <cellStyle name="Normal 63 7 4 2" xfId="14977"/>
    <cellStyle name="Normal 63 7 5" xfId="10518"/>
    <cellStyle name="Normal 63 7 5 2" xfId="19345"/>
    <cellStyle name="Normal 63 7 6" xfId="11964"/>
    <cellStyle name="Normal 63 7 7" xfId="5262"/>
    <cellStyle name="Normal 63 8" xfId="1944"/>
    <cellStyle name="Normal 63 8 2" xfId="15842"/>
    <cellStyle name="Normal 63 8 3" xfId="12437"/>
    <cellStyle name="Normal 63 8 4" xfId="6778"/>
    <cellStyle name="Normal 63 9" xfId="3369"/>
    <cellStyle name="Normal 63 9 2" xfId="16855"/>
    <cellStyle name="Normal 63 9 3" xfId="13276"/>
    <cellStyle name="Normal 63 9 4" xfId="8019"/>
    <cellStyle name="Normal 63_Degree data" xfId="1788"/>
    <cellStyle name="Normal 64" xfId="137"/>
    <cellStyle name="Normal 64 2" xfId="208"/>
    <cellStyle name="Normal 64 2 2" xfId="819"/>
    <cellStyle name="Normal 64 3" xfId="463"/>
    <cellStyle name="Normal 64_Degree data" xfId="1793"/>
    <cellStyle name="Normal 65" xfId="138"/>
    <cellStyle name="Normal 65 2" xfId="210"/>
    <cellStyle name="Normal 65 2 2" xfId="820"/>
    <cellStyle name="Normal 65 3" xfId="464"/>
    <cellStyle name="Normal 65_Degree data" xfId="1794"/>
    <cellStyle name="Normal 66" xfId="139"/>
    <cellStyle name="Normal 66 2" xfId="209"/>
    <cellStyle name="Normal 66 2 2" xfId="821"/>
    <cellStyle name="Normal 66 3" xfId="465"/>
    <cellStyle name="Normal 66_Degree data" xfId="1795"/>
    <cellStyle name="Normal 67" xfId="170"/>
    <cellStyle name="Normal 67 2" xfId="822"/>
    <cellStyle name="Normal 67 3" xfId="3334"/>
    <cellStyle name="Normal 67 4" xfId="498"/>
    <cellStyle name="Normal 67_Degree data" xfId="1796"/>
    <cellStyle name="Normal 68" xfId="169"/>
    <cellStyle name="Normal 68 2" xfId="823"/>
    <cellStyle name="Normal 68 3" xfId="3311"/>
    <cellStyle name="Normal 68 4" xfId="499"/>
    <cellStyle name="Normal 68_Degree data" xfId="1797"/>
    <cellStyle name="Normal 69" xfId="175"/>
    <cellStyle name="Normal 69 2" xfId="824"/>
    <cellStyle name="Normal 69 3" xfId="3276"/>
    <cellStyle name="Normal 69 4" xfId="500"/>
    <cellStyle name="Normal 69_Degree data" xfId="1798"/>
    <cellStyle name="Normal 7" xfId="14"/>
    <cellStyle name="Normal 7 10" xfId="825"/>
    <cellStyle name="Normal 7 10 2" xfId="2545"/>
    <cellStyle name="Normal 7 10 2 2" xfId="16433"/>
    <cellStyle name="Normal 7 10 2 3" xfId="12855"/>
    <cellStyle name="Normal 7 10 2 4" xfId="7565"/>
    <cellStyle name="Normal 7 10 3" xfId="3813"/>
    <cellStyle name="Normal 7 10 3 2" xfId="17458"/>
    <cellStyle name="Normal 7 10 3 3" xfId="13879"/>
    <cellStyle name="Normal 7 10 3 4" xfId="8622"/>
    <cellStyle name="Normal 7 10 4" xfId="6681"/>
    <cellStyle name="Normal 7 10 4 2" xfId="15765"/>
    <cellStyle name="Normal 7 10 5" xfId="10076"/>
    <cellStyle name="Normal 7 10 5 2" xfId="18903"/>
    <cellStyle name="Normal 7 10 6" xfId="11522"/>
    <cellStyle name="Normal 7 10 7" xfId="5159"/>
    <cellStyle name="Normal 7 11" xfId="1173"/>
    <cellStyle name="Normal 7 11 2" xfId="2893"/>
    <cellStyle name="Normal 7 11 2 2" xfId="16485"/>
    <cellStyle name="Normal 7 11 2 3" xfId="12907"/>
    <cellStyle name="Normal 7 11 2 4" xfId="7617"/>
    <cellStyle name="Normal 7 11 3" xfId="4161"/>
    <cellStyle name="Normal 7 11 3 2" xfId="17806"/>
    <cellStyle name="Normal 7 11 3 3" xfId="14227"/>
    <cellStyle name="Normal 7 11 3 4" xfId="8970"/>
    <cellStyle name="Normal 7 11 4" xfId="5875"/>
    <cellStyle name="Normal 7 11 4 2" xfId="14961"/>
    <cellStyle name="Normal 7 11 5" xfId="10424"/>
    <cellStyle name="Normal 7 11 5 2" xfId="19251"/>
    <cellStyle name="Normal 7 11 6" xfId="11870"/>
    <cellStyle name="Normal 7 11 7" xfId="5211"/>
    <cellStyle name="Normal 7 12" xfId="1284"/>
    <cellStyle name="Normal 7 12 2" xfId="2936"/>
    <cellStyle name="Normal 7 12 2 2" xfId="17849"/>
    <cellStyle name="Normal 7 12 2 3" xfId="14270"/>
    <cellStyle name="Normal 7 12 2 4" xfId="9013"/>
    <cellStyle name="Normal 7 12 3" xfId="10467"/>
    <cellStyle name="Normal 7 12 3 2" xfId="19294"/>
    <cellStyle name="Normal 7 12 4" xfId="11913"/>
    <cellStyle name="Normal 7 12 5" xfId="6761"/>
    <cellStyle name="Normal 7 13" xfId="1893"/>
    <cellStyle name="Normal 7 13 2" xfId="9424"/>
    <cellStyle name="Normal 7 13 2 2" xfId="18251"/>
    <cellStyle name="Normal 7 13 3" xfId="10868"/>
    <cellStyle name="Normal 7 13 4" xfId="7968"/>
    <cellStyle name="Normal 7 14" xfId="1850"/>
    <cellStyle name="Normal 7 14 2" xfId="14649"/>
    <cellStyle name="Normal 7 14 3" xfId="5563"/>
    <cellStyle name="Normal 7 15" xfId="9384"/>
    <cellStyle name="Normal 7 15 2" xfId="18211"/>
    <cellStyle name="Normal 7 16" xfId="10823"/>
    <cellStyle name="Normal 7 17" xfId="4356"/>
    <cellStyle name="Normal 7 2" xfId="131"/>
    <cellStyle name="Normal 7 2 10" xfId="1905"/>
    <cellStyle name="Normal 7 2 10 2" xfId="9436"/>
    <cellStyle name="Normal 7 2 10 2 2" xfId="18263"/>
    <cellStyle name="Normal 7 2 10 3" xfId="10880"/>
    <cellStyle name="Normal 7 2 10 4" xfId="7980"/>
    <cellStyle name="Normal 7 2 11" xfId="1875"/>
    <cellStyle name="Normal 7 2 11 2" xfId="14674"/>
    <cellStyle name="Normal 7 2 11 3" xfId="5588"/>
    <cellStyle name="Normal 7 2 12" xfId="9406"/>
    <cellStyle name="Normal 7 2 12 2" xfId="18233"/>
    <cellStyle name="Normal 7 2 13" xfId="10850"/>
    <cellStyle name="Normal 7 2 14" xfId="4369"/>
    <cellStyle name="Normal 7 2 2" xfId="231"/>
    <cellStyle name="Normal 7 2 2 10" xfId="9538"/>
    <cellStyle name="Normal 7 2 2 10 2" xfId="18365"/>
    <cellStyle name="Normal 7 2 2 11" xfId="10982"/>
    <cellStyle name="Normal 7 2 2 12" xfId="4399"/>
    <cellStyle name="Normal 7 2 2 2" xfId="444"/>
    <cellStyle name="Normal 7 2 2 2 10" xfId="4503"/>
    <cellStyle name="Normal 7 2 2 2 2" xfId="828"/>
    <cellStyle name="Normal 7 2 2 2 2 2" xfId="2548"/>
    <cellStyle name="Normal 7 2 2 2 2 2 2" xfId="16099"/>
    <cellStyle name="Normal 7 2 2 2 2 2 3" xfId="12521"/>
    <cellStyle name="Normal 7 2 2 2 2 2 4" xfId="7226"/>
    <cellStyle name="Normal 7 2 2 2 2 3" xfId="3816"/>
    <cellStyle name="Normal 7 2 2 2 2 3 2" xfId="17461"/>
    <cellStyle name="Normal 7 2 2 2 2 3 3" xfId="13882"/>
    <cellStyle name="Normal 7 2 2 2 2 3 4" xfId="8625"/>
    <cellStyle name="Normal 7 2 2 2 2 4" xfId="6342"/>
    <cellStyle name="Normal 7 2 2 2 2 4 2" xfId="15426"/>
    <cellStyle name="Normal 7 2 2 2 2 5" xfId="10079"/>
    <cellStyle name="Normal 7 2 2 2 2 5 2" xfId="18906"/>
    <cellStyle name="Normal 7 2 2 2 2 6" xfId="11525"/>
    <cellStyle name="Normal 7 2 2 2 2 7" xfId="4820"/>
    <cellStyle name="Normal 7 2 2 2 3" xfId="1176"/>
    <cellStyle name="Normal 7 2 2 2 3 2" xfId="2896"/>
    <cellStyle name="Normal 7 2 2 2 3 2 2" xfId="16436"/>
    <cellStyle name="Normal 7 2 2 2 3 2 3" xfId="12858"/>
    <cellStyle name="Normal 7 2 2 2 3 2 4" xfId="7568"/>
    <cellStyle name="Normal 7 2 2 2 3 3" xfId="4164"/>
    <cellStyle name="Normal 7 2 2 2 3 3 2" xfId="17809"/>
    <cellStyle name="Normal 7 2 2 2 3 3 3" xfId="14230"/>
    <cellStyle name="Normal 7 2 2 2 3 3 4" xfId="8973"/>
    <cellStyle name="Normal 7 2 2 2 3 4" xfId="6684"/>
    <cellStyle name="Normal 7 2 2 2 3 4 2" xfId="15768"/>
    <cellStyle name="Normal 7 2 2 2 3 5" xfId="10427"/>
    <cellStyle name="Normal 7 2 2 2 3 5 2" xfId="19254"/>
    <cellStyle name="Normal 7 2 2 2 3 6" xfId="11873"/>
    <cellStyle name="Normal 7 2 2 2 3 7" xfId="5162"/>
    <cellStyle name="Normal 7 2 2 2 4" xfId="1658"/>
    <cellStyle name="Normal 7 2 2 2 4 2" xfId="3254"/>
    <cellStyle name="Normal 7 2 2 2 4 2 2" xfId="16803"/>
    <cellStyle name="Normal 7 2 2 2 4 2 3" xfId="13224"/>
    <cellStyle name="Normal 7 2 2 2 4 2 4" xfId="7935"/>
    <cellStyle name="Normal 7 2 2 2 4 3" xfId="4321"/>
    <cellStyle name="Normal 7 2 2 2 4 3 2" xfId="18167"/>
    <cellStyle name="Normal 7 2 2 2 4 3 3" xfId="14588"/>
    <cellStyle name="Normal 7 2 2 2 4 3 4" xfId="9331"/>
    <cellStyle name="Normal 7 2 2 2 4 4" xfId="6023"/>
    <cellStyle name="Normal 7 2 2 2 4 4 2" xfId="15109"/>
    <cellStyle name="Normal 7 2 2 2 4 5" xfId="10785"/>
    <cellStyle name="Normal 7 2 2 2 4 5 2" xfId="19612"/>
    <cellStyle name="Normal 7 2 2 2 4 6" xfId="12231"/>
    <cellStyle name="Normal 7 2 2 2 4 7" xfId="5529"/>
    <cellStyle name="Normal 7 2 2 2 5" xfId="2211"/>
    <cellStyle name="Normal 7 2 2 2 5 2" xfId="15952"/>
    <cellStyle name="Normal 7 2 2 2 5 3" xfId="12514"/>
    <cellStyle name="Normal 7 2 2 2 5 4" xfId="6909"/>
    <cellStyle name="Normal 7 2 2 2 6" xfId="3483"/>
    <cellStyle name="Normal 7 2 2 2 6 2" xfId="17124"/>
    <cellStyle name="Normal 7 2 2 2 6 3" xfId="13545"/>
    <cellStyle name="Normal 7 2 2 2 6 4" xfId="8288"/>
    <cellStyle name="Normal 7 2 2 2 7" xfId="5849"/>
    <cellStyle name="Normal 7 2 2 2 7 2" xfId="14935"/>
    <cellStyle name="Normal 7 2 2 2 8" xfId="9742"/>
    <cellStyle name="Normal 7 2 2 2 8 2" xfId="18569"/>
    <cellStyle name="Normal 7 2 2 2 9" xfId="11186"/>
    <cellStyle name="Normal 7 2 2 2_Degree data" xfId="1802"/>
    <cellStyle name="Normal 7 2 2 3" xfId="339"/>
    <cellStyle name="Normal 7 2 2 3 2" xfId="829"/>
    <cellStyle name="Normal 7 2 2 3 2 2" xfId="2549"/>
    <cellStyle name="Normal 7 2 2 3 2 2 2" xfId="16437"/>
    <cellStyle name="Normal 7 2 2 3 2 2 3" xfId="12859"/>
    <cellStyle name="Normal 7 2 2 3 2 2 4" xfId="7569"/>
    <cellStyle name="Normal 7 2 2 3 2 3" xfId="3817"/>
    <cellStyle name="Normal 7 2 2 3 2 3 2" xfId="17462"/>
    <cellStyle name="Normal 7 2 2 3 2 3 3" xfId="13883"/>
    <cellStyle name="Normal 7 2 2 3 2 3 4" xfId="8626"/>
    <cellStyle name="Normal 7 2 2 3 2 4" xfId="6685"/>
    <cellStyle name="Normal 7 2 2 3 2 4 2" xfId="15769"/>
    <cellStyle name="Normal 7 2 2 3 2 5" xfId="10080"/>
    <cellStyle name="Normal 7 2 2 3 2 5 2" xfId="18907"/>
    <cellStyle name="Normal 7 2 2 3 2 6" xfId="11526"/>
    <cellStyle name="Normal 7 2 2 3 2 7" xfId="5163"/>
    <cellStyle name="Normal 7 2 2 3 3" xfId="1177"/>
    <cellStyle name="Normal 7 2 2 3 3 2" xfId="2897"/>
    <cellStyle name="Normal 7 2 2 3 3 2 2" xfId="16699"/>
    <cellStyle name="Normal 7 2 2 3 3 2 3" xfId="13120"/>
    <cellStyle name="Normal 7 2 2 3 3 2 4" xfId="7831"/>
    <cellStyle name="Normal 7 2 2 3 3 3" xfId="4165"/>
    <cellStyle name="Normal 7 2 2 3 3 3 2" xfId="17810"/>
    <cellStyle name="Normal 7 2 2 3 3 3 3" xfId="14231"/>
    <cellStyle name="Normal 7 2 2 3 3 3 4" xfId="8974"/>
    <cellStyle name="Normal 7 2 2 3 3 4" xfId="6238"/>
    <cellStyle name="Normal 7 2 2 3 3 4 2" xfId="15322"/>
    <cellStyle name="Normal 7 2 2 3 3 5" xfId="10428"/>
    <cellStyle name="Normal 7 2 2 3 3 5 2" xfId="19255"/>
    <cellStyle name="Normal 7 2 2 3 3 6" xfId="11874"/>
    <cellStyle name="Normal 7 2 2 3 3 7" xfId="5425"/>
    <cellStyle name="Normal 7 2 2 3 4" xfId="1551"/>
    <cellStyle name="Normal 7 2 2 3 4 2" xfId="3150"/>
    <cellStyle name="Normal 7 2 2 3 4 2 2" xfId="18063"/>
    <cellStyle name="Normal 7 2 2 3 4 2 3" xfId="14484"/>
    <cellStyle name="Normal 7 2 2 3 4 2 4" xfId="9227"/>
    <cellStyle name="Normal 7 2 2 3 4 3" xfId="10681"/>
    <cellStyle name="Normal 7 2 2 3 4 3 2" xfId="19508"/>
    <cellStyle name="Normal 7 2 2 3 4 4" xfId="12127"/>
    <cellStyle name="Normal 7 2 2 3 4 5" xfId="7122"/>
    <cellStyle name="Normal 7 2 2 3 5" xfId="2107"/>
    <cellStyle name="Normal 7 2 2 3 5 2" xfId="17020"/>
    <cellStyle name="Normal 7 2 2 3 5 3" xfId="13441"/>
    <cellStyle name="Normal 7 2 2 3 5 4" xfId="8184"/>
    <cellStyle name="Normal 7 2 2 3 6" xfId="5745"/>
    <cellStyle name="Normal 7 2 2 3 6 2" xfId="14831"/>
    <cellStyle name="Normal 7 2 2 3 7" xfId="9638"/>
    <cellStyle name="Normal 7 2 2 3 7 2" xfId="18465"/>
    <cellStyle name="Normal 7 2 2 3 8" xfId="11082"/>
    <cellStyle name="Normal 7 2 2 3 9" xfId="4716"/>
    <cellStyle name="Normal 7 2 2 3_Degree data" xfId="1803"/>
    <cellStyle name="Normal 7 2 2 4" xfId="827"/>
    <cellStyle name="Normal 7 2 2 4 2" xfId="2547"/>
    <cellStyle name="Normal 7 2 2 4 2 2" xfId="16036"/>
    <cellStyle name="Normal 7 2 2 4 2 3" xfId="12473"/>
    <cellStyle name="Normal 7 2 2 4 2 4" xfId="7022"/>
    <cellStyle name="Normal 7 2 2 4 3" xfId="3815"/>
    <cellStyle name="Normal 7 2 2 4 3 2" xfId="17460"/>
    <cellStyle name="Normal 7 2 2 4 3 3" xfId="13881"/>
    <cellStyle name="Normal 7 2 2 4 3 4" xfId="8624"/>
    <cellStyle name="Normal 7 2 2 4 4" xfId="6138"/>
    <cellStyle name="Normal 7 2 2 4 4 2" xfId="15222"/>
    <cellStyle name="Normal 7 2 2 4 5" xfId="10078"/>
    <cellStyle name="Normal 7 2 2 4 5 2" xfId="18905"/>
    <cellStyle name="Normal 7 2 2 4 6" xfId="11524"/>
    <cellStyle name="Normal 7 2 2 4 7" xfId="4616"/>
    <cellStyle name="Normal 7 2 2 5" xfId="1175"/>
    <cellStyle name="Normal 7 2 2 5 2" xfId="2895"/>
    <cellStyle name="Normal 7 2 2 5 2 2" xfId="16435"/>
    <cellStyle name="Normal 7 2 2 5 2 3" xfId="12857"/>
    <cellStyle name="Normal 7 2 2 5 2 4" xfId="7567"/>
    <cellStyle name="Normal 7 2 2 5 3" xfId="4163"/>
    <cellStyle name="Normal 7 2 2 5 3 2" xfId="17808"/>
    <cellStyle name="Normal 7 2 2 5 3 3" xfId="14229"/>
    <cellStyle name="Normal 7 2 2 5 3 4" xfId="8972"/>
    <cellStyle name="Normal 7 2 2 5 4" xfId="6683"/>
    <cellStyle name="Normal 7 2 2 5 4 2" xfId="15767"/>
    <cellStyle name="Normal 7 2 2 5 5" xfId="10426"/>
    <cellStyle name="Normal 7 2 2 5 5 2" xfId="19253"/>
    <cellStyle name="Normal 7 2 2 5 6" xfId="11872"/>
    <cellStyle name="Normal 7 2 2 5 7" xfId="5161"/>
    <cellStyle name="Normal 7 2 2 6" xfId="1449"/>
    <cellStyle name="Normal 7 2 2 6 2" xfId="3050"/>
    <cellStyle name="Normal 7 2 2 6 2 2" xfId="16599"/>
    <cellStyle name="Normal 7 2 2 6 2 3" xfId="13020"/>
    <cellStyle name="Normal 7 2 2 6 2 4" xfId="7731"/>
    <cellStyle name="Normal 7 2 2 6 3" xfId="4258"/>
    <cellStyle name="Normal 7 2 2 6 3 2" xfId="17963"/>
    <cellStyle name="Normal 7 2 2 6 3 3" xfId="14384"/>
    <cellStyle name="Normal 7 2 2 6 3 4" xfId="9127"/>
    <cellStyle name="Normal 7 2 2 6 4" xfId="5919"/>
    <cellStyle name="Normal 7 2 2 6 4 2" xfId="15005"/>
    <cellStyle name="Normal 7 2 2 6 5" xfId="10581"/>
    <cellStyle name="Normal 7 2 2 6 5 2" xfId="19408"/>
    <cellStyle name="Normal 7 2 2 6 6" xfId="12027"/>
    <cellStyle name="Normal 7 2 2 6 7" xfId="5325"/>
    <cellStyle name="Normal 7 2 2 7" xfId="2007"/>
    <cellStyle name="Normal 7 2 2 7 2" xfId="15851"/>
    <cellStyle name="Normal 7 2 2 7 3" xfId="12444"/>
    <cellStyle name="Normal 7 2 2 7 4" xfId="6805"/>
    <cellStyle name="Normal 7 2 2 8" xfId="3420"/>
    <cellStyle name="Normal 7 2 2 8 2" xfId="16920"/>
    <cellStyle name="Normal 7 2 2 8 3" xfId="13341"/>
    <cellStyle name="Normal 7 2 2 8 4" xfId="8084"/>
    <cellStyle name="Normal 7 2 2 9" xfId="5645"/>
    <cellStyle name="Normal 7 2 2 9 2" xfId="14731"/>
    <cellStyle name="Normal 7 2 2_Degree data" xfId="1801"/>
    <cellStyle name="Normal 7 2 3" xfId="274"/>
    <cellStyle name="Normal 7 2 3 10" xfId="11025"/>
    <cellStyle name="Normal 7 2 3 11" xfId="4442"/>
    <cellStyle name="Normal 7 2 3 2" xfId="382"/>
    <cellStyle name="Normal 7 2 3 2 2" xfId="831"/>
    <cellStyle name="Normal 7 2 3 2 2 2" xfId="2551"/>
    <cellStyle name="Normal 7 2 3 2 2 2 2" xfId="16439"/>
    <cellStyle name="Normal 7 2 3 2 2 2 3" xfId="12861"/>
    <cellStyle name="Normal 7 2 3 2 2 2 4" xfId="7571"/>
    <cellStyle name="Normal 7 2 3 2 2 3" xfId="3819"/>
    <cellStyle name="Normal 7 2 3 2 2 3 2" xfId="17464"/>
    <cellStyle name="Normal 7 2 3 2 2 3 3" xfId="13885"/>
    <cellStyle name="Normal 7 2 3 2 2 3 4" xfId="8628"/>
    <cellStyle name="Normal 7 2 3 2 2 4" xfId="6687"/>
    <cellStyle name="Normal 7 2 3 2 2 4 2" xfId="15771"/>
    <cellStyle name="Normal 7 2 3 2 2 5" xfId="10082"/>
    <cellStyle name="Normal 7 2 3 2 2 5 2" xfId="18909"/>
    <cellStyle name="Normal 7 2 3 2 2 6" xfId="11528"/>
    <cellStyle name="Normal 7 2 3 2 2 7" xfId="5165"/>
    <cellStyle name="Normal 7 2 3 2 3" xfId="1179"/>
    <cellStyle name="Normal 7 2 3 2 3 2" xfId="2899"/>
    <cellStyle name="Normal 7 2 3 2 3 2 2" xfId="16742"/>
    <cellStyle name="Normal 7 2 3 2 3 2 3" xfId="13163"/>
    <cellStyle name="Normal 7 2 3 2 3 2 4" xfId="7874"/>
    <cellStyle name="Normal 7 2 3 2 3 3" xfId="4167"/>
    <cellStyle name="Normal 7 2 3 2 3 3 2" xfId="17812"/>
    <cellStyle name="Normal 7 2 3 2 3 3 3" xfId="14233"/>
    <cellStyle name="Normal 7 2 3 2 3 3 4" xfId="8976"/>
    <cellStyle name="Normal 7 2 3 2 3 4" xfId="6281"/>
    <cellStyle name="Normal 7 2 3 2 3 4 2" xfId="15365"/>
    <cellStyle name="Normal 7 2 3 2 3 5" xfId="10430"/>
    <cellStyle name="Normal 7 2 3 2 3 5 2" xfId="19257"/>
    <cellStyle name="Normal 7 2 3 2 3 6" xfId="11876"/>
    <cellStyle name="Normal 7 2 3 2 3 7" xfId="5468"/>
    <cellStyle name="Normal 7 2 3 2 4" xfId="1596"/>
    <cellStyle name="Normal 7 2 3 2 4 2" xfId="3193"/>
    <cellStyle name="Normal 7 2 3 2 4 2 2" xfId="18106"/>
    <cellStyle name="Normal 7 2 3 2 4 2 3" xfId="14527"/>
    <cellStyle name="Normal 7 2 3 2 4 2 4" xfId="9270"/>
    <cellStyle name="Normal 7 2 3 2 4 3" xfId="10724"/>
    <cellStyle name="Normal 7 2 3 2 4 3 2" xfId="19551"/>
    <cellStyle name="Normal 7 2 3 2 4 4" xfId="12170"/>
    <cellStyle name="Normal 7 2 3 2 4 5" xfId="7165"/>
    <cellStyle name="Normal 7 2 3 2 5" xfId="2150"/>
    <cellStyle name="Normal 7 2 3 2 5 2" xfId="17063"/>
    <cellStyle name="Normal 7 2 3 2 5 3" xfId="13484"/>
    <cellStyle name="Normal 7 2 3 2 5 4" xfId="8227"/>
    <cellStyle name="Normal 7 2 3 2 6" xfId="5788"/>
    <cellStyle name="Normal 7 2 3 2 6 2" xfId="14874"/>
    <cellStyle name="Normal 7 2 3 2 7" xfId="9681"/>
    <cellStyle name="Normal 7 2 3 2 7 2" xfId="18508"/>
    <cellStyle name="Normal 7 2 3 2 8" xfId="11125"/>
    <cellStyle name="Normal 7 2 3 2 9" xfId="4759"/>
    <cellStyle name="Normal 7 2 3 2_Degree data" xfId="1805"/>
    <cellStyle name="Normal 7 2 3 3" xfId="830"/>
    <cellStyle name="Normal 7 2 3 3 2" xfId="2550"/>
    <cellStyle name="Normal 7 2 3 3 2 2" xfId="16079"/>
    <cellStyle name="Normal 7 2 3 3 2 3" xfId="12456"/>
    <cellStyle name="Normal 7 2 3 3 2 4" xfId="7065"/>
    <cellStyle name="Normal 7 2 3 3 3" xfId="3818"/>
    <cellStyle name="Normal 7 2 3 3 3 2" xfId="17463"/>
    <cellStyle name="Normal 7 2 3 3 3 3" xfId="13884"/>
    <cellStyle name="Normal 7 2 3 3 3 4" xfId="8627"/>
    <cellStyle name="Normal 7 2 3 3 4" xfId="6181"/>
    <cellStyle name="Normal 7 2 3 3 4 2" xfId="15265"/>
    <cellStyle name="Normal 7 2 3 3 5" xfId="10081"/>
    <cellStyle name="Normal 7 2 3 3 5 2" xfId="18908"/>
    <cellStyle name="Normal 7 2 3 3 6" xfId="11527"/>
    <cellStyle name="Normal 7 2 3 3 7" xfId="4659"/>
    <cellStyle name="Normal 7 2 3 4" xfId="1178"/>
    <cellStyle name="Normal 7 2 3 4 2" xfId="2898"/>
    <cellStyle name="Normal 7 2 3 4 2 2" xfId="16438"/>
    <cellStyle name="Normal 7 2 3 4 2 3" xfId="12860"/>
    <cellStyle name="Normal 7 2 3 4 2 4" xfId="7570"/>
    <cellStyle name="Normal 7 2 3 4 3" xfId="4166"/>
    <cellStyle name="Normal 7 2 3 4 3 2" xfId="17811"/>
    <cellStyle name="Normal 7 2 3 4 3 3" xfId="14232"/>
    <cellStyle name="Normal 7 2 3 4 3 4" xfId="8975"/>
    <cellStyle name="Normal 7 2 3 4 4" xfId="6686"/>
    <cellStyle name="Normal 7 2 3 4 4 2" xfId="15770"/>
    <cellStyle name="Normal 7 2 3 4 5" xfId="10429"/>
    <cellStyle name="Normal 7 2 3 4 5 2" xfId="19256"/>
    <cellStyle name="Normal 7 2 3 4 6" xfId="11875"/>
    <cellStyle name="Normal 7 2 3 4 7" xfId="5164"/>
    <cellStyle name="Normal 7 2 3 5" xfId="1494"/>
    <cellStyle name="Normal 7 2 3 5 2" xfId="3093"/>
    <cellStyle name="Normal 7 2 3 5 2 2" xfId="16642"/>
    <cellStyle name="Normal 7 2 3 5 2 3" xfId="13063"/>
    <cellStyle name="Normal 7 2 3 5 2 4" xfId="7774"/>
    <cellStyle name="Normal 7 2 3 5 3" xfId="4301"/>
    <cellStyle name="Normal 7 2 3 5 3 2" xfId="18006"/>
    <cellStyle name="Normal 7 2 3 5 3 3" xfId="14427"/>
    <cellStyle name="Normal 7 2 3 5 3 4" xfId="9170"/>
    <cellStyle name="Normal 7 2 3 5 4" xfId="5962"/>
    <cellStyle name="Normal 7 2 3 5 4 2" xfId="15048"/>
    <cellStyle name="Normal 7 2 3 5 5" xfId="10624"/>
    <cellStyle name="Normal 7 2 3 5 5 2" xfId="19451"/>
    <cellStyle name="Normal 7 2 3 5 6" xfId="12070"/>
    <cellStyle name="Normal 7 2 3 5 7" xfId="5368"/>
    <cellStyle name="Normal 7 2 3 6" xfId="2050"/>
    <cellStyle name="Normal 7 2 3 6 2" xfId="15891"/>
    <cellStyle name="Normal 7 2 3 6 3" xfId="12368"/>
    <cellStyle name="Normal 7 2 3 6 4" xfId="6848"/>
    <cellStyle name="Normal 7 2 3 7" xfId="3463"/>
    <cellStyle name="Normal 7 2 3 7 2" xfId="16963"/>
    <cellStyle name="Normal 7 2 3 7 3" xfId="13384"/>
    <cellStyle name="Normal 7 2 3 7 4" xfId="8127"/>
    <cellStyle name="Normal 7 2 3 8" xfId="5688"/>
    <cellStyle name="Normal 7 2 3 8 2" xfId="14774"/>
    <cellStyle name="Normal 7 2 3 9" xfId="9581"/>
    <cellStyle name="Normal 7 2 3 9 2" xfId="18408"/>
    <cellStyle name="Normal 7 2 3_Degree data" xfId="1804"/>
    <cellStyle name="Normal 7 2 4" xfId="198"/>
    <cellStyle name="Normal 7 2 4 10" xfId="10952"/>
    <cellStyle name="Normal 7 2 4 11" xfId="4474"/>
    <cellStyle name="Normal 7 2 4 2" xfId="415"/>
    <cellStyle name="Normal 7 2 4 2 2" xfId="833"/>
    <cellStyle name="Normal 7 2 4 2 2 2" xfId="2553"/>
    <cellStyle name="Normal 7 2 4 2 2 2 2" xfId="16441"/>
    <cellStyle name="Normal 7 2 4 2 2 2 3" xfId="12863"/>
    <cellStyle name="Normal 7 2 4 2 2 2 4" xfId="7573"/>
    <cellStyle name="Normal 7 2 4 2 2 3" xfId="3821"/>
    <cellStyle name="Normal 7 2 4 2 2 3 2" xfId="17466"/>
    <cellStyle name="Normal 7 2 4 2 2 3 3" xfId="13887"/>
    <cellStyle name="Normal 7 2 4 2 2 3 4" xfId="8630"/>
    <cellStyle name="Normal 7 2 4 2 2 4" xfId="6689"/>
    <cellStyle name="Normal 7 2 4 2 2 4 2" xfId="15773"/>
    <cellStyle name="Normal 7 2 4 2 2 5" xfId="10084"/>
    <cellStyle name="Normal 7 2 4 2 2 5 2" xfId="18911"/>
    <cellStyle name="Normal 7 2 4 2 2 6" xfId="11530"/>
    <cellStyle name="Normal 7 2 4 2 2 7" xfId="5167"/>
    <cellStyle name="Normal 7 2 4 2 3" xfId="1181"/>
    <cellStyle name="Normal 7 2 4 2 3 2" xfId="2901"/>
    <cellStyle name="Normal 7 2 4 2 3 2 2" xfId="16774"/>
    <cellStyle name="Normal 7 2 4 2 3 2 3" xfId="13195"/>
    <cellStyle name="Normal 7 2 4 2 3 2 4" xfId="7906"/>
    <cellStyle name="Normal 7 2 4 2 3 3" xfId="4169"/>
    <cellStyle name="Normal 7 2 4 2 3 3 2" xfId="17814"/>
    <cellStyle name="Normal 7 2 4 2 3 3 3" xfId="14235"/>
    <cellStyle name="Normal 7 2 4 2 3 3 4" xfId="8978"/>
    <cellStyle name="Normal 7 2 4 2 3 4" xfId="6313"/>
    <cellStyle name="Normal 7 2 4 2 3 4 2" xfId="15397"/>
    <cellStyle name="Normal 7 2 4 2 3 5" xfId="10432"/>
    <cellStyle name="Normal 7 2 4 2 3 5 2" xfId="19259"/>
    <cellStyle name="Normal 7 2 4 2 3 6" xfId="11878"/>
    <cellStyle name="Normal 7 2 4 2 3 7" xfId="5500"/>
    <cellStyle name="Normal 7 2 4 2 4" xfId="1629"/>
    <cellStyle name="Normal 7 2 4 2 4 2" xfId="3225"/>
    <cellStyle name="Normal 7 2 4 2 4 2 2" xfId="18138"/>
    <cellStyle name="Normal 7 2 4 2 4 2 3" xfId="14559"/>
    <cellStyle name="Normal 7 2 4 2 4 2 4" xfId="9302"/>
    <cellStyle name="Normal 7 2 4 2 4 3" xfId="10756"/>
    <cellStyle name="Normal 7 2 4 2 4 3 2" xfId="19583"/>
    <cellStyle name="Normal 7 2 4 2 4 4" xfId="12202"/>
    <cellStyle name="Normal 7 2 4 2 4 5" xfId="7197"/>
    <cellStyle name="Normal 7 2 4 2 5" xfId="2182"/>
    <cellStyle name="Normal 7 2 4 2 5 2" xfId="17095"/>
    <cellStyle name="Normal 7 2 4 2 5 3" xfId="13516"/>
    <cellStyle name="Normal 7 2 4 2 5 4" xfId="8259"/>
    <cellStyle name="Normal 7 2 4 2 6" xfId="5820"/>
    <cellStyle name="Normal 7 2 4 2 6 2" xfId="14906"/>
    <cellStyle name="Normal 7 2 4 2 7" xfId="9713"/>
    <cellStyle name="Normal 7 2 4 2 7 2" xfId="18540"/>
    <cellStyle name="Normal 7 2 4 2 8" xfId="11157"/>
    <cellStyle name="Normal 7 2 4 2 9" xfId="4791"/>
    <cellStyle name="Normal 7 2 4 2_Degree data" xfId="1807"/>
    <cellStyle name="Normal 7 2 4 3" xfId="832"/>
    <cellStyle name="Normal 7 2 4 3 2" xfId="2552"/>
    <cellStyle name="Normal 7 2 4 3 2 2" xfId="16006"/>
    <cellStyle name="Normal 7 2 4 3 2 3" xfId="12276"/>
    <cellStyle name="Normal 7 2 4 3 2 4" xfId="6992"/>
    <cellStyle name="Normal 7 2 4 3 3" xfId="3820"/>
    <cellStyle name="Normal 7 2 4 3 3 2" xfId="17465"/>
    <cellStyle name="Normal 7 2 4 3 3 3" xfId="13886"/>
    <cellStyle name="Normal 7 2 4 3 3 4" xfId="8629"/>
    <cellStyle name="Normal 7 2 4 3 4" xfId="6108"/>
    <cellStyle name="Normal 7 2 4 3 4 2" xfId="15192"/>
    <cellStyle name="Normal 7 2 4 3 5" xfId="10083"/>
    <cellStyle name="Normal 7 2 4 3 5 2" xfId="18910"/>
    <cellStyle name="Normal 7 2 4 3 6" xfId="11529"/>
    <cellStyle name="Normal 7 2 4 3 7" xfId="4586"/>
    <cellStyle name="Normal 7 2 4 4" xfId="1180"/>
    <cellStyle name="Normal 7 2 4 4 2" xfId="2900"/>
    <cellStyle name="Normal 7 2 4 4 2 2" xfId="16440"/>
    <cellStyle name="Normal 7 2 4 4 2 3" xfId="12862"/>
    <cellStyle name="Normal 7 2 4 4 2 4" xfId="7572"/>
    <cellStyle name="Normal 7 2 4 4 3" xfId="4168"/>
    <cellStyle name="Normal 7 2 4 4 3 2" xfId="17813"/>
    <cellStyle name="Normal 7 2 4 4 3 3" xfId="14234"/>
    <cellStyle name="Normal 7 2 4 4 3 4" xfId="8977"/>
    <cellStyle name="Normal 7 2 4 4 4" xfId="6688"/>
    <cellStyle name="Normal 7 2 4 4 4 2" xfId="15772"/>
    <cellStyle name="Normal 7 2 4 4 5" xfId="10431"/>
    <cellStyle name="Normal 7 2 4 4 5 2" xfId="19258"/>
    <cellStyle name="Normal 7 2 4 4 6" xfId="11877"/>
    <cellStyle name="Normal 7 2 4 4 7" xfId="5166"/>
    <cellStyle name="Normal 7 2 4 5" xfId="1415"/>
    <cellStyle name="Normal 7 2 4 5 2" xfId="3020"/>
    <cellStyle name="Normal 7 2 4 5 2 2" xfId="16569"/>
    <cellStyle name="Normal 7 2 4 5 2 3" xfId="12990"/>
    <cellStyle name="Normal 7 2 4 5 2 4" xfId="7701"/>
    <cellStyle name="Normal 7 2 4 5 3" xfId="4228"/>
    <cellStyle name="Normal 7 2 4 5 3 2" xfId="17933"/>
    <cellStyle name="Normal 7 2 4 5 3 3" xfId="14354"/>
    <cellStyle name="Normal 7 2 4 5 3 4" xfId="9097"/>
    <cellStyle name="Normal 7 2 4 5 4" xfId="5994"/>
    <cellStyle name="Normal 7 2 4 5 4 2" xfId="15080"/>
    <cellStyle name="Normal 7 2 4 5 5" xfId="10551"/>
    <cellStyle name="Normal 7 2 4 5 5 2" xfId="19378"/>
    <cellStyle name="Normal 7 2 4 5 6" xfId="11997"/>
    <cellStyle name="Normal 7 2 4 5 7" xfId="5295"/>
    <cellStyle name="Normal 7 2 4 6" xfId="1977"/>
    <cellStyle name="Normal 7 2 4 6 2" xfId="15923"/>
    <cellStyle name="Normal 7 2 4 6 3" xfId="12361"/>
    <cellStyle name="Normal 7 2 4 6 4" xfId="6880"/>
    <cellStyle name="Normal 7 2 4 7" xfId="3391"/>
    <cellStyle name="Normal 7 2 4 7 2" xfId="16890"/>
    <cellStyle name="Normal 7 2 4 7 3" xfId="13311"/>
    <cellStyle name="Normal 7 2 4 7 4" xfId="8054"/>
    <cellStyle name="Normal 7 2 4 8" xfId="5615"/>
    <cellStyle name="Normal 7 2 4 8 2" xfId="14701"/>
    <cellStyle name="Normal 7 2 4 9" xfId="9508"/>
    <cellStyle name="Normal 7 2 4 9 2" xfId="18335"/>
    <cellStyle name="Normal 7 2 4_Degree data" xfId="1806"/>
    <cellStyle name="Normal 7 2 5" xfId="309"/>
    <cellStyle name="Normal 7 2 5 2" xfId="834"/>
    <cellStyle name="Normal 7 2 5 2 2" xfId="2554"/>
    <cellStyle name="Normal 7 2 5 2 2 2" xfId="16442"/>
    <cellStyle name="Normal 7 2 5 2 2 3" xfId="12864"/>
    <cellStyle name="Normal 7 2 5 2 2 4" xfId="7574"/>
    <cellStyle name="Normal 7 2 5 2 3" xfId="3822"/>
    <cellStyle name="Normal 7 2 5 2 3 2" xfId="17467"/>
    <cellStyle name="Normal 7 2 5 2 3 3" xfId="13888"/>
    <cellStyle name="Normal 7 2 5 2 3 4" xfId="8631"/>
    <cellStyle name="Normal 7 2 5 2 4" xfId="6690"/>
    <cellStyle name="Normal 7 2 5 2 4 2" xfId="15774"/>
    <cellStyle name="Normal 7 2 5 2 5" xfId="10085"/>
    <cellStyle name="Normal 7 2 5 2 5 2" xfId="18912"/>
    <cellStyle name="Normal 7 2 5 2 6" xfId="11531"/>
    <cellStyle name="Normal 7 2 5 2 7" xfId="5168"/>
    <cellStyle name="Normal 7 2 5 3" xfId="1182"/>
    <cellStyle name="Normal 7 2 5 3 2" xfId="2902"/>
    <cellStyle name="Normal 7 2 5 3 2 2" xfId="16669"/>
    <cellStyle name="Normal 7 2 5 3 2 3" xfId="13090"/>
    <cellStyle name="Normal 7 2 5 3 2 4" xfId="7801"/>
    <cellStyle name="Normal 7 2 5 3 3" xfId="4170"/>
    <cellStyle name="Normal 7 2 5 3 3 2" xfId="17815"/>
    <cellStyle name="Normal 7 2 5 3 3 3" xfId="14236"/>
    <cellStyle name="Normal 7 2 5 3 3 4" xfId="8979"/>
    <cellStyle name="Normal 7 2 5 3 4" xfId="6208"/>
    <cellStyle name="Normal 7 2 5 3 4 2" xfId="15292"/>
    <cellStyle name="Normal 7 2 5 3 5" xfId="10433"/>
    <cellStyle name="Normal 7 2 5 3 5 2" xfId="19260"/>
    <cellStyle name="Normal 7 2 5 3 6" xfId="11879"/>
    <cellStyle name="Normal 7 2 5 3 7" xfId="5395"/>
    <cellStyle name="Normal 7 2 5 4" xfId="1521"/>
    <cellStyle name="Normal 7 2 5 4 2" xfId="3120"/>
    <cellStyle name="Normal 7 2 5 4 2 2" xfId="18033"/>
    <cellStyle name="Normal 7 2 5 4 2 3" xfId="14454"/>
    <cellStyle name="Normal 7 2 5 4 2 4" xfId="9197"/>
    <cellStyle name="Normal 7 2 5 4 3" xfId="10651"/>
    <cellStyle name="Normal 7 2 5 4 3 2" xfId="19478"/>
    <cellStyle name="Normal 7 2 5 4 4" xfId="12097"/>
    <cellStyle name="Normal 7 2 5 4 5" xfId="7092"/>
    <cellStyle name="Normal 7 2 5 5" xfId="2077"/>
    <cellStyle name="Normal 7 2 5 5 2" xfId="16990"/>
    <cellStyle name="Normal 7 2 5 5 3" xfId="13411"/>
    <cellStyle name="Normal 7 2 5 5 4" xfId="8154"/>
    <cellStyle name="Normal 7 2 5 6" xfId="5715"/>
    <cellStyle name="Normal 7 2 5 6 2" xfId="14801"/>
    <cellStyle name="Normal 7 2 5 7" xfId="9608"/>
    <cellStyle name="Normal 7 2 5 7 2" xfId="18435"/>
    <cellStyle name="Normal 7 2 5 8" xfId="11052"/>
    <cellStyle name="Normal 7 2 5 9" xfId="4686"/>
    <cellStyle name="Normal 7 2 5_Degree data" xfId="1808"/>
    <cellStyle name="Normal 7 2 6" xfId="489"/>
    <cellStyle name="Normal 7 2 6 2" xfId="835"/>
    <cellStyle name="Normal 7 2 6 2 2" xfId="2555"/>
    <cellStyle name="Normal 7 2 6 2 2 2" xfId="16443"/>
    <cellStyle name="Normal 7 2 6 2 2 3" xfId="12865"/>
    <cellStyle name="Normal 7 2 6 2 2 4" xfId="7575"/>
    <cellStyle name="Normal 7 2 6 2 3" xfId="3823"/>
    <cellStyle name="Normal 7 2 6 2 3 2" xfId="17468"/>
    <cellStyle name="Normal 7 2 6 2 3 3" xfId="13889"/>
    <cellStyle name="Normal 7 2 6 2 3 4" xfId="8632"/>
    <cellStyle name="Normal 7 2 6 2 4" xfId="6691"/>
    <cellStyle name="Normal 7 2 6 2 4 2" xfId="15775"/>
    <cellStyle name="Normal 7 2 6 2 5" xfId="10086"/>
    <cellStyle name="Normal 7 2 6 2 5 2" xfId="18913"/>
    <cellStyle name="Normal 7 2 6 2 6" xfId="11532"/>
    <cellStyle name="Normal 7 2 6 2 7" xfId="5169"/>
    <cellStyle name="Normal 7 2 6 3" xfId="1183"/>
    <cellStyle name="Normal 7 2 6 3 2" xfId="2903"/>
    <cellStyle name="Normal 7 2 6 3 2 2" xfId="16542"/>
    <cellStyle name="Normal 7 2 6 3 2 3" xfId="12963"/>
    <cellStyle name="Normal 7 2 6 3 2 4" xfId="7674"/>
    <cellStyle name="Normal 7 2 6 3 3" xfId="4171"/>
    <cellStyle name="Normal 7 2 6 3 3 2" xfId="17816"/>
    <cellStyle name="Normal 7 2 6 3 3 3" xfId="14237"/>
    <cellStyle name="Normal 7 2 6 3 3 4" xfId="8980"/>
    <cellStyle name="Normal 7 2 6 3 4" xfId="6754"/>
    <cellStyle name="Normal 7 2 6 3 4 2" xfId="15837"/>
    <cellStyle name="Normal 7 2 6 3 5" xfId="10434"/>
    <cellStyle name="Normal 7 2 6 3 5 2" xfId="19261"/>
    <cellStyle name="Normal 7 2 6 3 6" xfId="11880"/>
    <cellStyle name="Normal 7 2 6 3 7" xfId="5268"/>
    <cellStyle name="Normal 7 2 6 4" xfId="1384"/>
    <cellStyle name="Normal 7 2 6 4 2" xfId="2993"/>
    <cellStyle name="Normal 7 2 6 4 2 2" xfId="17906"/>
    <cellStyle name="Normal 7 2 6 4 2 3" xfId="14327"/>
    <cellStyle name="Normal 7 2 6 4 2 4" xfId="9070"/>
    <cellStyle name="Normal 7 2 6 4 3" xfId="10524"/>
    <cellStyle name="Normal 7 2 6 4 3 2" xfId="19351"/>
    <cellStyle name="Normal 7 2 6 4 4" xfId="11970"/>
    <cellStyle name="Normal 7 2 6 4 5" xfId="6965"/>
    <cellStyle name="Normal 7 2 6 5" xfId="1950"/>
    <cellStyle name="Normal 7 2 6 5 2" xfId="16861"/>
    <cellStyle name="Normal 7 2 6 5 3" xfId="13282"/>
    <cellStyle name="Normal 7 2 6 5 4" xfId="8025"/>
    <cellStyle name="Normal 7 2 6 6" xfId="6081"/>
    <cellStyle name="Normal 7 2 6 6 2" xfId="15165"/>
    <cellStyle name="Normal 7 2 6 7" xfId="9481"/>
    <cellStyle name="Normal 7 2 6 7 2" xfId="18308"/>
    <cellStyle name="Normal 7 2 6 8" xfId="10925"/>
    <cellStyle name="Normal 7 2 6 9" xfId="4559"/>
    <cellStyle name="Normal 7 2 6_Degree data" xfId="1809"/>
    <cellStyle name="Normal 7 2 7" xfId="826"/>
    <cellStyle name="Normal 7 2 7 2" xfId="2546"/>
    <cellStyle name="Normal 7 2 7 2 2" xfId="16434"/>
    <cellStyle name="Normal 7 2 7 2 3" xfId="12856"/>
    <cellStyle name="Normal 7 2 7 2 4" xfId="7566"/>
    <cellStyle name="Normal 7 2 7 3" xfId="3814"/>
    <cellStyle name="Normal 7 2 7 3 2" xfId="17459"/>
    <cellStyle name="Normal 7 2 7 3 3" xfId="13880"/>
    <cellStyle name="Normal 7 2 7 3 4" xfId="8623"/>
    <cellStyle name="Normal 7 2 7 4" xfId="6682"/>
    <cellStyle name="Normal 7 2 7 4 2" xfId="15766"/>
    <cellStyle name="Normal 7 2 7 5" xfId="10077"/>
    <cellStyle name="Normal 7 2 7 5 2" xfId="18904"/>
    <cellStyle name="Normal 7 2 7 6" xfId="11523"/>
    <cellStyle name="Normal 7 2 7 7" xfId="5160"/>
    <cellStyle name="Normal 7 2 8" xfId="1174"/>
    <cellStyle name="Normal 7 2 8 2" xfId="2894"/>
    <cellStyle name="Normal 7 2 8 2 2" xfId="16497"/>
    <cellStyle name="Normal 7 2 8 2 3" xfId="12919"/>
    <cellStyle name="Normal 7 2 8 2 4" xfId="7629"/>
    <cellStyle name="Normal 7 2 8 3" xfId="4162"/>
    <cellStyle name="Normal 7 2 8 3 2" xfId="17807"/>
    <cellStyle name="Normal 7 2 8 3 3" xfId="14228"/>
    <cellStyle name="Normal 7 2 8 3 4" xfId="8971"/>
    <cellStyle name="Normal 7 2 8 4" xfId="5888"/>
    <cellStyle name="Normal 7 2 8 4 2" xfId="14974"/>
    <cellStyle name="Normal 7 2 8 5" xfId="10425"/>
    <cellStyle name="Normal 7 2 8 5 2" xfId="19252"/>
    <cellStyle name="Normal 7 2 8 6" xfId="11871"/>
    <cellStyle name="Normal 7 2 8 7" xfId="5223"/>
    <cellStyle name="Normal 7 2 9" xfId="1333"/>
    <cellStyle name="Normal 7 2 9 2" xfId="2948"/>
    <cellStyle name="Normal 7 2 9 2 2" xfId="17861"/>
    <cellStyle name="Normal 7 2 9 2 3" xfId="14282"/>
    <cellStyle name="Normal 7 2 9 2 4" xfId="9025"/>
    <cellStyle name="Normal 7 2 9 3" xfId="10479"/>
    <cellStyle name="Normal 7 2 9 3 2" xfId="19306"/>
    <cellStyle name="Normal 7 2 9 4" xfId="11925"/>
    <cellStyle name="Normal 7 2 9 5" xfId="6774"/>
    <cellStyle name="Normal 7 2_Degree data" xfId="1800"/>
    <cellStyle name="Normal 7 3" xfId="164"/>
    <cellStyle name="Normal 7 3 10" xfId="1913"/>
    <cellStyle name="Normal 7 3 10 2" xfId="9444"/>
    <cellStyle name="Normal 7 3 10 2 2" xfId="18271"/>
    <cellStyle name="Normal 7 3 10 3" xfId="10888"/>
    <cellStyle name="Normal 7 3 10 4" xfId="7988"/>
    <cellStyle name="Normal 7 3 11" xfId="1883"/>
    <cellStyle name="Normal 7 3 11 2" xfId="14682"/>
    <cellStyle name="Normal 7 3 11 3" xfId="5596"/>
    <cellStyle name="Normal 7 3 12" xfId="9414"/>
    <cellStyle name="Normal 7 3 12 2" xfId="18241"/>
    <cellStyle name="Normal 7 3 13" xfId="10858"/>
    <cellStyle name="Normal 7 3 14" xfId="4378"/>
    <cellStyle name="Normal 7 3 2" xfId="239"/>
    <cellStyle name="Normal 7 3 2 10" xfId="9546"/>
    <cellStyle name="Normal 7 3 2 10 2" xfId="18373"/>
    <cellStyle name="Normal 7 3 2 11" xfId="10990"/>
    <cellStyle name="Normal 7 3 2 12" xfId="4407"/>
    <cellStyle name="Normal 7 3 2 2" xfId="452"/>
    <cellStyle name="Normal 7 3 2 2 10" xfId="4511"/>
    <cellStyle name="Normal 7 3 2 2 2" xfId="838"/>
    <cellStyle name="Normal 7 3 2 2 2 2" xfId="2558"/>
    <cellStyle name="Normal 7 3 2 2 2 2 2" xfId="16103"/>
    <cellStyle name="Normal 7 3 2 2 2 2 3" xfId="12525"/>
    <cellStyle name="Normal 7 3 2 2 2 2 4" xfId="7234"/>
    <cellStyle name="Normal 7 3 2 2 2 3" xfId="3826"/>
    <cellStyle name="Normal 7 3 2 2 2 3 2" xfId="17471"/>
    <cellStyle name="Normal 7 3 2 2 2 3 3" xfId="13892"/>
    <cellStyle name="Normal 7 3 2 2 2 3 4" xfId="8635"/>
    <cellStyle name="Normal 7 3 2 2 2 4" xfId="6350"/>
    <cellStyle name="Normal 7 3 2 2 2 4 2" xfId="15434"/>
    <cellStyle name="Normal 7 3 2 2 2 5" xfId="10089"/>
    <cellStyle name="Normal 7 3 2 2 2 5 2" xfId="18916"/>
    <cellStyle name="Normal 7 3 2 2 2 6" xfId="11535"/>
    <cellStyle name="Normal 7 3 2 2 2 7" xfId="4828"/>
    <cellStyle name="Normal 7 3 2 2 3" xfId="1186"/>
    <cellStyle name="Normal 7 3 2 2 3 2" xfId="2906"/>
    <cellStyle name="Normal 7 3 2 2 3 2 2" xfId="16446"/>
    <cellStyle name="Normal 7 3 2 2 3 2 3" xfId="12868"/>
    <cellStyle name="Normal 7 3 2 2 3 2 4" xfId="7578"/>
    <cellStyle name="Normal 7 3 2 2 3 3" xfId="4174"/>
    <cellStyle name="Normal 7 3 2 2 3 3 2" xfId="17819"/>
    <cellStyle name="Normal 7 3 2 2 3 3 3" xfId="14240"/>
    <cellStyle name="Normal 7 3 2 2 3 3 4" xfId="8983"/>
    <cellStyle name="Normal 7 3 2 2 3 4" xfId="6694"/>
    <cellStyle name="Normal 7 3 2 2 3 4 2" xfId="15778"/>
    <cellStyle name="Normal 7 3 2 2 3 5" xfId="10437"/>
    <cellStyle name="Normal 7 3 2 2 3 5 2" xfId="19264"/>
    <cellStyle name="Normal 7 3 2 2 3 6" xfId="11883"/>
    <cellStyle name="Normal 7 3 2 2 3 7" xfId="5172"/>
    <cellStyle name="Normal 7 3 2 2 4" xfId="1666"/>
    <cellStyle name="Normal 7 3 2 2 4 2" xfId="3262"/>
    <cellStyle name="Normal 7 3 2 2 4 2 2" xfId="16811"/>
    <cellStyle name="Normal 7 3 2 2 4 2 3" xfId="13232"/>
    <cellStyle name="Normal 7 3 2 2 4 2 4" xfId="7943"/>
    <cellStyle name="Normal 7 3 2 2 4 3" xfId="4325"/>
    <cellStyle name="Normal 7 3 2 2 4 3 2" xfId="18175"/>
    <cellStyle name="Normal 7 3 2 2 4 3 3" xfId="14596"/>
    <cellStyle name="Normal 7 3 2 2 4 3 4" xfId="9339"/>
    <cellStyle name="Normal 7 3 2 2 4 4" xfId="6031"/>
    <cellStyle name="Normal 7 3 2 2 4 4 2" xfId="15117"/>
    <cellStyle name="Normal 7 3 2 2 4 5" xfId="10793"/>
    <cellStyle name="Normal 7 3 2 2 4 5 2" xfId="19620"/>
    <cellStyle name="Normal 7 3 2 2 4 6" xfId="12239"/>
    <cellStyle name="Normal 7 3 2 2 4 7" xfId="5537"/>
    <cellStyle name="Normal 7 3 2 2 5" xfId="2219"/>
    <cellStyle name="Normal 7 3 2 2 5 2" xfId="15960"/>
    <cellStyle name="Normal 7 3 2 2 5 3" xfId="12412"/>
    <cellStyle name="Normal 7 3 2 2 5 4" xfId="6917"/>
    <cellStyle name="Normal 7 3 2 2 6" xfId="3487"/>
    <cellStyle name="Normal 7 3 2 2 6 2" xfId="17132"/>
    <cellStyle name="Normal 7 3 2 2 6 3" xfId="13553"/>
    <cellStyle name="Normal 7 3 2 2 6 4" xfId="8296"/>
    <cellStyle name="Normal 7 3 2 2 7" xfId="5857"/>
    <cellStyle name="Normal 7 3 2 2 7 2" xfId="14943"/>
    <cellStyle name="Normal 7 3 2 2 8" xfId="9750"/>
    <cellStyle name="Normal 7 3 2 2 8 2" xfId="18577"/>
    <cellStyle name="Normal 7 3 2 2 9" xfId="11194"/>
    <cellStyle name="Normal 7 3 2 2_Degree data" xfId="1812"/>
    <cellStyle name="Normal 7 3 2 3" xfId="347"/>
    <cellStyle name="Normal 7 3 2 3 2" xfId="839"/>
    <cellStyle name="Normal 7 3 2 3 2 2" xfId="2559"/>
    <cellStyle name="Normal 7 3 2 3 2 2 2" xfId="16447"/>
    <cellStyle name="Normal 7 3 2 3 2 2 3" xfId="12869"/>
    <cellStyle name="Normal 7 3 2 3 2 2 4" xfId="7579"/>
    <cellStyle name="Normal 7 3 2 3 2 3" xfId="3827"/>
    <cellStyle name="Normal 7 3 2 3 2 3 2" xfId="17472"/>
    <cellStyle name="Normal 7 3 2 3 2 3 3" xfId="13893"/>
    <cellStyle name="Normal 7 3 2 3 2 3 4" xfId="8636"/>
    <cellStyle name="Normal 7 3 2 3 2 4" xfId="6695"/>
    <cellStyle name="Normal 7 3 2 3 2 4 2" xfId="15779"/>
    <cellStyle name="Normal 7 3 2 3 2 5" xfId="10090"/>
    <cellStyle name="Normal 7 3 2 3 2 5 2" xfId="18917"/>
    <cellStyle name="Normal 7 3 2 3 2 6" xfId="11536"/>
    <cellStyle name="Normal 7 3 2 3 2 7" xfId="5173"/>
    <cellStyle name="Normal 7 3 2 3 3" xfId="1187"/>
    <cellStyle name="Normal 7 3 2 3 3 2" xfId="2907"/>
    <cellStyle name="Normal 7 3 2 3 3 2 2" xfId="16707"/>
    <cellStyle name="Normal 7 3 2 3 3 2 3" xfId="13128"/>
    <cellStyle name="Normal 7 3 2 3 3 2 4" xfId="7839"/>
    <cellStyle name="Normal 7 3 2 3 3 3" xfId="4175"/>
    <cellStyle name="Normal 7 3 2 3 3 3 2" xfId="17820"/>
    <cellStyle name="Normal 7 3 2 3 3 3 3" xfId="14241"/>
    <cellStyle name="Normal 7 3 2 3 3 3 4" xfId="8984"/>
    <cellStyle name="Normal 7 3 2 3 3 4" xfId="6246"/>
    <cellStyle name="Normal 7 3 2 3 3 4 2" xfId="15330"/>
    <cellStyle name="Normal 7 3 2 3 3 5" xfId="10438"/>
    <cellStyle name="Normal 7 3 2 3 3 5 2" xfId="19265"/>
    <cellStyle name="Normal 7 3 2 3 3 6" xfId="11884"/>
    <cellStyle name="Normal 7 3 2 3 3 7" xfId="5433"/>
    <cellStyle name="Normal 7 3 2 3 4" xfId="1559"/>
    <cellStyle name="Normal 7 3 2 3 4 2" xfId="3158"/>
    <cellStyle name="Normal 7 3 2 3 4 2 2" xfId="18071"/>
    <cellStyle name="Normal 7 3 2 3 4 2 3" xfId="14492"/>
    <cellStyle name="Normal 7 3 2 3 4 2 4" xfId="9235"/>
    <cellStyle name="Normal 7 3 2 3 4 3" xfId="10689"/>
    <cellStyle name="Normal 7 3 2 3 4 3 2" xfId="19516"/>
    <cellStyle name="Normal 7 3 2 3 4 4" xfId="12135"/>
    <cellStyle name="Normal 7 3 2 3 4 5" xfId="7130"/>
    <cellStyle name="Normal 7 3 2 3 5" xfId="2115"/>
    <cellStyle name="Normal 7 3 2 3 5 2" xfId="17028"/>
    <cellStyle name="Normal 7 3 2 3 5 3" xfId="13449"/>
    <cellStyle name="Normal 7 3 2 3 5 4" xfId="8192"/>
    <cellStyle name="Normal 7 3 2 3 6" xfId="5753"/>
    <cellStyle name="Normal 7 3 2 3 6 2" xfId="14839"/>
    <cellStyle name="Normal 7 3 2 3 7" xfId="9646"/>
    <cellStyle name="Normal 7 3 2 3 7 2" xfId="18473"/>
    <cellStyle name="Normal 7 3 2 3 8" xfId="11090"/>
    <cellStyle name="Normal 7 3 2 3 9" xfId="4724"/>
    <cellStyle name="Normal 7 3 2 3_Degree data" xfId="1813"/>
    <cellStyle name="Normal 7 3 2 4" xfId="837"/>
    <cellStyle name="Normal 7 3 2 4 2" xfId="2557"/>
    <cellStyle name="Normal 7 3 2 4 2 2" xfId="16044"/>
    <cellStyle name="Normal 7 3 2 4 2 3" xfId="12393"/>
    <cellStyle name="Normal 7 3 2 4 2 4" xfId="7030"/>
    <cellStyle name="Normal 7 3 2 4 3" xfId="3825"/>
    <cellStyle name="Normal 7 3 2 4 3 2" xfId="17470"/>
    <cellStyle name="Normal 7 3 2 4 3 3" xfId="13891"/>
    <cellStyle name="Normal 7 3 2 4 3 4" xfId="8634"/>
    <cellStyle name="Normal 7 3 2 4 4" xfId="6146"/>
    <cellStyle name="Normal 7 3 2 4 4 2" xfId="15230"/>
    <cellStyle name="Normal 7 3 2 4 5" xfId="10088"/>
    <cellStyle name="Normal 7 3 2 4 5 2" xfId="18915"/>
    <cellStyle name="Normal 7 3 2 4 6" xfId="11534"/>
    <cellStyle name="Normal 7 3 2 4 7" xfId="4624"/>
    <cellStyle name="Normal 7 3 2 5" xfId="1185"/>
    <cellStyle name="Normal 7 3 2 5 2" xfId="2905"/>
    <cellStyle name="Normal 7 3 2 5 2 2" xfId="16445"/>
    <cellStyle name="Normal 7 3 2 5 2 3" xfId="12867"/>
    <cellStyle name="Normal 7 3 2 5 2 4" xfId="7577"/>
    <cellStyle name="Normal 7 3 2 5 3" xfId="4173"/>
    <cellStyle name="Normal 7 3 2 5 3 2" xfId="17818"/>
    <cellStyle name="Normal 7 3 2 5 3 3" xfId="14239"/>
    <cellStyle name="Normal 7 3 2 5 3 4" xfId="8982"/>
    <cellStyle name="Normal 7 3 2 5 4" xfId="6693"/>
    <cellStyle name="Normal 7 3 2 5 4 2" xfId="15777"/>
    <cellStyle name="Normal 7 3 2 5 5" xfId="10436"/>
    <cellStyle name="Normal 7 3 2 5 5 2" xfId="19263"/>
    <cellStyle name="Normal 7 3 2 5 6" xfId="11882"/>
    <cellStyle name="Normal 7 3 2 5 7" xfId="5171"/>
    <cellStyle name="Normal 7 3 2 6" xfId="1457"/>
    <cellStyle name="Normal 7 3 2 6 2" xfId="3058"/>
    <cellStyle name="Normal 7 3 2 6 2 2" xfId="16607"/>
    <cellStyle name="Normal 7 3 2 6 2 3" xfId="13028"/>
    <cellStyle name="Normal 7 3 2 6 2 4" xfId="7739"/>
    <cellStyle name="Normal 7 3 2 6 3" xfId="4266"/>
    <cellStyle name="Normal 7 3 2 6 3 2" xfId="17971"/>
    <cellStyle name="Normal 7 3 2 6 3 3" xfId="14392"/>
    <cellStyle name="Normal 7 3 2 6 3 4" xfId="9135"/>
    <cellStyle name="Normal 7 3 2 6 4" xfId="5927"/>
    <cellStyle name="Normal 7 3 2 6 4 2" xfId="15013"/>
    <cellStyle name="Normal 7 3 2 6 5" xfId="10589"/>
    <cellStyle name="Normal 7 3 2 6 5 2" xfId="19416"/>
    <cellStyle name="Normal 7 3 2 6 6" xfId="12035"/>
    <cellStyle name="Normal 7 3 2 6 7" xfId="5333"/>
    <cellStyle name="Normal 7 3 2 7" xfId="2015"/>
    <cellStyle name="Normal 7 3 2 7 2" xfId="15856"/>
    <cellStyle name="Normal 7 3 2 7 3" xfId="12433"/>
    <cellStyle name="Normal 7 3 2 7 4" xfId="6813"/>
    <cellStyle name="Normal 7 3 2 8" xfId="3428"/>
    <cellStyle name="Normal 7 3 2 8 2" xfId="16928"/>
    <cellStyle name="Normal 7 3 2 8 3" xfId="13349"/>
    <cellStyle name="Normal 7 3 2 8 4" xfId="8092"/>
    <cellStyle name="Normal 7 3 2 9" xfId="5653"/>
    <cellStyle name="Normal 7 3 2 9 2" xfId="14739"/>
    <cellStyle name="Normal 7 3 2_Degree data" xfId="1811"/>
    <cellStyle name="Normal 7 3 3" xfId="282"/>
    <cellStyle name="Normal 7 3 3 10" xfId="11033"/>
    <cellStyle name="Normal 7 3 3 11" xfId="4450"/>
    <cellStyle name="Normal 7 3 3 2" xfId="390"/>
    <cellStyle name="Normal 7 3 3 2 2" xfId="841"/>
    <cellStyle name="Normal 7 3 3 2 2 2" xfId="2561"/>
    <cellStyle name="Normal 7 3 3 2 2 2 2" xfId="16449"/>
    <cellStyle name="Normal 7 3 3 2 2 2 3" xfId="12871"/>
    <cellStyle name="Normal 7 3 3 2 2 2 4" xfId="7581"/>
    <cellStyle name="Normal 7 3 3 2 2 3" xfId="3829"/>
    <cellStyle name="Normal 7 3 3 2 2 3 2" xfId="17474"/>
    <cellStyle name="Normal 7 3 3 2 2 3 3" xfId="13895"/>
    <cellStyle name="Normal 7 3 3 2 2 3 4" xfId="8638"/>
    <cellStyle name="Normal 7 3 3 2 2 4" xfId="6697"/>
    <cellStyle name="Normal 7 3 3 2 2 4 2" xfId="15781"/>
    <cellStyle name="Normal 7 3 3 2 2 5" xfId="10092"/>
    <cellStyle name="Normal 7 3 3 2 2 5 2" xfId="18919"/>
    <cellStyle name="Normal 7 3 3 2 2 6" xfId="11538"/>
    <cellStyle name="Normal 7 3 3 2 2 7" xfId="5175"/>
    <cellStyle name="Normal 7 3 3 2 3" xfId="1189"/>
    <cellStyle name="Normal 7 3 3 2 3 2" xfId="2909"/>
    <cellStyle name="Normal 7 3 3 2 3 2 2" xfId="16750"/>
    <cellStyle name="Normal 7 3 3 2 3 2 3" xfId="13171"/>
    <cellStyle name="Normal 7 3 3 2 3 2 4" xfId="7882"/>
    <cellStyle name="Normal 7 3 3 2 3 3" xfId="4177"/>
    <cellStyle name="Normal 7 3 3 2 3 3 2" xfId="17822"/>
    <cellStyle name="Normal 7 3 3 2 3 3 3" xfId="14243"/>
    <cellStyle name="Normal 7 3 3 2 3 3 4" xfId="8986"/>
    <cellStyle name="Normal 7 3 3 2 3 4" xfId="6289"/>
    <cellStyle name="Normal 7 3 3 2 3 4 2" xfId="15373"/>
    <cellStyle name="Normal 7 3 3 2 3 5" xfId="10440"/>
    <cellStyle name="Normal 7 3 3 2 3 5 2" xfId="19267"/>
    <cellStyle name="Normal 7 3 3 2 3 6" xfId="11886"/>
    <cellStyle name="Normal 7 3 3 2 3 7" xfId="5476"/>
    <cellStyle name="Normal 7 3 3 2 4" xfId="1604"/>
    <cellStyle name="Normal 7 3 3 2 4 2" xfId="3201"/>
    <cellStyle name="Normal 7 3 3 2 4 2 2" xfId="18114"/>
    <cellStyle name="Normal 7 3 3 2 4 2 3" xfId="14535"/>
    <cellStyle name="Normal 7 3 3 2 4 2 4" xfId="9278"/>
    <cellStyle name="Normal 7 3 3 2 4 3" xfId="10732"/>
    <cellStyle name="Normal 7 3 3 2 4 3 2" xfId="19559"/>
    <cellStyle name="Normal 7 3 3 2 4 4" xfId="12178"/>
    <cellStyle name="Normal 7 3 3 2 4 5" xfId="7173"/>
    <cellStyle name="Normal 7 3 3 2 5" xfId="2158"/>
    <cellStyle name="Normal 7 3 3 2 5 2" xfId="17071"/>
    <cellStyle name="Normal 7 3 3 2 5 3" xfId="13492"/>
    <cellStyle name="Normal 7 3 3 2 5 4" xfId="8235"/>
    <cellStyle name="Normal 7 3 3 2 6" xfId="5796"/>
    <cellStyle name="Normal 7 3 3 2 6 2" xfId="14882"/>
    <cellStyle name="Normal 7 3 3 2 7" xfId="9689"/>
    <cellStyle name="Normal 7 3 3 2 7 2" xfId="18516"/>
    <cellStyle name="Normal 7 3 3 2 8" xfId="11133"/>
    <cellStyle name="Normal 7 3 3 2 9" xfId="4767"/>
    <cellStyle name="Normal 7 3 3 2_Degree data" xfId="1815"/>
    <cellStyle name="Normal 7 3 3 3" xfId="840"/>
    <cellStyle name="Normal 7 3 3 3 2" xfId="2560"/>
    <cellStyle name="Normal 7 3 3 3 2 2" xfId="16087"/>
    <cellStyle name="Normal 7 3 3 3 2 3" xfId="12382"/>
    <cellStyle name="Normal 7 3 3 3 2 4" xfId="7073"/>
    <cellStyle name="Normal 7 3 3 3 3" xfId="3828"/>
    <cellStyle name="Normal 7 3 3 3 3 2" xfId="17473"/>
    <cellStyle name="Normal 7 3 3 3 3 3" xfId="13894"/>
    <cellStyle name="Normal 7 3 3 3 3 4" xfId="8637"/>
    <cellStyle name="Normal 7 3 3 3 4" xfId="6189"/>
    <cellStyle name="Normal 7 3 3 3 4 2" xfId="15273"/>
    <cellStyle name="Normal 7 3 3 3 5" xfId="10091"/>
    <cellStyle name="Normal 7 3 3 3 5 2" xfId="18918"/>
    <cellStyle name="Normal 7 3 3 3 6" xfId="11537"/>
    <cellStyle name="Normal 7 3 3 3 7" xfId="4667"/>
    <cellStyle name="Normal 7 3 3 4" xfId="1188"/>
    <cellStyle name="Normal 7 3 3 4 2" xfId="2908"/>
    <cellStyle name="Normal 7 3 3 4 2 2" xfId="16448"/>
    <cellStyle name="Normal 7 3 3 4 2 3" xfId="12870"/>
    <cellStyle name="Normal 7 3 3 4 2 4" xfId="7580"/>
    <cellStyle name="Normal 7 3 3 4 3" xfId="4176"/>
    <cellStyle name="Normal 7 3 3 4 3 2" xfId="17821"/>
    <cellStyle name="Normal 7 3 3 4 3 3" xfId="14242"/>
    <cellStyle name="Normal 7 3 3 4 3 4" xfId="8985"/>
    <cellStyle name="Normal 7 3 3 4 4" xfId="6696"/>
    <cellStyle name="Normal 7 3 3 4 4 2" xfId="15780"/>
    <cellStyle name="Normal 7 3 3 4 5" xfId="10439"/>
    <cellStyle name="Normal 7 3 3 4 5 2" xfId="19266"/>
    <cellStyle name="Normal 7 3 3 4 6" xfId="11885"/>
    <cellStyle name="Normal 7 3 3 4 7" xfId="5174"/>
    <cellStyle name="Normal 7 3 3 5" xfId="1502"/>
    <cellStyle name="Normal 7 3 3 5 2" xfId="3101"/>
    <cellStyle name="Normal 7 3 3 5 2 2" xfId="16650"/>
    <cellStyle name="Normal 7 3 3 5 2 3" xfId="13071"/>
    <cellStyle name="Normal 7 3 3 5 2 4" xfId="7782"/>
    <cellStyle name="Normal 7 3 3 5 3" xfId="4309"/>
    <cellStyle name="Normal 7 3 3 5 3 2" xfId="18014"/>
    <cellStyle name="Normal 7 3 3 5 3 3" xfId="14435"/>
    <cellStyle name="Normal 7 3 3 5 3 4" xfId="9178"/>
    <cellStyle name="Normal 7 3 3 5 4" xfId="5970"/>
    <cellStyle name="Normal 7 3 3 5 4 2" xfId="15056"/>
    <cellStyle name="Normal 7 3 3 5 5" xfId="10632"/>
    <cellStyle name="Normal 7 3 3 5 5 2" xfId="19459"/>
    <cellStyle name="Normal 7 3 3 5 6" xfId="12078"/>
    <cellStyle name="Normal 7 3 3 5 7" xfId="5376"/>
    <cellStyle name="Normal 7 3 3 6" xfId="2058"/>
    <cellStyle name="Normal 7 3 3 6 2" xfId="15899"/>
    <cellStyle name="Normal 7 3 3 6 3" xfId="12450"/>
    <cellStyle name="Normal 7 3 3 6 4" xfId="6856"/>
    <cellStyle name="Normal 7 3 3 7" xfId="3471"/>
    <cellStyle name="Normal 7 3 3 7 2" xfId="16971"/>
    <cellStyle name="Normal 7 3 3 7 3" xfId="13392"/>
    <cellStyle name="Normal 7 3 3 7 4" xfId="8135"/>
    <cellStyle name="Normal 7 3 3 8" xfId="5696"/>
    <cellStyle name="Normal 7 3 3 8 2" xfId="14782"/>
    <cellStyle name="Normal 7 3 3 9" xfId="9589"/>
    <cellStyle name="Normal 7 3 3 9 2" xfId="18416"/>
    <cellStyle name="Normal 7 3 3_Degree data" xfId="1814"/>
    <cellStyle name="Normal 7 3 4" xfId="207"/>
    <cellStyle name="Normal 7 3 4 10" xfId="10961"/>
    <cellStyle name="Normal 7 3 4 11" xfId="4483"/>
    <cellStyle name="Normal 7 3 4 2" xfId="424"/>
    <cellStyle name="Normal 7 3 4 2 2" xfId="843"/>
    <cellStyle name="Normal 7 3 4 2 2 2" xfId="2563"/>
    <cellStyle name="Normal 7 3 4 2 2 2 2" xfId="16451"/>
    <cellStyle name="Normal 7 3 4 2 2 2 3" xfId="12873"/>
    <cellStyle name="Normal 7 3 4 2 2 2 4" xfId="7583"/>
    <cellStyle name="Normal 7 3 4 2 2 3" xfId="3831"/>
    <cellStyle name="Normal 7 3 4 2 2 3 2" xfId="17476"/>
    <cellStyle name="Normal 7 3 4 2 2 3 3" xfId="13897"/>
    <cellStyle name="Normal 7 3 4 2 2 3 4" xfId="8640"/>
    <cellStyle name="Normal 7 3 4 2 2 4" xfId="6699"/>
    <cellStyle name="Normal 7 3 4 2 2 4 2" xfId="15783"/>
    <cellStyle name="Normal 7 3 4 2 2 5" xfId="10094"/>
    <cellStyle name="Normal 7 3 4 2 2 5 2" xfId="18921"/>
    <cellStyle name="Normal 7 3 4 2 2 6" xfId="11540"/>
    <cellStyle name="Normal 7 3 4 2 2 7" xfId="5177"/>
    <cellStyle name="Normal 7 3 4 2 3" xfId="1191"/>
    <cellStyle name="Normal 7 3 4 2 3 2" xfId="2911"/>
    <cellStyle name="Normal 7 3 4 2 3 2 2" xfId="16783"/>
    <cellStyle name="Normal 7 3 4 2 3 2 3" xfId="13204"/>
    <cellStyle name="Normal 7 3 4 2 3 2 4" xfId="7915"/>
    <cellStyle name="Normal 7 3 4 2 3 3" xfId="4179"/>
    <cellStyle name="Normal 7 3 4 2 3 3 2" xfId="17824"/>
    <cellStyle name="Normal 7 3 4 2 3 3 3" xfId="14245"/>
    <cellStyle name="Normal 7 3 4 2 3 3 4" xfId="8988"/>
    <cellStyle name="Normal 7 3 4 2 3 4" xfId="6322"/>
    <cellStyle name="Normal 7 3 4 2 3 4 2" xfId="15406"/>
    <cellStyle name="Normal 7 3 4 2 3 5" xfId="10442"/>
    <cellStyle name="Normal 7 3 4 2 3 5 2" xfId="19269"/>
    <cellStyle name="Normal 7 3 4 2 3 6" xfId="11888"/>
    <cellStyle name="Normal 7 3 4 2 3 7" xfId="5509"/>
    <cellStyle name="Normal 7 3 4 2 4" xfId="1638"/>
    <cellStyle name="Normal 7 3 4 2 4 2" xfId="3234"/>
    <cellStyle name="Normal 7 3 4 2 4 2 2" xfId="18147"/>
    <cellStyle name="Normal 7 3 4 2 4 2 3" xfId="14568"/>
    <cellStyle name="Normal 7 3 4 2 4 2 4" xfId="9311"/>
    <cellStyle name="Normal 7 3 4 2 4 3" xfId="10765"/>
    <cellStyle name="Normal 7 3 4 2 4 3 2" xfId="19592"/>
    <cellStyle name="Normal 7 3 4 2 4 4" xfId="12211"/>
    <cellStyle name="Normal 7 3 4 2 4 5" xfId="7206"/>
    <cellStyle name="Normal 7 3 4 2 5" xfId="2191"/>
    <cellStyle name="Normal 7 3 4 2 5 2" xfId="17104"/>
    <cellStyle name="Normal 7 3 4 2 5 3" xfId="13525"/>
    <cellStyle name="Normal 7 3 4 2 5 4" xfId="8268"/>
    <cellStyle name="Normal 7 3 4 2 6" xfId="5829"/>
    <cellStyle name="Normal 7 3 4 2 6 2" xfId="14915"/>
    <cellStyle name="Normal 7 3 4 2 7" xfId="9722"/>
    <cellStyle name="Normal 7 3 4 2 7 2" xfId="18549"/>
    <cellStyle name="Normal 7 3 4 2 8" xfId="11166"/>
    <cellStyle name="Normal 7 3 4 2 9" xfId="4800"/>
    <cellStyle name="Normal 7 3 4 2_Degree data" xfId="1817"/>
    <cellStyle name="Normal 7 3 4 3" xfId="842"/>
    <cellStyle name="Normal 7 3 4 3 2" xfId="2562"/>
    <cellStyle name="Normal 7 3 4 3 2 2" xfId="16015"/>
    <cellStyle name="Normal 7 3 4 3 2 3" xfId="12264"/>
    <cellStyle name="Normal 7 3 4 3 2 4" xfId="7001"/>
    <cellStyle name="Normal 7 3 4 3 3" xfId="3830"/>
    <cellStyle name="Normal 7 3 4 3 3 2" xfId="17475"/>
    <cellStyle name="Normal 7 3 4 3 3 3" xfId="13896"/>
    <cellStyle name="Normal 7 3 4 3 3 4" xfId="8639"/>
    <cellStyle name="Normal 7 3 4 3 4" xfId="6117"/>
    <cellStyle name="Normal 7 3 4 3 4 2" xfId="15201"/>
    <cellStyle name="Normal 7 3 4 3 5" xfId="10093"/>
    <cellStyle name="Normal 7 3 4 3 5 2" xfId="18920"/>
    <cellStyle name="Normal 7 3 4 3 6" xfId="11539"/>
    <cellStyle name="Normal 7 3 4 3 7" xfId="4595"/>
    <cellStyle name="Normal 7 3 4 4" xfId="1190"/>
    <cellStyle name="Normal 7 3 4 4 2" xfId="2910"/>
    <cellStyle name="Normal 7 3 4 4 2 2" xfId="16450"/>
    <cellStyle name="Normal 7 3 4 4 2 3" xfId="12872"/>
    <cellStyle name="Normal 7 3 4 4 2 4" xfId="7582"/>
    <cellStyle name="Normal 7 3 4 4 3" xfId="4178"/>
    <cellStyle name="Normal 7 3 4 4 3 2" xfId="17823"/>
    <cellStyle name="Normal 7 3 4 4 3 3" xfId="14244"/>
    <cellStyle name="Normal 7 3 4 4 3 4" xfId="8987"/>
    <cellStyle name="Normal 7 3 4 4 4" xfId="6698"/>
    <cellStyle name="Normal 7 3 4 4 4 2" xfId="15782"/>
    <cellStyle name="Normal 7 3 4 4 5" xfId="10441"/>
    <cellStyle name="Normal 7 3 4 4 5 2" xfId="19268"/>
    <cellStyle name="Normal 7 3 4 4 6" xfId="11887"/>
    <cellStyle name="Normal 7 3 4 4 7" xfId="5176"/>
    <cellStyle name="Normal 7 3 4 5" xfId="1424"/>
    <cellStyle name="Normal 7 3 4 5 2" xfId="3029"/>
    <cellStyle name="Normal 7 3 4 5 2 2" xfId="16578"/>
    <cellStyle name="Normal 7 3 4 5 2 3" xfId="12999"/>
    <cellStyle name="Normal 7 3 4 5 2 4" xfId="7710"/>
    <cellStyle name="Normal 7 3 4 5 3" xfId="4237"/>
    <cellStyle name="Normal 7 3 4 5 3 2" xfId="17942"/>
    <cellStyle name="Normal 7 3 4 5 3 3" xfId="14363"/>
    <cellStyle name="Normal 7 3 4 5 3 4" xfId="9106"/>
    <cellStyle name="Normal 7 3 4 5 4" xfId="6003"/>
    <cellStyle name="Normal 7 3 4 5 4 2" xfId="15089"/>
    <cellStyle name="Normal 7 3 4 5 5" xfId="10560"/>
    <cellStyle name="Normal 7 3 4 5 5 2" xfId="19387"/>
    <cellStyle name="Normal 7 3 4 5 6" xfId="12006"/>
    <cellStyle name="Normal 7 3 4 5 7" xfId="5304"/>
    <cellStyle name="Normal 7 3 4 6" xfId="1986"/>
    <cellStyle name="Normal 7 3 4 6 2" xfId="15932"/>
    <cellStyle name="Normal 7 3 4 6 3" xfId="12291"/>
    <cellStyle name="Normal 7 3 4 6 4" xfId="6889"/>
    <cellStyle name="Normal 7 3 4 7" xfId="3400"/>
    <cellStyle name="Normal 7 3 4 7 2" xfId="16899"/>
    <cellStyle name="Normal 7 3 4 7 3" xfId="13320"/>
    <cellStyle name="Normal 7 3 4 7 4" xfId="8063"/>
    <cellStyle name="Normal 7 3 4 8" xfId="5624"/>
    <cellStyle name="Normal 7 3 4 8 2" xfId="14710"/>
    <cellStyle name="Normal 7 3 4 9" xfId="9517"/>
    <cellStyle name="Normal 7 3 4 9 2" xfId="18344"/>
    <cellStyle name="Normal 7 3 4_Degree data" xfId="1816"/>
    <cellStyle name="Normal 7 3 5" xfId="318"/>
    <cellStyle name="Normal 7 3 5 2" xfId="844"/>
    <cellStyle name="Normal 7 3 5 2 2" xfId="2564"/>
    <cellStyle name="Normal 7 3 5 2 2 2" xfId="16452"/>
    <cellStyle name="Normal 7 3 5 2 2 3" xfId="12874"/>
    <cellStyle name="Normal 7 3 5 2 2 4" xfId="7584"/>
    <cellStyle name="Normal 7 3 5 2 3" xfId="3832"/>
    <cellStyle name="Normal 7 3 5 2 3 2" xfId="17477"/>
    <cellStyle name="Normal 7 3 5 2 3 3" xfId="13898"/>
    <cellStyle name="Normal 7 3 5 2 3 4" xfId="8641"/>
    <cellStyle name="Normal 7 3 5 2 4" xfId="6700"/>
    <cellStyle name="Normal 7 3 5 2 4 2" xfId="15784"/>
    <cellStyle name="Normal 7 3 5 2 5" xfId="10095"/>
    <cellStyle name="Normal 7 3 5 2 5 2" xfId="18922"/>
    <cellStyle name="Normal 7 3 5 2 6" xfId="11541"/>
    <cellStyle name="Normal 7 3 5 2 7" xfId="5178"/>
    <cellStyle name="Normal 7 3 5 3" xfId="1192"/>
    <cellStyle name="Normal 7 3 5 3 2" xfId="2912"/>
    <cellStyle name="Normal 7 3 5 3 2 2" xfId="16678"/>
    <cellStyle name="Normal 7 3 5 3 2 3" xfId="13099"/>
    <cellStyle name="Normal 7 3 5 3 2 4" xfId="7810"/>
    <cellStyle name="Normal 7 3 5 3 3" xfId="4180"/>
    <cellStyle name="Normal 7 3 5 3 3 2" xfId="17825"/>
    <cellStyle name="Normal 7 3 5 3 3 3" xfId="14246"/>
    <cellStyle name="Normal 7 3 5 3 3 4" xfId="8989"/>
    <cellStyle name="Normal 7 3 5 3 4" xfId="6217"/>
    <cellStyle name="Normal 7 3 5 3 4 2" xfId="15301"/>
    <cellStyle name="Normal 7 3 5 3 5" xfId="10443"/>
    <cellStyle name="Normal 7 3 5 3 5 2" xfId="19270"/>
    <cellStyle name="Normal 7 3 5 3 6" xfId="11889"/>
    <cellStyle name="Normal 7 3 5 3 7" xfId="5404"/>
    <cellStyle name="Normal 7 3 5 4" xfId="1530"/>
    <cellStyle name="Normal 7 3 5 4 2" xfId="3129"/>
    <cellStyle name="Normal 7 3 5 4 2 2" xfId="18042"/>
    <cellStyle name="Normal 7 3 5 4 2 3" xfId="14463"/>
    <cellStyle name="Normal 7 3 5 4 2 4" xfId="9206"/>
    <cellStyle name="Normal 7 3 5 4 3" xfId="10660"/>
    <cellStyle name="Normal 7 3 5 4 3 2" xfId="19487"/>
    <cellStyle name="Normal 7 3 5 4 4" xfId="12106"/>
    <cellStyle name="Normal 7 3 5 4 5" xfId="7101"/>
    <cellStyle name="Normal 7 3 5 5" xfId="2086"/>
    <cellStyle name="Normal 7 3 5 5 2" xfId="16999"/>
    <cellStyle name="Normal 7 3 5 5 3" xfId="13420"/>
    <cellStyle name="Normal 7 3 5 5 4" xfId="8163"/>
    <cellStyle name="Normal 7 3 5 6" xfId="5724"/>
    <cellStyle name="Normal 7 3 5 6 2" xfId="14810"/>
    <cellStyle name="Normal 7 3 5 7" xfId="9617"/>
    <cellStyle name="Normal 7 3 5 7 2" xfId="18444"/>
    <cellStyle name="Normal 7 3 5 8" xfId="11061"/>
    <cellStyle name="Normal 7 3 5 9" xfId="4695"/>
    <cellStyle name="Normal 7 3 5_Degree data" xfId="1818"/>
    <cellStyle name="Normal 7 3 6" xfId="496"/>
    <cellStyle name="Normal 7 3 6 2" xfId="845"/>
    <cellStyle name="Normal 7 3 6 2 2" xfId="2565"/>
    <cellStyle name="Normal 7 3 6 2 2 2" xfId="16453"/>
    <cellStyle name="Normal 7 3 6 2 2 3" xfId="12875"/>
    <cellStyle name="Normal 7 3 6 2 2 4" xfId="7585"/>
    <cellStyle name="Normal 7 3 6 2 3" xfId="3833"/>
    <cellStyle name="Normal 7 3 6 2 3 2" xfId="17478"/>
    <cellStyle name="Normal 7 3 6 2 3 3" xfId="13899"/>
    <cellStyle name="Normal 7 3 6 2 3 4" xfId="8642"/>
    <cellStyle name="Normal 7 3 6 2 4" xfId="6701"/>
    <cellStyle name="Normal 7 3 6 2 4 2" xfId="15785"/>
    <cellStyle name="Normal 7 3 6 2 5" xfId="10096"/>
    <cellStyle name="Normal 7 3 6 2 5 2" xfId="18923"/>
    <cellStyle name="Normal 7 3 6 2 6" xfId="11542"/>
    <cellStyle name="Normal 7 3 6 2 7" xfId="5179"/>
    <cellStyle name="Normal 7 3 6 3" xfId="1193"/>
    <cellStyle name="Normal 7 3 6 3 2" xfId="2913"/>
    <cellStyle name="Normal 7 3 6 3 2 2" xfId="16550"/>
    <cellStyle name="Normal 7 3 6 3 2 3" xfId="12971"/>
    <cellStyle name="Normal 7 3 6 3 2 4" xfId="7682"/>
    <cellStyle name="Normal 7 3 6 3 3" xfId="4181"/>
    <cellStyle name="Normal 7 3 6 3 3 2" xfId="17826"/>
    <cellStyle name="Normal 7 3 6 3 3 3" xfId="14247"/>
    <cellStyle name="Normal 7 3 6 3 3 4" xfId="8990"/>
    <cellStyle name="Normal 7 3 6 3 4" xfId="6755"/>
    <cellStyle name="Normal 7 3 6 3 4 2" xfId="15838"/>
    <cellStyle name="Normal 7 3 6 3 5" xfId="10444"/>
    <cellStyle name="Normal 7 3 6 3 5 2" xfId="19271"/>
    <cellStyle name="Normal 7 3 6 3 6" xfId="11890"/>
    <cellStyle name="Normal 7 3 6 3 7" xfId="5276"/>
    <cellStyle name="Normal 7 3 6 4" xfId="1392"/>
    <cellStyle name="Normal 7 3 6 4 2" xfId="3001"/>
    <cellStyle name="Normal 7 3 6 4 2 2" xfId="17914"/>
    <cellStyle name="Normal 7 3 6 4 2 3" xfId="14335"/>
    <cellStyle name="Normal 7 3 6 4 2 4" xfId="9078"/>
    <cellStyle name="Normal 7 3 6 4 3" xfId="10532"/>
    <cellStyle name="Normal 7 3 6 4 3 2" xfId="19359"/>
    <cellStyle name="Normal 7 3 6 4 4" xfId="11978"/>
    <cellStyle name="Normal 7 3 6 4 5" xfId="6973"/>
    <cellStyle name="Normal 7 3 6 5" xfId="1958"/>
    <cellStyle name="Normal 7 3 6 5 2" xfId="16869"/>
    <cellStyle name="Normal 7 3 6 5 3" xfId="13290"/>
    <cellStyle name="Normal 7 3 6 5 4" xfId="8033"/>
    <cellStyle name="Normal 7 3 6 6" xfId="6089"/>
    <cellStyle name="Normal 7 3 6 6 2" xfId="15173"/>
    <cellStyle name="Normal 7 3 6 7" xfId="9489"/>
    <cellStyle name="Normal 7 3 6 7 2" xfId="18316"/>
    <cellStyle name="Normal 7 3 6 8" xfId="10933"/>
    <cellStyle name="Normal 7 3 6 9" xfId="4567"/>
    <cellStyle name="Normal 7 3 6_Degree data" xfId="1819"/>
    <cellStyle name="Normal 7 3 7" xfId="836"/>
    <cellStyle name="Normal 7 3 7 2" xfId="2556"/>
    <cellStyle name="Normal 7 3 7 2 2" xfId="16444"/>
    <cellStyle name="Normal 7 3 7 2 3" xfId="12866"/>
    <cellStyle name="Normal 7 3 7 2 4" xfId="7576"/>
    <cellStyle name="Normal 7 3 7 3" xfId="3824"/>
    <cellStyle name="Normal 7 3 7 3 2" xfId="17469"/>
    <cellStyle name="Normal 7 3 7 3 3" xfId="13890"/>
    <cellStyle name="Normal 7 3 7 3 4" xfId="8633"/>
    <cellStyle name="Normal 7 3 7 4" xfId="6692"/>
    <cellStyle name="Normal 7 3 7 4 2" xfId="15776"/>
    <cellStyle name="Normal 7 3 7 5" xfId="10087"/>
    <cellStyle name="Normal 7 3 7 5 2" xfId="18914"/>
    <cellStyle name="Normal 7 3 7 6" xfId="11533"/>
    <cellStyle name="Normal 7 3 7 7" xfId="5170"/>
    <cellStyle name="Normal 7 3 8" xfId="1184"/>
    <cellStyle name="Normal 7 3 8 2" xfId="2904"/>
    <cellStyle name="Normal 7 3 8 2 2" xfId="16505"/>
    <cellStyle name="Normal 7 3 8 2 3" xfId="12927"/>
    <cellStyle name="Normal 7 3 8 2 4" xfId="7637"/>
    <cellStyle name="Normal 7 3 8 3" xfId="4172"/>
    <cellStyle name="Normal 7 3 8 3 2" xfId="17817"/>
    <cellStyle name="Normal 7 3 8 3 3" xfId="14238"/>
    <cellStyle name="Normal 7 3 8 3 4" xfId="8981"/>
    <cellStyle name="Normal 7 3 8 4" xfId="5897"/>
    <cellStyle name="Normal 7 3 8 4 2" xfId="14983"/>
    <cellStyle name="Normal 7 3 8 5" xfId="10435"/>
    <cellStyle name="Normal 7 3 8 5 2" xfId="19262"/>
    <cellStyle name="Normal 7 3 8 6" xfId="11881"/>
    <cellStyle name="Normal 7 3 8 7" xfId="5231"/>
    <cellStyle name="Normal 7 3 9" xfId="1343"/>
    <cellStyle name="Normal 7 3 9 2" xfId="2956"/>
    <cellStyle name="Normal 7 3 9 2 2" xfId="17869"/>
    <cellStyle name="Normal 7 3 9 2 3" xfId="14290"/>
    <cellStyle name="Normal 7 3 9 2 4" xfId="9033"/>
    <cellStyle name="Normal 7 3 9 3" xfId="10487"/>
    <cellStyle name="Normal 7 3 9 3 2" xfId="19314"/>
    <cellStyle name="Normal 7 3 9 4" xfId="11933"/>
    <cellStyle name="Normal 7 3 9 5" xfId="6784"/>
    <cellStyle name="Normal 7 3_Degree data" xfId="1810"/>
    <cellStyle name="Normal 7 4" xfId="150"/>
    <cellStyle name="Normal 7 4 10" xfId="5574"/>
    <cellStyle name="Normal 7 4 10 2" xfId="14660"/>
    <cellStyle name="Normal 7 4 11" xfId="9394"/>
    <cellStyle name="Normal 7 4 11 2" xfId="18221"/>
    <cellStyle name="Normal 7 4 12" xfId="10834"/>
    <cellStyle name="Normal 7 4 13" xfId="4387"/>
    <cellStyle name="Normal 7 4 2" xfId="262"/>
    <cellStyle name="Normal 7 4 2 10" xfId="11013"/>
    <cellStyle name="Normal 7 4 2 11" xfId="4430"/>
    <cellStyle name="Normal 7 4 2 2" xfId="370"/>
    <cellStyle name="Normal 7 4 2 2 2" xfId="848"/>
    <cellStyle name="Normal 7 4 2 2 2 2" xfId="2568"/>
    <cellStyle name="Normal 7 4 2 2 2 2 2" xfId="16456"/>
    <cellStyle name="Normal 7 4 2 2 2 2 3" xfId="12878"/>
    <cellStyle name="Normal 7 4 2 2 2 2 4" xfId="7588"/>
    <cellStyle name="Normal 7 4 2 2 2 3" xfId="3836"/>
    <cellStyle name="Normal 7 4 2 2 2 3 2" xfId="17481"/>
    <cellStyle name="Normal 7 4 2 2 2 3 3" xfId="13902"/>
    <cellStyle name="Normal 7 4 2 2 2 3 4" xfId="8645"/>
    <cellStyle name="Normal 7 4 2 2 2 4" xfId="6704"/>
    <cellStyle name="Normal 7 4 2 2 2 4 2" xfId="15788"/>
    <cellStyle name="Normal 7 4 2 2 2 5" xfId="10099"/>
    <cellStyle name="Normal 7 4 2 2 2 5 2" xfId="18926"/>
    <cellStyle name="Normal 7 4 2 2 2 6" xfId="11545"/>
    <cellStyle name="Normal 7 4 2 2 2 7" xfId="5182"/>
    <cellStyle name="Normal 7 4 2 2 3" xfId="1196"/>
    <cellStyle name="Normal 7 4 2 2 3 2" xfId="2916"/>
    <cellStyle name="Normal 7 4 2 2 3 2 2" xfId="16730"/>
    <cellStyle name="Normal 7 4 2 2 3 2 3" xfId="13151"/>
    <cellStyle name="Normal 7 4 2 2 3 2 4" xfId="7862"/>
    <cellStyle name="Normal 7 4 2 2 3 3" xfId="4184"/>
    <cellStyle name="Normal 7 4 2 2 3 3 2" xfId="17829"/>
    <cellStyle name="Normal 7 4 2 2 3 3 3" xfId="14250"/>
    <cellStyle name="Normal 7 4 2 2 3 3 4" xfId="8993"/>
    <cellStyle name="Normal 7 4 2 2 3 4" xfId="6269"/>
    <cellStyle name="Normal 7 4 2 2 3 4 2" xfId="15353"/>
    <cellStyle name="Normal 7 4 2 2 3 5" xfId="10447"/>
    <cellStyle name="Normal 7 4 2 2 3 5 2" xfId="19274"/>
    <cellStyle name="Normal 7 4 2 2 3 6" xfId="11893"/>
    <cellStyle name="Normal 7 4 2 2 3 7" xfId="5456"/>
    <cellStyle name="Normal 7 4 2 2 4" xfId="1583"/>
    <cellStyle name="Normal 7 4 2 2 4 2" xfId="3181"/>
    <cellStyle name="Normal 7 4 2 2 4 2 2" xfId="18094"/>
    <cellStyle name="Normal 7 4 2 2 4 2 3" xfId="14515"/>
    <cellStyle name="Normal 7 4 2 2 4 2 4" xfId="9258"/>
    <cellStyle name="Normal 7 4 2 2 4 3" xfId="10712"/>
    <cellStyle name="Normal 7 4 2 2 4 3 2" xfId="19539"/>
    <cellStyle name="Normal 7 4 2 2 4 4" xfId="12158"/>
    <cellStyle name="Normal 7 4 2 2 4 5" xfId="7153"/>
    <cellStyle name="Normal 7 4 2 2 5" xfId="2138"/>
    <cellStyle name="Normal 7 4 2 2 5 2" xfId="17051"/>
    <cellStyle name="Normal 7 4 2 2 5 3" xfId="13472"/>
    <cellStyle name="Normal 7 4 2 2 5 4" xfId="8215"/>
    <cellStyle name="Normal 7 4 2 2 6" xfId="5776"/>
    <cellStyle name="Normal 7 4 2 2 6 2" xfId="14862"/>
    <cellStyle name="Normal 7 4 2 2 7" xfId="9669"/>
    <cellStyle name="Normal 7 4 2 2 7 2" xfId="18496"/>
    <cellStyle name="Normal 7 4 2 2 8" xfId="11113"/>
    <cellStyle name="Normal 7 4 2 2 9" xfId="4747"/>
    <cellStyle name="Normal 7 4 2 2_Degree data" xfId="1822"/>
    <cellStyle name="Normal 7 4 2 3" xfId="847"/>
    <cellStyle name="Normal 7 4 2 3 2" xfId="2567"/>
    <cellStyle name="Normal 7 4 2 3 2 2" xfId="16067"/>
    <cellStyle name="Normal 7 4 2 3 2 3" xfId="12325"/>
    <cellStyle name="Normal 7 4 2 3 2 4" xfId="7053"/>
    <cellStyle name="Normal 7 4 2 3 3" xfId="3835"/>
    <cellStyle name="Normal 7 4 2 3 3 2" xfId="17480"/>
    <cellStyle name="Normal 7 4 2 3 3 3" xfId="13901"/>
    <cellStyle name="Normal 7 4 2 3 3 4" xfId="8644"/>
    <cellStyle name="Normal 7 4 2 3 4" xfId="6169"/>
    <cellStyle name="Normal 7 4 2 3 4 2" xfId="15253"/>
    <cellStyle name="Normal 7 4 2 3 5" xfId="10098"/>
    <cellStyle name="Normal 7 4 2 3 5 2" xfId="18925"/>
    <cellStyle name="Normal 7 4 2 3 6" xfId="11544"/>
    <cellStyle name="Normal 7 4 2 3 7" xfId="4647"/>
    <cellStyle name="Normal 7 4 2 4" xfId="1195"/>
    <cellStyle name="Normal 7 4 2 4 2" xfId="2915"/>
    <cellStyle name="Normal 7 4 2 4 2 2" xfId="16455"/>
    <cellStyle name="Normal 7 4 2 4 2 3" xfId="12877"/>
    <cellStyle name="Normal 7 4 2 4 2 4" xfId="7587"/>
    <cellStyle name="Normal 7 4 2 4 3" xfId="4183"/>
    <cellStyle name="Normal 7 4 2 4 3 2" xfId="17828"/>
    <cellStyle name="Normal 7 4 2 4 3 3" xfId="14249"/>
    <cellStyle name="Normal 7 4 2 4 3 4" xfId="8992"/>
    <cellStyle name="Normal 7 4 2 4 4" xfId="6703"/>
    <cellStyle name="Normal 7 4 2 4 4 2" xfId="15787"/>
    <cellStyle name="Normal 7 4 2 4 5" xfId="10446"/>
    <cellStyle name="Normal 7 4 2 4 5 2" xfId="19273"/>
    <cellStyle name="Normal 7 4 2 4 6" xfId="11892"/>
    <cellStyle name="Normal 7 4 2 4 7" xfId="5181"/>
    <cellStyle name="Normal 7 4 2 5" xfId="1481"/>
    <cellStyle name="Normal 7 4 2 5 2" xfId="3081"/>
    <cellStyle name="Normal 7 4 2 5 2 2" xfId="16630"/>
    <cellStyle name="Normal 7 4 2 5 2 3" xfId="13051"/>
    <cellStyle name="Normal 7 4 2 5 2 4" xfId="7762"/>
    <cellStyle name="Normal 7 4 2 5 3" xfId="4289"/>
    <cellStyle name="Normal 7 4 2 5 3 2" xfId="17994"/>
    <cellStyle name="Normal 7 4 2 5 3 3" xfId="14415"/>
    <cellStyle name="Normal 7 4 2 5 3 4" xfId="9158"/>
    <cellStyle name="Normal 7 4 2 5 4" xfId="5950"/>
    <cellStyle name="Normal 7 4 2 5 4 2" xfId="15036"/>
    <cellStyle name="Normal 7 4 2 5 5" xfId="10612"/>
    <cellStyle name="Normal 7 4 2 5 5 2" xfId="19439"/>
    <cellStyle name="Normal 7 4 2 5 6" xfId="12058"/>
    <cellStyle name="Normal 7 4 2 5 7" xfId="5356"/>
    <cellStyle name="Normal 7 4 2 6" xfId="2038"/>
    <cellStyle name="Normal 7 4 2 6 2" xfId="15879"/>
    <cellStyle name="Normal 7 4 2 6 3" xfId="12512"/>
    <cellStyle name="Normal 7 4 2 6 4" xfId="6836"/>
    <cellStyle name="Normal 7 4 2 7" xfId="3451"/>
    <cellStyle name="Normal 7 4 2 7 2" xfId="16951"/>
    <cellStyle name="Normal 7 4 2 7 3" xfId="13372"/>
    <cellStyle name="Normal 7 4 2 7 4" xfId="8115"/>
    <cellStyle name="Normal 7 4 2 8" xfId="5676"/>
    <cellStyle name="Normal 7 4 2 8 2" xfId="14762"/>
    <cellStyle name="Normal 7 4 2 9" xfId="9569"/>
    <cellStyle name="Normal 7 4 2 9 2" xfId="18396"/>
    <cellStyle name="Normal 7 4 2_Degree data" xfId="1821"/>
    <cellStyle name="Normal 7 4 3" xfId="219"/>
    <cellStyle name="Normal 7 4 3 10" xfId="10970"/>
    <cellStyle name="Normal 7 4 3 11" xfId="4492"/>
    <cellStyle name="Normal 7 4 3 2" xfId="433"/>
    <cellStyle name="Normal 7 4 3 2 2" xfId="850"/>
    <cellStyle name="Normal 7 4 3 2 2 2" xfId="2570"/>
    <cellStyle name="Normal 7 4 3 2 2 2 2" xfId="16458"/>
    <cellStyle name="Normal 7 4 3 2 2 2 3" xfId="12880"/>
    <cellStyle name="Normal 7 4 3 2 2 2 4" xfId="7590"/>
    <cellStyle name="Normal 7 4 3 2 2 3" xfId="3838"/>
    <cellStyle name="Normal 7 4 3 2 2 3 2" xfId="17483"/>
    <cellStyle name="Normal 7 4 3 2 2 3 3" xfId="13904"/>
    <cellStyle name="Normal 7 4 3 2 2 3 4" xfId="8647"/>
    <cellStyle name="Normal 7 4 3 2 2 4" xfId="6706"/>
    <cellStyle name="Normal 7 4 3 2 2 4 2" xfId="15790"/>
    <cellStyle name="Normal 7 4 3 2 2 5" xfId="10101"/>
    <cellStyle name="Normal 7 4 3 2 2 5 2" xfId="18928"/>
    <cellStyle name="Normal 7 4 3 2 2 6" xfId="11547"/>
    <cellStyle name="Normal 7 4 3 2 2 7" xfId="5184"/>
    <cellStyle name="Normal 7 4 3 2 3" xfId="1198"/>
    <cellStyle name="Normal 7 4 3 2 3 2" xfId="2918"/>
    <cellStyle name="Normal 7 4 3 2 3 2 2" xfId="16792"/>
    <cellStyle name="Normal 7 4 3 2 3 2 3" xfId="13213"/>
    <cellStyle name="Normal 7 4 3 2 3 2 4" xfId="7924"/>
    <cellStyle name="Normal 7 4 3 2 3 3" xfId="4186"/>
    <cellStyle name="Normal 7 4 3 2 3 3 2" xfId="17831"/>
    <cellStyle name="Normal 7 4 3 2 3 3 3" xfId="14252"/>
    <cellStyle name="Normal 7 4 3 2 3 3 4" xfId="8995"/>
    <cellStyle name="Normal 7 4 3 2 3 4" xfId="6331"/>
    <cellStyle name="Normal 7 4 3 2 3 4 2" xfId="15415"/>
    <cellStyle name="Normal 7 4 3 2 3 5" xfId="10449"/>
    <cellStyle name="Normal 7 4 3 2 3 5 2" xfId="19276"/>
    <cellStyle name="Normal 7 4 3 2 3 6" xfId="11895"/>
    <cellStyle name="Normal 7 4 3 2 3 7" xfId="5518"/>
    <cellStyle name="Normal 7 4 3 2 4" xfId="1647"/>
    <cellStyle name="Normal 7 4 3 2 4 2" xfId="3243"/>
    <cellStyle name="Normal 7 4 3 2 4 2 2" xfId="18156"/>
    <cellStyle name="Normal 7 4 3 2 4 2 3" xfId="14577"/>
    <cellStyle name="Normal 7 4 3 2 4 2 4" xfId="9320"/>
    <cellStyle name="Normal 7 4 3 2 4 3" xfId="10774"/>
    <cellStyle name="Normal 7 4 3 2 4 3 2" xfId="19601"/>
    <cellStyle name="Normal 7 4 3 2 4 4" xfId="12220"/>
    <cellStyle name="Normal 7 4 3 2 4 5" xfId="7215"/>
    <cellStyle name="Normal 7 4 3 2 5" xfId="2200"/>
    <cellStyle name="Normal 7 4 3 2 5 2" xfId="17113"/>
    <cellStyle name="Normal 7 4 3 2 5 3" xfId="13534"/>
    <cellStyle name="Normal 7 4 3 2 5 4" xfId="8277"/>
    <cellStyle name="Normal 7 4 3 2 6" xfId="5838"/>
    <cellStyle name="Normal 7 4 3 2 6 2" xfId="14924"/>
    <cellStyle name="Normal 7 4 3 2 7" xfId="9731"/>
    <cellStyle name="Normal 7 4 3 2 7 2" xfId="18558"/>
    <cellStyle name="Normal 7 4 3 2 8" xfId="11175"/>
    <cellStyle name="Normal 7 4 3 2 9" xfId="4809"/>
    <cellStyle name="Normal 7 4 3 2_Degree data" xfId="1824"/>
    <cellStyle name="Normal 7 4 3 3" xfId="849"/>
    <cellStyle name="Normal 7 4 3 3 2" xfId="2569"/>
    <cellStyle name="Normal 7 4 3 3 2 2" xfId="16024"/>
    <cellStyle name="Normal 7 4 3 3 2 3" xfId="12398"/>
    <cellStyle name="Normal 7 4 3 3 2 4" xfId="7010"/>
    <cellStyle name="Normal 7 4 3 3 3" xfId="3837"/>
    <cellStyle name="Normal 7 4 3 3 3 2" xfId="17482"/>
    <cellStyle name="Normal 7 4 3 3 3 3" xfId="13903"/>
    <cellStyle name="Normal 7 4 3 3 3 4" xfId="8646"/>
    <cellStyle name="Normal 7 4 3 3 4" xfId="6126"/>
    <cellStyle name="Normal 7 4 3 3 4 2" xfId="15210"/>
    <cellStyle name="Normal 7 4 3 3 5" xfId="10100"/>
    <cellStyle name="Normal 7 4 3 3 5 2" xfId="18927"/>
    <cellStyle name="Normal 7 4 3 3 6" xfId="11546"/>
    <cellStyle name="Normal 7 4 3 3 7" xfId="4604"/>
    <cellStyle name="Normal 7 4 3 4" xfId="1197"/>
    <cellStyle name="Normal 7 4 3 4 2" xfId="2917"/>
    <cellStyle name="Normal 7 4 3 4 2 2" xfId="16457"/>
    <cellStyle name="Normal 7 4 3 4 2 3" xfId="12879"/>
    <cellStyle name="Normal 7 4 3 4 2 4" xfId="7589"/>
    <cellStyle name="Normal 7 4 3 4 3" xfId="4185"/>
    <cellStyle name="Normal 7 4 3 4 3 2" xfId="17830"/>
    <cellStyle name="Normal 7 4 3 4 3 3" xfId="14251"/>
    <cellStyle name="Normal 7 4 3 4 3 4" xfId="8994"/>
    <cellStyle name="Normal 7 4 3 4 4" xfId="6705"/>
    <cellStyle name="Normal 7 4 3 4 4 2" xfId="15789"/>
    <cellStyle name="Normal 7 4 3 4 5" xfId="10448"/>
    <cellStyle name="Normal 7 4 3 4 5 2" xfId="19275"/>
    <cellStyle name="Normal 7 4 3 4 6" xfId="11894"/>
    <cellStyle name="Normal 7 4 3 4 7" xfId="5183"/>
    <cellStyle name="Normal 7 4 3 5" xfId="1436"/>
    <cellStyle name="Normal 7 4 3 5 2" xfId="3038"/>
    <cellStyle name="Normal 7 4 3 5 2 2" xfId="16587"/>
    <cellStyle name="Normal 7 4 3 5 2 3" xfId="13008"/>
    <cellStyle name="Normal 7 4 3 5 2 4" xfId="7719"/>
    <cellStyle name="Normal 7 4 3 5 3" xfId="4246"/>
    <cellStyle name="Normal 7 4 3 5 3 2" xfId="17951"/>
    <cellStyle name="Normal 7 4 3 5 3 3" xfId="14372"/>
    <cellStyle name="Normal 7 4 3 5 3 4" xfId="9115"/>
    <cellStyle name="Normal 7 4 3 5 4" xfId="6012"/>
    <cellStyle name="Normal 7 4 3 5 4 2" xfId="15098"/>
    <cellStyle name="Normal 7 4 3 5 5" xfId="10569"/>
    <cellStyle name="Normal 7 4 3 5 5 2" xfId="19396"/>
    <cellStyle name="Normal 7 4 3 5 6" xfId="12015"/>
    <cellStyle name="Normal 7 4 3 5 7" xfId="5313"/>
    <cellStyle name="Normal 7 4 3 6" xfId="1995"/>
    <cellStyle name="Normal 7 4 3 6 2" xfId="15941"/>
    <cellStyle name="Normal 7 4 3 6 3" xfId="12418"/>
    <cellStyle name="Normal 7 4 3 6 4" xfId="6898"/>
    <cellStyle name="Normal 7 4 3 7" xfId="3409"/>
    <cellStyle name="Normal 7 4 3 7 2" xfId="16908"/>
    <cellStyle name="Normal 7 4 3 7 3" xfId="13329"/>
    <cellStyle name="Normal 7 4 3 7 4" xfId="8072"/>
    <cellStyle name="Normal 7 4 3 8" xfId="5633"/>
    <cellStyle name="Normal 7 4 3 8 2" xfId="14719"/>
    <cellStyle name="Normal 7 4 3 9" xfId="9526"/>
    <cellStyle name="Normal 7 4 3 9 2" xfId="18353"/>
    <cellStyle name="Normal 7 4 3_Degree data" xfId="1823"/>
    <cellStyle name="Normal 7 4 4" xfId="327"/>
    <cellStyle name="Normal 7 4 4 2" xfId="851"/>
    <cellStyle name="Normal 7 4 4 2 2" xfId="2571"/>
    <cellStyle name="Normal 7 4 4 2 2 2" xfId="16459"/>
    <cellStyle name="Normal 7 4 4 2 2 3" xfId="12881"/>
    <cellStyle name="Normal 7 4 4 2 2 4" xfId="7591"/>
    <cellStyle name="Normal 7 4 4 2 3" xfId="3839"/>
    <cellStyle name="Normal 7 4 4 2 3 2" xfId="17484"/>
    <cellStyle name="Normal 7 4 4 2 3 3" xfId="13905"/>
    <cellStyle name="Normal 7 4 4 2 3 4" xfId="8648"/>
    <cellStyle name="Normal 7 4 4 2 4" xfId="6707"/>
    <cellStyle name="Normal 7 4 4 2 4 2" xfId="15791"/>
    <cellStyle name="Normal 7 4 4 2 5" xfId="10102"/>
    <cellStyle name="Normal 7 4 4 2 5 2" xfId="18929"/>
    <cellStyle name="Normal 7 4 4 2 6" xfId="11548"/>
    <cellStyle name="Normal 7 4 4 2 7" xfId="5185"/>
    <cellStyle name="Normal 7 4 4 3" xfId="1199"/>
    <cellStyle name="Normal 7 4 4 3 2" xfId="2919"/>
    <cellStyle name="Normal 7 4 4 3 2 2" xfId="16687"/>
    <cellStyle name="Normal 7 4 4 3 2 3" xfId="13108"/>
    <cellStyle name="Normal 7 4 4 3 2 4" xfId="7819"/>
    <cellStyle name="Normal 7 4 4 3 3" xfId="4187"/>
    <cellStyle name="Normal 7 4 4 3 3 2" xfId="17832"/>
    <cellStyle name="Normal 7 4 4 3 3 3" xfId="14253"/>
    <cellStyle name="Normal 7 4 4 3 3 4" xfId="8996"/>
    <cellStyle name="Normal 7 4 4 3 4" xfId="6226"/>
    <cellStyle name="Normal 7 4 4 3 4 2" xfId="15310"/>
    <cellStyle name="Normal 7 4 4 3 5" xfId="10450"/>
    <cellStyle name="Normal 7 4 4 3 5 2" xfId="19277"/>
    <cellStyle name="Normal 7 4 4 3 6" xfId="11896"/>
    <cellStyle name="Normal 7 4 4 3 7" xfId="5413"/>
    <cellStyle name="Normal 7 4 4 4" xfId="1539"/>
    <cellStyle name="Normal 7 4 4 4 2" xfId="3138"/>
    <cellStyle name="Normal 7 4 4 4 2 2" xfId="18051"/>
    <cellStyle name="Normal 7 4 4 4 2 3" xfId="14472"/>
    <cellStyle name="Normal 7 4 4 4 2 4" xfId="9215"/>
    <cellStyle name="Normal 7 4 4 4 3" xfId="10669"/>
    <cellStyle name="Normal 7 4 4 4 3 2" xfId="19496"/>
    <cellStyle name="Normal 7 4 4 4 4" xfId="12115"/>
    <cellStyle name="Normal 7 4 4 4 5" xfId="7110"/>
    <cellStyle name="Normal 7 4 4 5" xfId="2095"/>
    <cellStyle name="Normal 7 4 4 5 2" xfId="17008"/>
    <cellStyle name="Normal 7 4 4 5 3" xfId="13429"/>
    <cellStyle name="Normal 7 4 4 5 4" xfId="8172"/>
    <cellStyle name="Normal 7 4 4 6" xfId="5733"/>
    <cellStyle name="Normal 7 4 4 6 2" xfId="14819"/>
    <cellStyle name="Normal 7 4 4 7" xfId="9626"/>
    <cellStyle name="Normal 7 4 4 7 2" xfId="18453"/>
    <cellStyle name="Normal 7 4 4 8" xfId="11070"/>
    <cellStyle name="Normal 7 4 4 9" xfId="4704"/>
    <cellStyle name="Normal 7 4 4_Degree data" xfId="1825"/>
    <cellStyle name="Normal 7 4 5" xfId="846"/>
    <cellStyle name="Normal 7 4 5 2" xfId="2566"/>
    <cellStyle name="Normal 7 4 5 2 2" xfId="15981"/>
    <cellStyle name="Normal 7 4 5 2 3" xfId="12298"/>
    <cellStyle name="Normal 7 4 5 2 4" xfId="6951"/>
    <cellStyle name="Normal 7 4 5 3" xfId="3834"/>
    <cellStyle name="Normal 7 4 5 3 2" xfId="17479"/>
    <cellStyle name="Normal 7 4 5 3 3" xfId="13900"/>
    <cellStyle name="Normal 7 4 5 3 4" xfId="8643"/>
    <cellStyle name="Normal 7 4 5 4" xfId="6067"/>
    <cellStyle name="Normal 7 4 5 4 2" xfId="15151"/>
    <cellStyle name="Normal 7 4 5 5" xfId="10097"/>
    <cellStyle name="Normal 7 4 5 5 2" xfId="18924"/>
    <cellStyle name="Normal 7 4 5 6" xfId="11543"/>
    <cellStyle name="Normal 7 4 5 7" xfId="4545"/>
    <cellStyle name="Normal 7 4 6" xfId="1194"/>
    <cellStyle name="Normal 7 4 6 2" xfId="2914"/>
    <cellStyle name="Normal 7 4 6 2 2" xfId="16454"/>
    <cellStyle name="Normal 7 4 6 2 3" xfId="12876"/>
    <cellStyle name="Normal 7 4 6 2 4" xfId="7586"/>
    <cellStyle name="Normal 7 4 6 3" xfId="4182"/>
    <cellStyle name="Normal 7 4 6 3 2" xfId="17827"/>
    <cellStyle name="Normal 7 4 6 3 3" xfId="14248"/>
    <cellStyle name="Normal 7 4 6 3 4" xfId="8991"/>
    <cellStyle name="Normal 7 4 6 4" xfId="6702"/>
    <cellStyle name="Normal 7 4 6 4 2" xfId="15786"/>
    <cellStyle name="Normal 7 4 6 5" xfId="10445"/>
    <cellStyle name="Normal 7 4 6 5 2" xfId="19272"/>
    <cellStyle name="Normal 7 4 6 6" xfId="11891"/>
    <cellStyle name="Normal 7 4 6 7" xfId="5180"/>
    <cellStyle name="Normal 7 4 7" xfId="1368"/>
    <cellStyle name="Normal 7 4 7 2" xfId="2979"/>
    <cellStyle name="Normal 7 4 7 2 2" xfId="16528"/>
    <cellStyle name="Normal 7 4 7 2 3" xfId="12950"/>
    <cellStyle name="Normal 7 4 7 2 4" xfId="7660"/>
    <cellStyle name="Normal 7 4 7 3" xfId="4204"/>
    <cellStyle name="Normal 7 4 7 3 2" xfId="17892"/>
    <cellStyle name="Normal 7 4 7 3 3" xfId="14313"/>
    <cellStyle name="Normal 7 4 7 3 4" xfId="9056"/>
    <cellStyle name="Normal 7 4 7 4" xfId="5906"/>
    <cellStyle name="Normal 7 4 7 4 2" xfId="14992"/>
    <cellStyle name="Normal 7 4 7 5" xfId="10510"/>
    <cellStyle name="Normal 7 4 7 5 2" xfId="19337"/>
    <cellStyle name="Normal 7 4 7 6" xfId="11956"/>
    <cellStyle name="Normal 7 4 7 7" xfId="5254"/>
    <cellStyle name="Normal 7 4 8" xfId="1936"/>
    <cellStyle name="Normal 7 4 8 2" xfId="9467"/>
    <cellStyle name="Normal 7 4 8 2 2" xfId="18294"/>
    <cellStyle name="Normal 7 4 8 3" xfId="10911"/>
    <cellStyle name="Normal 7 4 8 4" xfId="6793"/>
    <cellStyle name="Normal 7 4 9" xfId="1860"/>
    <cellStyle name="Normal 7 4 9 2" xfId="16847"/>
    <cellStyle name="Normal 7 4 9 3" xfId="13268"/>
    <cellStyle name="Normal 7 4 9 4" xfId="8011"/>
    <cellStyle name="Normal 7 4_Degree data" xfId="1820"/>
    <cellStyle name="Normal 7 5" xfId="245"/>
    <cellStyle name="Normal 7 5 10" xfId="10996"/>
    <cellStyle name="Normal 7 5 11" xfId="4413"/>
    <cellStyle name="Normal 7 5 2" xfId="353"/>
    <cellStyle name="Normal 7 5 2 2" xfId="853"/>
    <cellStyle name="Normal 7 5 2 2 2" xfId="2573"/>
    <cellStyle name="Normal 7 5 2 2 2 2" xfId="16461"/>
    <cellStyle name="Normal 7 5 2 2 2 3" xfId="12883"/>
    <cellStyle name="Normal 7 5 2 2 2 4" xfId="7593"/>
    <cellStyle name="Normal 7 5 2 2 3" xfId="3841"/>
    <cellStyle name="Normal 7 5 2 2 3 2" xfId="17486"/>
    <cellStyle name="Normal 7 5 2 2 3 3" xfId="13907"/>
    <cellStyle name="Normal 7 5 2 2 3 4" xfId="8650"/>
    <cellStyle name="Normal 7 5 2 2 4" xfId="6709"/>
    <cellStyle name="Normal 7 5 2 2 4 2" xfId="15793"/>
    <cellStyle name="Normal 7 5 2 2 5" xfId="10104"/>
    <cellStyle name="Normal 7 5 2 2 5 2" xfId="18931"/>
    <cellStyle name="Normal 7 5 2 2 6" xfId="11550"/>
    <cellStyle name="Normal 7 5 2 2 7" xfId="5187"/>
    <cellStyle name="Normal 7 5 2 3" xfId="1201"/>
    <cellStyle name="Normal 7 5 2 3 2" xfId="2921"/>
    <cellStyle name="Normal 7 5 2 3 2 2" xfId="16713"/>
    <cellStyle name="Normal 7 5 2 3 2 3" xfId="13134"/>
    <cellStyle name="Normal 7 5 2 3 2 4" xfId="7845"/>
    <cellStyle name="Normal 7 5 2 3 3" xfId="4189"/>
    <cellStyle name="Normal 7 5 2 3 3 2" xfId="17834"/>
    <cellStyle name="Normal 7 5 2 3 3 3" xfId="14255"/>
    <cellStyle name="Normal 7 5 2 3 3 4" xfId="8998"/>
    <cellStyle name="Normal 7 5 2 3 4" xfId="6252"/>
    <cellStyle name="Normal 7 5 2 3 4 2" xfId="15336"/>
    <cellStyle name="Normal 7 5 2 3 5" xfId="10452"/>
    <cellStyle name="Normal 7 5 2 3 5 2" xfId="19279"/>
    <cellStyle name="Normal 7 5 2 3 6" xfId="11898"/>
    <cellStyle name="Normal 7 5 2 3 7" xfId="5439"/>
    <cellStyle name="Normal 7 5 2 4" xfId="1566"/>
    <cellStyle name="Normal 7 5 2 4 2" xfId="3164"/>
    <cellStyle name="Normal 7 5 2 4 2 2" xfId="18077"/>
    <cellStyle name="Normal 7 5 2 4 2 3" xfId="14498"/>
    <cellStyle name="Normal 7 5 2 4 2 4" xfId="9241"/>
    <cellStyle name="Normal 7 5 2 4 3" xfId="10695"/>
    <cellStyle name="Normal 7 5 2 4 3 2" xfId="19522"/>
    <cellStyle name="Normal 7 5 2 4 4" xfId="12141"/>
    <cellStyle name="Normal 7 5 2 4 5" xfId="7136"/>
    <cellStyle name="Normal 7 5 2 5" xfId="2121"/>
    <cellStyle name="Normal 7 5 2 5 2" xfId="17034"/>
    <cellStyle name="Normal 7 5 2 5 3" xfId="13455"/>
    <cellStyle name="Normal 7 5 2 5 4" xfId="8198"/>
    <cellStyle name="Normal 7 5 2 6" xfId="5759"/>
    <cellStyle name="Normal 7 5 2 6 2" xfId="14845"/>
    <cellStyle name="Normal 7 5 2 7" xfId="9652"/>
    <cellStyle name="Normal 7 5 2 7 2" xfId="18479"/>
    <cellStyle name="Normal 7 5 2 8" xfId="11096"/>
    <cellStyle name="Normal 7 5 2 9" xfId="4730"/>
    <cellStyle name="Normal 7 5 2_Degree data" xfId="1827"/>
    <cellStyle name="Normal 7 5 3" xfId="852"/>
    <cellStyle name="Normal 7 5 3 2" xfId="2572"/>
    <cellStyle name="Normal 7 5 3 2 2" xfId="16050"/>
    <cellStyle name="Normal 7 5 3 2 3" xfId="12455"/>
    <cellStyle name="Normal 7 5 3 2 4" xfId="7036"/>
    <cellStyle name="Normal 7 5 3 3" xfId="3840"/>
    <cellStyle name="Normal 7 5 3 3 2" xfId="17485"/>
    <cellStyle name="Normal 7 5 3 3 3" xfId="13906"/>
    <cellStyle name="Normal 7 5 3 3 4" xfId="8649"/>
    <cellStyle name="Normal 7 5 3 4" xfId="6152"/>
    <cellStyle name="Normal 7 5 3 4 2" xfId="15236"/>
    <cellStyle name="Normal 7 5 3 5" xfId="10103"/>
    <cellStyle name="Normal 7 5 3 5 2" xfId="18930"/>
    <cellStyle name="Normal 7 5 3 6" xfId="11549"/>
    <cellStyle name="Normal 7 5 3 7" xfId="4630"/>
    <cellStyle name="Normal 7 5 4" xfId="1200"/>
    <cellStyle name="Normal 7 5 4 2" xfId="2920"/>
    <cellStyle name="Normal 7 5 4 2 2" xfId="16460"/>
    <cellStyle name="Normal 7 5 4 2 3" xfId="12882"/>
    <cellStyle name="Normal 7 5 4 2 4" xfId="7592"/>
    <cellStyle name="Normal 7 5 4 3" xfId="4188"/>
    <cellStyle name="Normal 7 5 4 3 2" xfId="17833"/>
    <cellStyle name="Normal 7 5 4 3 3" xfId="14254"/>
    <cellStyle name="Normal 7 5 4 3 4" xfId="8997"/>
    <cellStyle name="Normal 7 5 4 4" xfId="6708"/>
    <cellStyle name="Normal 7 5 4 4 2" xfId="15792"/>
    <cellStyle name="Normal 7 5 4 5" xfId="10451"/>
    <cellStyle name="Normal 7 5 4 5 2" xfId="19278"/>
    <cellStyle name="Normal 7 5 4 6" xfId="11897"/>
    <cellStyle name="Normal 7 5 4 7" xfId="5186"/>
    <cellStyle name="Normal 7 5 5" xfId="1464"/>
    <cellStyle name="Normal 7 5 5 2" xfId="3064"/>
    <cellStyle name="Normal 7 5 5 2 2" xfId="16613"/>
    <cellStyle name="Normal 7 5 5 2 3" xfId="13034"/>
    <cellStyle name="Normal 7 5 5 2 4" xfId="7745"/>
    <cellStyle name="Normal 7 5 5 3" xfId="4272"/>
    <cellStyle name="Normal 7 5 5 3 2" xfId="17977"/>
    <cellStyle name="Normal 7 5 5 3 3" xfId="14398"/>
    <cellStyle name="Normal 7 5 5 3 4" xfId="9141"/>
    <cellStyle name="Normal 7 5 5 4" xfId="5933"/>
    <cellStyle name="Normal 7 5 5 4 2" xfId="15019"/>
    <cellStyle name="Normal 7 5 5 5" xfId="10595"/>
    <cellStyle name="Normal 7 5 5 5 2" xfId="19422"/>
    <cellStyle name="Normal 7 5 5 6" xfId="12041"/>
    <cellStyle name="Normal 7 5 5 7" xfId="5339"/>
    <cellStyle name="Normal 7 5 6" xfId="2021"/>
    <cellStyle name="Normal 7 5 6 2" xfId="15862"/>
    <cellStyle name="Normal 7 5 6 3" xfId="12297"/>
    <cellStyle name="Normal 7 5 6 4" xfId="6819"/>
    <cellStyle name="Normal 7 5 7" xfId="3434"/>
    <cellStyle name="Normal 7 5 7 2" xfId="16934"/>
    <cellStyle name="Normal 7 5 7 3" xfId="13355"/>
    <cellStyle name="Normal 7 5 7 4" xfId="8098"/>
    <cellStyle name="Normal 7 5 8" xfId="5659"/>
    <cellStyle name="Normal 7 5 8 2" xfId="14745"/>
    <cellStyle name="Normal 7 5 9" xfId="9552"/>
    <cellStyle name="Normal 7 5 9 2" xfId="18379"/>
    <cellStyle name="Normal 7 5_Degree data" xfId="1826"/>
    <cellStyle name="Normal 7 6" xfId="185"/>
    <cellStyle name="Normal 7 6 10" xfId="10939"/>
    <cellStyle name="Normal 7 6 11" xfId="4461"/>
    <cellStyle name="Normal 7 6 2" xfId="402"/>
    <cellStyle name="Normal 7 6 2 2" xfId="855"/>
    <cellStyle name="Normal 7 6 2 2 2" xfId="2575"/>
    <cellStyle name="Normal 7 6 2 2 2 2" xfId="16463"/>
    <cellStyle name="Normal 7 6 2 2 2 3" xfId="12885"/>
    <cellStyle name="Normal 7 6 2 2 2 4" xfId="7595"/>
    <cellStyle name="Normal 7 6 2 2 3" xfId="3843"/>
    <cellStyle name="Normal 7 6 2 2 3 2" xfId="17488"/>
    <cellStyle name="Normal 7 6 2 2 3 3" xfId="13909"/>
    <cellStyle name="Normal 7 6 2 2 3 4" xfId="8652"/>
    <cellStyle name="Normal 7 6 2 2 4" xfId="6711"/>
    <cellStyle name="Normal 7 6 2 2 4 2" xfId="15795"/>
    <cellStyle name="Normal 7 6 2 2 5" xfId="10106"/>
    <cellStyle name="Normal 7 6 2 2 5 2" xfId="18933"/>
    <cellStyle name="Normal 7 6 2 2 6" xfId="11552"/>
    <cellStyle name="Normal 7 6 2 2 7" xfId="5189"/>
    <cellStyle name="Normal 7 6 2 3" xfId="1203"/>
    <cellStyle name="Normal 7 6 2 3 2" xfId="2923"/>
    <cellStyle name="Normal 7 6 2 3 2 2" xfId="16761"/>
    <cellStyle name="Normal 7 6 2 3 2 3" xfId="13182"/>
    <cellStyle name="Normal 7 6 2 3 2 4" xfId="7893"/>
    <cellStyle name="Normal 7 6 2 3 3" xfId="4191"/>
    <cellStyle name="Normal 7 6 2 3 3 2" xfId="17836"/>
    <cellStyle name="Normal 7 6 2 3 3 3" xfId="14257"/>
    <cellStyle name="Normal 7 6 2 3 3 4" xfId="9000"/>
    <cellStyle name="Normal 7 6 2 3 4" xfId="6300"/>
    <cellStyle name="Normal 7 6 2 3 4 2" xfId="15384"/>
    <cellStyle name="Normal 7 6 2 3 5" xfId="10454"/>
    <cellStyle name="Normal 7 6 2 3 5 2" xfId="19281"/>
    <cellStyle name="Normal 7 6 2 3 6" xfId="11900"/>
    <cellStyle name="Normal 7 6 2 3 7" xfId="5487"/>
    <cellStyle name="Normal 7 6 2 4" xfId="1616"/>
    <cellStyle name="Normal 7 6 2 4 2" xfId="3212"/>
    <cellStyle name="Normal 7 6 2 4 2 2" xfId="18125"/>
    <cellStyle name="Normal 7 6 2 4 2 3" xfId="14546"/>
    <cellStyle name="Normal 7 6 2 4 2 4" xfId="9289"/>
    <cellStyle name="Normal 7 6 2 4 3" xfId="10743"/>
    <cellStyle name="Normal 7 6 2 4 3 2" xfId="19570"/>
    <cellStyle name="Normal 7 6 2 4 4" xfId="12189"/>
    <cellStyle name="Normal 7 6 2 4 5" xfId="7184"/>
    <cellStyle name="Normal 7 6 2 5" xfId="2169"/>
    <cellStyle name="Normal 7 6 2 5 2" xfId="17082"/>
    <cellStyle name="Normal 7 6 2 5 3" xfId="13503"/>
    <cellStyle name="Normal 7 6 2 5 4" xfId="8246"/>
    <cellStyle name="Normal 7 6 2 6" xfId="5807"/>
    <cellStyle name="Normal 7 6 2 6 2" xfId="14893"/>
    <cellStyle name="Normal 7 6 2 7" xfId="9700"/>
    <cellStyle name="Normal 7 6 2 7 2" xfId="18527"/>
    <cellStyle name="Normal 7 6 2 8" xfId="11144"/>
    <cellStyle name="Normal 7 6 2 9" xfId="4778"/>
    <cellStyle name="Normal 7 6 2_Degree data" xfId="1829"/>
    <cellStyle name="Normal 7 6 3" xfId="854"/>
    <cellStyle name="Normal 7 6 3 2" xfId="2574"/>
    <cellStyle name="Normal 7 6 3 2 2" xfId="15993"/>
    <cellStyle name="Normal 7 6 3 2 3" xfId="12302"/>
    <cellStyle name="Normal 7 6 3 2 4" xfId="6979"/>
    <cellStyle name="Normal 7 6 3 3" xfId="3842"/>
    <cellStyle name="Normal 7 6 3 3 2" xfId="17487"/>
    <cellStyle name="Normal 7 6 3 3 3" xfId="13908"/>
    <cellStyle name="Normal 7 6 3 3 4" xfId="8651"/>
    <cellStyle name="Normal 7 6 3 4" xfId="6095"/>
    <cellStyle name="Normal 7 6 3 4 2" xfId="15179"/>
    <cellStyle name="Normal 7 6 3 5" xfId="10105"/>
    <cellStyle name="Normal 7 6 3 5 2" xfId="18932"/>
    <cellStyle name="Normal 7 6 3 6" xfId="11551"/>
    <cellStyle name="Normal 7 6 3 7" xfId="4573"/>
    <cellStyle name="Normal 7 6 4" xfId="1202"/>
    <cellStyle name="Normal 7 6 4 2" xfId="2922"/>
    <cellStyle name="Normal 7 6 4 2 2" xfId="16462"/>
    <cellStyle name="Normal 7 6 4 2 3" xfId="12884"/>
    <cellStyle name="Normal 7 6 4 2 4" xfId="7594"/>
    <cellStyle name="Normal 7 6 4 3" xfId="4190"/>
    <cellStyle name="Normal 7 6 4 3 2" xfId="17835"/>
    <cellStyle name="Normal 7 6 4 3 3" xfId="14256"/>
    <cellStyle name="Normal 7 6 4 3 4" xfId="8999"/>
    <cellStyle name="Normal 7 6 4 4" xfId="6710"/>
    <cellStyle name="Normal 7 6 4 4 2" xfId="15794"/>
    <cellStyle name="Normal 7 6 4 5" xfId="10453"/>
    <cellStyle name="Normal 7 6 4 5 2" xfId="19280"/>
    <cellStyle name="Normal 7 6 4 6" xfId="11899"/>
    <cellStyle name="Normal 7 6 4 7" xfId="5188"/>
    <cellStyle name="Normal 7 6 5" xfId="1402"/>
    <cellStyle name="Normal 7 6 5 2" xfId="3007"/>
    <cellStyle name="Normal 7 6 5 2 2" xfId="16556"/>
    <cellStyle name="Normal 7 6 5 2 3" xfId="12977"/>
    <cellStyle name="Normal 7 6 5 2 4" xfId="7688"/>
    <cellStyle name="Normal 7 6 5 3" xfId="4215"/>
    <cellStyle name="Normal 7 6 5 3 2" xfId="17920"/>
    <cellStyle name="Normal 7 6 5 3 3" xfId="14341"/>
    <cellStyle name="Normal 7 6 5 3 4" xfId="9084"/>
    <cellStyle name="Normal 7 6 5 4" xfId="5981"/>
    <cellStyle name="Normal 7 6 5 4 2" xfId="15067"/>
    <cellStyle name="Normal 7 6 5 5" xfId="10538"/>
    <cellStyle name="Normal 7 6 5 5 2" xfId="19365"/>
    <cellStyle name="Normal 7 6 5 6" xfId="11984"/>
    <cellStyle name="Normal 7 6 5 7" xfId="5282"/>
    <cellStyle name="Normal 7 6 6" xfId="1964"/>
    <cellStyle name="Normal 7 6 6 2" xfId="15910"/>
    <cellStyle name="Normal 7 6 6 3" xfId="12468"/>
    <cellStyle name="Normal 7 6 6 4" xfId="6867"/>
    <cellStyle name="Normal 7 6 7" xfId="3378"/>
    <cellStyle name="Normal 7 6 7 2" xfId="16877"/>
    <cellStyle name="Normal 7 6 7 3" xfId="13298"/>
    <cellStyle name="Normal 7 6 7 4" xfId="8041"/>
    <cellStyle name="Normal 7 6 8" xfId="5602"/>
    <cellStyle name="Normal 7 6 8 2" xfId="14688"/>
    <cellStyle name="Normal 7 6 9" xfId="9495"/>
    <cellStyle name="Normal 7 6 9 2" xfId="18322"/>
    <cellStyle name="Normal 7 6_Degree data" xfId="1828"/>
    <cellStyle name="Normal 7 7" xfId="458"/>
    <cellStyle name="Normal 7 7 10" xfId="4517"/>
    <cellStyle name="Normal 7 7 2" xfId="856"/>
    <cellStyle name="Normal 7 7 2 2" xfId="2576"/>
    <cellStyle name="Normal 7 7 2 2 2" xfId="16109"/>
    <cellStyle name="Normal 7 7 2 2 3" xfId="12531"/>
    <cellStyle name="Normal 7 7 2 2 4" xfId="7240"/>
    <cellStyle name="Normal 7 7 2 3" xfId="3844"/>
    <cellStyle name="Normal 7 7 2 3 2" xfId="17489"/>
    <cellStyle name="Normal 7 7 2 3 3" xfId="13910"/>
    <cellStyle name="Normal 7 7 2 3 4" xfId="8653"/>
    <cellStyle name="Normal 7 7 2 4" xfId="6356"/>
    <cellStyle name="Normal 7 7 2 4 2" xfId="15440"/>
    <cellStyle name="Normal 7 7 2 5" xfId="10107"/>
    <cellStyle name="Normal 7 7 2 5 2" xfId="18934"/>
    <cellStyle name="Normal 7 7 2 6" xfId="11553"/>
    <cellStyle name="Normal 7 7 2 7" xfId="4834"/>
    <cellStyle name="Normal 7 7 3" xfId="1204"/>
    <cellStyle name="Normal 7 7 3 2" xfId="2924"/>
    <cellStyle name="Normal 7 7 3 2 2" xfId="16464"/>
    <cellStyle name="Normal 7 7 3 2 3" xfId="12886"/>
    <cellStyle name="Normal 7 7 3 2 4" xfId="7596"/>
    <cellStyle name="Normal 7 7 3 3" xfId="4192"/>
    <cellStyle name="Normal 7 7 3 3 2" xfId="17837"/>
    <cellStyle name="Normal 7 7 3 3 3" xfId="14258"/>
    <cellStyle name="Normal 7 7 3 3 4" xfId="9001"/>
    <cellStyle name="Normal 7 7 3 4" xfId="6712"/>
    <cellStyle name="Normal 7 7 3 4 2" xfId="15796"/>
    <cellStyle name="Normal 7 7 3 5" xfId="10455"/>
    <cellStyle name="Normal 7 7 3 5 2" xfId="19282"/>
    <cellStyle name="Normal 7 7 3 6" xfId="11901"/>
    <cellStyle name="Normal 7 7 3 7" xfId="5190"/>
    <cellStyle name="Normal 7 7 4" xfId="1672"/>
    <cellStyle name="Normal 7 7 4 2" xfId="3268"/>
    <cellStyle name="Normal 7 7 4 2 2" xfId="16817"/>
    <cellStyle name="Normal 7 7 4 2 3" xfId="13238"/>
    <cellStyle name="Normal 7 7 4 2 4" xfId="7949"/>
    <cellStyle name="Normal 7 7 4 3" xfId="4331"/>
    <cellStyle name="Normal 7 7 4 3 2" xfId="18181"/>
    <cellStyle name="Normal 7 7 4 3 3" xfId="14602"/>
    <cellStyle name="Normal 7 7 4 3 4" xfId="9345"/>
    <cellStyle name="Normal 7 7 4 4" xfId="6037"/>
    <cellStyle name="Normal 7 7 4 4 2" xfId="15123"/>
    <cellStyle name="Normal 7 7 4 5" xfId="10799"/>
    <cellStyle name="Normal 7 7 4 5 2" xfId="19626"/>
    <cellStyle name="Normal 7 7 4 6" xfId="12245"/>
    <cellStyle name="Normal 7 7 4 7" xfId="5543"/>
    <cellStyle name="Normal 7 7 5" xfId="2225"/>
    <cellStyle name="Normal 7 7 5 2" xfId="15966"/>
    <cellStyle name="Normal 7 7 5 3" xfId="12348"/>
    <cellStyle name="Normal 7 7 5 4" xfId="6923"/>
    <cellStyle name="Normal 7 7 6" xfId="3493"/>
    <cellStyle name="Normal 7 7 6 2" xfId="17138"/>
    <cellStyle name="Normal 7 7 6 3" xfId="13559"/>
    <cellStyle name="Normal 7 7 6 4" xfId="8302"/>
    <cellStyle name="Normal 7 7 7" xfId="5863"/>
    <cellStyle name="Normal 7 7 7 2" xfId="14949"/>
    <cellStyle name="Normal 7 7 8" xfId="9756"/>
    <cellStyle name="Normal 7 7 8 2" xfId="18583"/>
    <cellStyle name="Normal 7 7 9" xfId="11200"/>
    <cellStyle name="Normal 7 7_Degree data" xfId="1830"/>
    <cellStyle name="Normal 7 8" xfId="296"/>
    <cellStyle name="Normal 7 8 2" xfId="857"/>
    <cellStyle name="Normal 7 8 2 2" xfId="2577"/>
    <cellStyle name="Normal 7 8 2 2 2" xfId="16465"/>
    <cellStyle name="Normal 7 8 2 2 3" xfId="12887"/>
    <cellStyle name="Normal 7 8 2 2 4" xfId="7597"/>
    <cellStyle name="Normal 7 8 2 3" xfId="3845"/>
    <cellStyle name="Normal 7 8 2 3 2" xfId="17490"/>
    <cellStyle name="Normal 7 8 2 3 3" xfId="13911"/>
    <cellStyle name="Normal 7 8 2 3 4" xfId="8654"/>
    <cellStyle name="Normal 7 8 2 4" xfId="6713"/>
    <cellStyle name="Normal 7 8 2 4 2" xfId="15797"/>
    <cellStyle name="Normal 7 8 2 5" xfId="10108"/>
    <cellStyle name="Normal 7 8 2 5 2" xfId="18935"/>
    <cellStyle name="Normal 7 8 2 6" xfId="11554"/>
    <cellStyle name="Normal 7 8 2 7" xfId="5191"/>
    <cellStyle name="Normal 7 8 3" xfId="1205"/>
    <cellStyle name="Normal 7 8 3 2" xfId="2925"/>
    <cellStyle name="Normal 7 8 3 2 2" xfId="16656"/>
    <cellStyle name="Normal 7 8 3 2 3" xfId="13077"/>
    <cellStyle name="Normal 7 8 3 2 4" xfId="7788"/>
    <cellStyle name="Normal 7 8 3 3" xfId="4193"/>
    <cellStyle name="Normal 7 8 3 3 2" xfId="17838"/>
    <cellStyle name="Normal 7 8 3 3 3" xfId="14259"/>
    <cellStyle name="Normal 7 8 3 3 4" xfId="9002"/>
    <cellStyle name="Normal 7 8 3 4" xfId="6195"/>
    <cellStyle name="Normal 7 8 3 4 2" xfId="15279"/>
    <cellStyle name="Normal 7 8 3 5" xfId="10456"/>
    <cellStyle name="Normal 7 8 3 5 2" xfId="19283"/>
    <cellStyle name="Normal 7 8 3 6" xfId="11902"/>
    <cellStyle name="Normal 7 8 3 7" xfId="5382"/>
    <cellStyle name="Normal 7 8 4" xfId="1508"/>
    <cellStyle name="Normal 7 8 4 2" xfId="3107"/>
    <cellStyle name="Normal 7 8 4 2 2" xfId="18020"/>
    <cellStyle name="Normal 7 8 4 2 3" xfId="14441"/>
    <cellStyle name="Normal 7 8 4 2 4" xfId="9184"/>
    <cellStyle name="Normal 7 8 4 3" xfId="10638"/>
    <cellStyle name="Normal 7 8 4 3 2" xfId="19465"/>
    <cellStyle name="Normal 7 8 4 4" xfId="12084"/>
    <cellStyle name="Normal 7 8 4 5" xfId="7079"/>
    <cellStyle name="Normal 7 8 5" xfId="2064"/>
    <cellStyle name="Normal 7 8 5 2" xfId="16977"/>
    <cellStyle name="Normal 7 8 5 3" xfId="13398"/>
    <cellStyle name="Normal 7 8 5 4" xfId="8141"/>
    <cellStyle name="Normal 7 8 6" xfId="5702"/>
    <cellStyle name="Normal 7 8 6 2" xfId="14788"/>
    <cellStyle name="Normal 7 8 7" xfId="9595"/>
    <cellStyle name="Normal 7 8 7 2" xfId="18422"/>
    <cellStyle name="Normal 7 8 8" xfId="11039"/>
    <cellStyle name="Normal 7 8 9" xfId="4673"/>
    <cellStyle name="Normal 7 8_Degree data" xfId="1831"/>
    <cellStyle name="Normal 7 9" xfId="479"/>
    <cellStyle name="Normal 7 9 2" xfId="858"/>
    <cellStyle name="Normal 7 9 2 2" xfId="2578"/>
    <cellStyle name="Normal 7 9 2 2 2" xfId="16466"/>
    <cellStyle name="Normal 7 9 2 2 3" xfId="12888"/>
    <cellStyle name="Normal 7 9 2 2 4" xfId="7598"/>
    <cellStyle name="Normal 7 9 2 3" xfId="3846"/>
    <cellStyle name="Normal 7 9 2 3 2" xfId="17491"/>
    <cellStyle name="Normal 7 9 2 3 3" xfId="13912"/>
    <cellStyle name="Normal 7 9 2 3 4" xfId="8655"/>
    <cellStyle name="Normal 7 9 2 4" xfId="6714"/>
    <cellStyle name="Normal 7 9 2 4 2" xfId="15798"/>
    <cellStyle name="Normal 7 9 2 5" xfId="10109"/>
    <cellStyle name="Normal 7 9 2 5 2" xfId="18936"/>
    <cellStyle name="Normal 7 9 2 6" xfId="11555"/>
    <cellStyle name="Normal 7 9 2 7" xfId="5192"/>
    <cellStyle name="Normal 7 9 3" xfId="1206"/>
    <cellStyle name="Normal 7 9 3 2" xfId="2926"/>
    <cellStyle name="Normal 7 9 3 2 2" xfId="16517"/>
    <cellStyle name="Normal 7 9 3 2 3" xfId="12939"/>
    <cellStyle name="Normal 7 9 3 2 4" xfId="7649"/>
    <cellStyle name="Normal 7 9 3 3" xfId="4194"/>
    <cellStyle name="Normal 7 9 3 3 2" xfId="17839"/>
    <cellStyle name="Normal 7 9 3 3 3" xfId="14260"/>
    <cellStyle name="Normal 7 9 3 3 4" xfId="9003"/>
    <cellStyle name="Normal 7 9 3 4" xfId="6756"/>
    <cellStyle name="Normal 7 9 3 4 2" xfId="15839"/>
    <cellStyle name="Normal 7 9 3 5" xfId="10457"/>
    <cellStyle name="Normal 7 9 3 5 2" xfId="19284"/>
    <cellStyle name="Normal 7 9 3 6" xfId="11903"/>
    <cellStyle name="Normal 7 9 3 7" xfId="5243"/>
    <cellStyle name="Normal 7 9 4" xfId="1355"/>
    <cellStyle name="Normal 7 9 4 2" xfId="2968"/>
    <cellStyle name="Normal 7 9 4 2 2" xfId="17881"/>
    <cellStyle name="Normal 7 9 4 2 3" xfId="14302"/>
    <cellStyle name="Normal 7 9 4 2 4" xfId="9045"/>
    <cellStyle name="Normal 7 9 4 3" xfId="10499"/>
    <cellStyle name="Normal 7 9 4 3 2" xfId="19326"/>
    <cellStyle name="Normal 7 9 4 4" xfId="11945"/>
    <cellStyle name="Normal 7 9 4 5" xfId="6940"/>
    <cellStyle name="Normal 7 9 5" xfId="1925"/>
    <cellStyle name="Normal 7 9 5 2" xfId="16836"/>
    <cellStyle name="Normal 7 9 5 3" xfId="13257"/>
    <cellStyle name="Normal 7 9 5 4" xfId="8000"/>
    <cellStyle name="Normal 7 9 6" xfId="6056"/>
    <cellStyle name="Normal 7 9 6 2" xfId="15140"/>
    <cellStyle name="Normal 7 9 7" xfId="9456"/>
    <cellStyle name="Normal 7 9 7 2" xfId="18283"/>
    <cellStyle name="Normal 7 9 8" xfId="10900"/>
    <cellStyle name="Normal 7 9 9" xfId="4534"/>
    <cellStyle name="Normal 7 9_Degree data" xfId="1832"/>
    <cellStyle name="Normal 7_Degree data" xfId="1799"/>
    <cellStyle name="Normal 70" xfId="177"/>
    <cellStyle name="Normal 70 2" xfId="3284"/>
    <cellStyle name="Normal 70 2 2" xfId="3355"/>
    <cellStyle name="Normal 70 2 2 2" xfId="16467"/>
    <cellStyle name="Normal 70 2 2 3" xfId="12889"/>
    <cellStyle name="Normal 70 2 2 4" xfId="7599"/>
    <cellStyle name="Normal 70 2 3" xfId="4346"/>
    <cellStyle name="Normal 70 2 3 2" xfId="18196"/>
    <cellStyle name="Normal 70 2 3 3" xfId="14617"/>
    <cellStyle name="Normal 70 2 3 4" xfId="9360"/>
    <cellStyle name="Normal 70 2 4" xfId="6715"/>
    <cellStyle name="Normal 70 2 4 2" xfId="15799"/>
    <cellStyle name="Normal 70 2 5" xfId="14629"/>
    <cellStyle name="Normal 70 2 6" xfId="12439"/>
    <cellStyle name="Normal 70 2 7" xfId="5193"/>
    <cellStyle name="Normal 70 3" xfId="6044"/>
    <cellStyle name="Normal 70 4" xfId="3299"/>
    <cellStyle name="Normal 71" xfId="44"/>
    <cellStyle name="Normal 72" xfId="45"/>
    <cellStyle name="Normal 73" xfId="178"/>
    <cellStyle name="Normal 73 2" xfId="3320"/>
    <cellStyle name="Normal 73 2 2" xfId="3356"/>
    <cellStyle name="Normal 73 2 2 2" xfId="16468"/>
    <cellStyle name="Normal 73 2 2 3" xfId="12890"/>
    <cellStyle name="Normal 73 2 2 4" xfId="7600"/>
    <cellStyle name="Normal 73 2 3" xfId="4344"/>
    <cellStyle name="Normal 73 2 3 2" xfId="18194"/>
    <cellStyle name="Normal 73 2 3 3" xfId="14615"/>
    <cellStyle name="Normal 73 2 3 4" xfId="9358"/>
    <cellStyle name="Normal 73 2 4" xfId="6716"/>
    <cellStyle name="Normal 73 2 4 2" xfId="15800"/>
    <cellStyle name="Normal 73 2 5" xfId="14630"/>
    <cellStyle name="Normal 73 2 6" xfId="12378"/>
    <cellStyle name="Normal 73 2 7" xfId="5194"/>
    <cellStyle name="Normal 73 3" xfId="6045"/>
    <cellStyle name="Normal 73 4" xfId="3302"/>
    <cellStyle name="Normal 74" xfId="171"/>
    <cellStyle name="Normal 74 2" xfId="3357"/>
    <cellStyle name="Normal 74 2 2" xfId="16469"/>
    <cellStyle name="Normal 74 2 3" xfId="12891"/>
    <cellStyle name="Normal 74 2 4" xfId="7601"/>
    <cellStyle name="Normal 74 3" xfId="4342"/>
    <cellStyle name="Normal 74 3 2" xfId="18193"/>
    <cellStyle name="Normal 74 3 3" xfId="14614"/>
    <cellStyle name="Normal 74 3 4" xfId="9357"/>
    <cellStyle name="Normal 74 4" xfId="6717"/>
    <cellStyle name="Normal 74 4 2" xfId="15801"/>
    <cellStyle name="Normal 74 5" xfId="14631"/>
    <cellStyle name="Normal 74 6" xfId="12313"/>
    <cellStyle name="Normal 74 7" xfId="5195"/>
    <cellStyle name="Normal 74 8" xfId="3280"/>
    <cellStyle name="Normal 75" xfId="172"/>
    <cellStyle name="Normal 75 2" xfId="3358"/>
    <cellStyle name="Normal 75 2 2" xfId="16470"/>
    <cellStyle name="Normal 75 2 3" xfId="12892"/>
    <cellStyle name="Normal 75 2 4" xfId="7602"/>
    <cellStyle name="Normal 75 3" xfId="4339"/>
    <cellStyle name="Normal 75 3 2" xfId="18190"/>
    <cellStyle name="Normal 75 3 3" xfId="14611"/>
    <cellStyle name="Normal 75 3 4" xfId="9354"/>
    <cellStyle name="Normal 75 4" xfId="6718"/>
    <cellStyle name="Normal 75 4 2" xfId="15802"/>
    <cellStyle name="Normal 75 5" xfId="14632"/>
    <cellStyle name="Normal 75 6" xfId="12274"/>
    <cellStyle name="Normal 75 7" xfId="5196"/>
    <cellStyle name="Normal 75 8" xfId="3304"/>
    <cellStyle name="Normal 76" xfId="290"/>
    <cellStyle name="Normal 76 2" xfId="3359"/>
    <cellStyle name="Normal 76 2 2" xfId="16471"/>
    <cellStyle name="Normal 76 2 3" xfId="12893"/>
    <cellStyle name="Normal 76 2 4" xfId="7603"/>
    <cellStyle name="Normal 76 3" xfId="4338"/>
    <cellStyle name="Normal 76 3 2" xfId="18189"/>
    <cellStyle name="Normal 76 3 3" xfId="14610"/>
    <cellStyle name="Normal 76 3 4" xfId="9353"/>
    <cellStyle name="Normal 76 4" xfId="6719"/>
    <cellStyle name="Normal 76 4 2" xfId="15803"/>
    <cellStyle name="Normal 76 5" xfId="14633"/>
    <cellStyle name="Normal 76 6" xfId="12469"/>
    <cellStyle name="Normal 76 7" xfId="5197"/>
    <cellStyle name="Normal 76 8" xfId="3291"/>
    <cellStyle name="Normal 77" xfId="291"/>
    <cellStyle name="Normal 77 2" xfId="3350"/>
    <cellStyle name="Normal 77 2 2" xfId="16117"/>
    <cellStyle name="Normal 77 2 3" xfId="12539"/>
    <cellStyle name="Normal 77 2 4" xfId="7248"/>
    <cellStyle name="Normal 77 3" xfId="4347"/>
    <cellStyle name="Normal 77 3 2" xfId="18197"/>
    <cellStyle name="Normal 77 3 3" xfId="14618"/>
    <cellStyle name="Normal 77 3 4" xfId="9361"/>
    <cellStyle name="Normal 77 4" xfId="6364"/>
    <cellStyle name="Normal 77 4 2" xfId="15448"/>
    <cellStyle name="Normal 77 5" xfId="14625"/>
    <cellStyle name="Normal 77 6" xfId="12440"/>
    <cellStyle name="Normal 77 7" xfId="4842"/>
    <cellStyle name="Normal 77 8" xfId="1869"/>
    <cellStyle name="Normal 78" xfId="1845"/>
    <cellStyle name="Normal 78 2" xfId="3360"/>
    <cellStyle name="Normal 78 2 2" xfId="16472"/>
    <cellStyle name="Normal 78 2 3" xfId="12894"/>
    <cellStyle name="Normal 78 2 4" xfId="7604"/>
    <cellStyle name="Normal 78 3" xfId="3373"/>
    <cellStyle name="Normal 78 3 2" xfId="16872"/>
    <cellStyle name="Normal 78 3 3" xfId="13293"/>
    <cellStyle name="Normal 78 3 4" xfId="8036"/>
    <cellStyle name="Normal 78 4" xfId="6720"/>
    <cellStyle name="Normal 78 4 2" xfId="15804"/>
    <cellStyle name="Normal 78 5" xfId="14634"/>
    <cellStyle name="Normal 78 6" xfId="12482"/>
    <cellStyle name="Normal 78 7" xfId="5198"/>
    <cellStyle name="Normal 79" xfId="3340"/>
    <cellStyle name="Normal 79 2" xfId="3351"/>
    <cellStyle name="Normal 79 2 2" xfId="16118"/>
    <cellStyle name="Normal 79 2 3" xfId="12540"/>
    <cellStyle name="Normal 79 2 4" xfId="7249"/>
    <cellStyle name="Normal 79 3" xfId="4345"/>
    <cellStyle name="Normal 79 3 2" xfId="18195"/>
    <cellStyle name="Normal 79 3 3" xfId="14616"/>
    <cellStyle name="Normal 79 3 4" xfId="9359"/>
    <cellStyle name="Normal 79 4" xfId="6365"/>
    <cellStyle name="Normal 79 4 2" xfId="15449"/>
    <cellStyle name="Normal 79 5" xfId="14626"/>
    <cellStyle name="Normal 79 6" xfId="12379"/>
    <cellStyle name="Normal 79 7" xfId="4843"/>
    <cellStyle name="Normal 8" xfId="27"/>
    <cellStyle name="Normal 8 2" xfId="125"/>
    <cellStyle name="Normal 8 3" xfId="116"/>
    <cellStyle name="Normal 80" xfId="3314"/>
    <cellStyle name="Normal 80 2" xfId="3352"/>
    <cellStyle name="Normal 80 2 2" xfId="16119"/>
    <cellStyle name="Normal 80 2 3" xfId="12541"/>
    <cellStyle name="Normal 80 2 4" xfId="7250"/>
    <cellStyle name="Normal 80 3" xfId="4341"/>
    <cellStyle name="Normal 80 3 2" xfId="18192"/>
    <cellStyle name="Normal 80 3 3" xfId="14613"/>
    <cellStyle name="Normal 80 3 4" xfId="9356"/>
    <cellStyle name="Normal 80 4" xfId="6366"/>
    <cellStyle name="Normal 80 4 2" xfId="15450"/>
    <cellStyle name="Normal 80 5" xfId="14627"/>
    <cellStyle name="Normal 80 6" xfId="12445"/>
    <cellStyle name="Normal 80 7" xfId="4844"/>
    <cellStyle name="Normal 80 9" xfId="19657"/>
    <cellStyle name="Normal 81" xfId="3318"/>
    <cellStyle name="Normal 81 2" xfId="3361"/>
    <cellStyle name="Normal 81 2 2" xfId="16473"/>
    <cellStyle name="Normal 81 2 3" xfId="12895"/>
    <cellStyle name="Normal 81 2 4" xfId="7605"/>
    <cellStyle name="Normal 81 3" xfId="3367"/>
    <cellStyle name="Normal 81 3 2" xfId="16825"/>
    <cellStyle name="Normal 81 3 3" xfId="13246"/>
    <cellStyle name="Normal 81 3 4" xfId="7964"/>
    <cellStyle name="Normal 81 4" xfId="6721"/>
    <cellStyle name="Normal 81 4 2" xfId="15805"/>
    <cellStyle name="Normal 81 5" xfId="14635"/>
    <cellStyle name="Normal 81 6" xfId="12438"/>
    <cellStyle name="Normal 81 7" xfId="5199"/>
    <cellStyle name="Normal 82" xfId="3303"/>
    <cellStyle name="Normal 82 2" xfId="3362"/>
    <cellStyle name="Normal 82 2 2" xfId="16474"/>
    <cellStyle name="Normal 82 2 3" xfId="12896"/>
    <cellStyle name="Normal 82 2 4" xfId="7606"/>
    <cellStyle name="Normal 82 3" xfId="4348"/>
    <cellStyle name="Normal 82 3 2" xfId="18198"/>
    <cellStyle name="Normal 82 3 3" xfId="14619"/>
    <cellStyle name="Normal 82 3 4" xfId="9362"/>
    <cellStyle name="Normal 82 4" xfId="6722"/>
    <cellStyle name="Normal 82 4 2" xfId="15806"/>
    <cellStyle name="Normal 82 5" xfId="14636"/>
    <cellStyle name="Normal 82 6" xfId="12377"/>
    <cellStyle name="Normal 82 7" xfId="5200"/>
    <cellStyle name="Normal 83" xfId="46"/>
    <cellStyle name="Normal 84" xfId="47"/>
    <cellStyle name="Normal 85" xfId="3285"/>
    <cellStyle name="Normal 85 2" xfId="3353"/>
    <cellStyle name="Normal 85 2 2" xfId="16120"/>
    <cellStyle name="Normal 85 2 3" xfId="12542"/>
    <cellStyle name="Normal 85 2 4" xfId="7251"/>
    <cellStyle name="Normal 85 3" xfId="4340"/>
    <cellStyle name="Normal 85 3 2" xfId="18191"/>
    <cellStyle name="Normal 85 3 3" xfId="14612"/>
    <cellStyle name="Normal 85 3 4" xfId="9355"/>
    <cellStyle name="Normal 85 4" xfId="6367"/>
    <cellStyle name="Normal 85 4 2" xfId="15451"/>
    <cellStyle name="Normal 85 5" xfId="14628"/>
    <cellStyle name="Normal 85 6" xfId="12506"/>
    <cellStyle name="Normal 85 7" xfId="4845"/>
    <cellStyle name="Normal 86" xfId="48"/>
    <cellStyle name="Normal 87" xfId="3313"/>
    <cellStyle name="Normal 87 2" xfId="3349"/>
    <cellStyle name="Normal 87 2 2" xfId="16116"/>
    <cellStyle name="Normal 87 2 3" xfId="12538"/>
    <cellStyle name="Normal 87 2 4" xfId="7247"/>
    <cellStyle name="Normal 87 3" xfId="4349"/>
    <cellStyle name="Normal 87 3 2" xfId="18199"/>
    <cellStyle name="Normal 87 3 3" xfId="14620"/>
    <cellStyle name="Normal 87 3 4" xfId="9363"/>
    <cellStyle name="Normal 87 4" xfId="6363"/>
    <cellStyle name="Normal 87 4 2" xfId="15447"/>
    <cellStyle name="Normal 87 5" xfId="14624"/>
    <cellStyle name="Normal 87 6" xfId="12465"/>
    <cellStyle name="Normal 87 7" xfId="4841"/>
    <cellStyle name="Normal 88" xfId="3364"/>
    <cellStyle name="Normal 88 2" xfId="19639"/>
    <cellStyle name="Normal 89" xfId="3366"/>
    <cellStyle name="Normal 9" xfId="117"/>
    <cellStyle name="Normal 9 2" xfId="287"/>
    <cellStyle name="Normal 9 2 10" xfId="4521"/>
    <cellStyle name="Normal 9 2 2" xfId="859"/>
    <cellStyle name="Normal 9 2 2 2" xfId="2579"/>
    <cellStyle name="Normal 9 2 2 2 2" xfId="16113"/>
    <cellStyle name="Normal 9 2 2 2 3" xfId="12535"/>
    <cellStyle name="Normal 9 2 2 2 4" xfId="7244"/>
    <cellStyle name="Normal 9 2 2 3" xfId="3847"/>
    <cellStyle name="Normal 9 2 2 3 2" xfId="17492"/>
    <cellStyle name="Normal 9 2 2 3 3" xfId="13913"/>
    <cellStyle name="Normal 9 2 2 3 4" xfId="8656"/>
    <cellStyle name="Normal 9 2 2 4" xfId="6360"/>
    <cellStyle name="Normal 9 2 2 4 2" xfId="15444"/>
    <cellStyle name="Normal 9 2 2 5" xfId="10110"/>
    <cellStyle name="Normal 9 2 2 5 2" xfId="18937"/>
    <cellStyle name="Normal 9 2 2 6" xfId="11556"/>
    <cellStyle name="Normal 9 2 2 7" xfId="4838"/>
    <cellStyle name="Normal 9 2 3" xfId="1207"/>
    <cellStyle name="Normal 9 2 3 2" xfId="2927"/>
    <cellStyle name="Normal 9 2 3 2 2" xfId="16475"/>
    <cellStyle name="Normal 9 2 3 2 3" xfId="12897"/>
    <cellStyle name="Normal 9 2 3 2 4" xfId="7607"/>
    <cellStyle name="Normal 9 2 3 3" xfId="4195"/>
    <cellStyle name="Normal 9 2 3 3 2" xfId="17840"/>
    <cellStyle name="Normal 9 2 3 3 3" xfId="14261"/>
    <cellStyle name="Normal 9 2 3 3 4" xfId="9004"/>
    <cellStyle name="Normal 9 2 3 4" xfId="6723"/>
    <cellStyle name="Normal 9 2 3 4 2" xfId="15807"/>
    <cellStyle name="Normal 9 2 3 5" xfId="10458"/>
    <cellStyle name="Normal 9 2 3 5 2" xfId="19285"/>
    <cellStyle name="Normal 9 2 3 6" xfId="11904"/>
    <cellStyle name="Normal 9 2 3 7" xfId="5201"/>
    <cellStyle name="Normal 9 2 4" xfId="1678"/>
    <cellStyle name="Normal 9 2 4 2" xfId="3272"/>
    <cellStyle name="Normal 9 2 4 2 2" xfId="16821"/>
    <cellStyle name="Normal 9 2 4 2 3" xfId="13242"/>
    <cellStyle name="Normal 9 2 4 2 4" xfId="7953"/>
    <cellStyle name="Normal 9 2 4 3" xfId="4335"/>
    <cellStyle name="Normal 9 2 4 3 2" xfId="18185"/>
    <cellStyle name="Normal 9 2 4 3 3" xfId="14606"/>
    <cellStyle name="Normal 9 2 4 3 4" xfId="9349"/>
    <cellStyle name="Normal 9 2 4 4" xfId="6041"/>
    <cellStyle name="Normal 9 2 4 4 2" xfId="15127"/>
    <cellStyle name="Normal 9 2 4 5" xfId="10803"/>
    <cellStyle name="Normal 9 2 4 5 2" xfId="19630"/>
    <cellStyle name="Normal 9 2 4 6" xfId="12249"/>
    <cellStyle name="Normal 9 2 4 7" xfId="5547"/>
    <cellStyle name="Normal 9 2 5" xfId="2229"/>
    <cellStyle name="Normal 9 2 5 2" xfId="15970"/>
    <cellStyle name="Normal 9 2 5 3" xfId="12295"/>
    <cellStyle name="Normal 9 2 5 4" xfId="6927"/>
    <cellStyle name="Normal 9 2 6" xfId="3497"/>
    <cellStyle name="Normal 9 2 6 2" xfId="17142"/>
    <cellStyle name="Normal 9 2 6 3" xfId="13563"/>
    <cellStyle name="Normal 9 2 6 4" xfId="8306"/>
    <cellStyle name="Normal 9 2 7" xfId="5867"/>
    <cellStyle name="Normal 9 2 7 2" xfId="14953"/>
    <cellStyle name="Normal 9 2 8" xfId="9760"/>
    <cellStyle name="Normal 9 2 8 2" xfId="18587"/>
    <cellStyle name="Normal 9 2 9" xfId="11204"/>
    <cellStyle name="Normal 9 2_Degree data" xfId="1833"/>
    <cellStyle name="Normal 90" xfId="3812"/>
    <cellStyle name="Normal 91" xfId="4343"/>
    <cellStyle name="Normal 92" xfId="5551"/>
    <cellStyle name="Normal 92 2" xfId="19640"/>
    <cellStyle name="Normal 93" xfId="6725"/>
    <cellStyle name="Normal 93 2" xfId="19641"/>
    <cellStyle name="Normal 94" xfId="9365"/>
    <cellStyle name="Normal 94 2" xfId="19643"/>
    <cellStyle name="Normal 95" xfId="9364"/>
    <cellStyle name="Normal 95 2" xfId="19642"/>
    <cellStyle name="Normal 96" xfId="9369"/>
    <cellStyle name="Normal 96 2" xfId="19644"/>
    <cellStyle name="Normal 97" xfId="9370"/>
    <cellStyle name="Normal 97 2" xfId="19645"/>
    <cellStyle name="Normal 98" xfId="49"/>
    <cellStyle name="Normal 99" xfId="9372"/>
    <cellStyle name="Normal 99 2" xfId="19647"/>
    <cellStyle name="Normal_03TTA09mastersurvey" xfId="15"/>
    <cellStyle name="Normal_05InstructionTypes09mastersurvey" xfId="2"/>
    <cellStyle name="Normal_Degree02 Form 2" xfId="5"/>
    <cellStyle name="Normal_Degree02 Form 3" xfId="19649"/>
    <cellStyle name="Normal_Degrees02 Form" xfId="19651"/>
    <cellStyle name="Normal_Degrees02 Form 2" xfId="19648"/>
    <cellStyle name="Normal_Degrees02 Form 3" xfId="19676"/>
    <cellStyle name="Normal_E-learning04 Form" xfId="4"/>
    <cellStyle name="Normal_Funding02 Form" xfId="19677"/>
    <cellStyle name="Normal_InstructionTypes07" xfId="3"/>
    <cellStyle name="Normal_SCH&amp;FTE02 Form" xfId="19665"/>
    <cellStyle name="Normal_SCH&amp;FTE03 Form" xfId="19674"/>
    <cellStyle name="Normal_StProg01B" xfId="19673"/>
    <cellStyle name="Normal_StProg01B 2" xfId="8"/>
    <cellStyle name="Normal_StProg02 Form" xfId="19666"/>
    <cellStyle name="Normal_StProg02 Form 2" xfId="19675"/>
    <cellStyle name="Normal_Tuition02 Form" xfId="19672"/>
    <cellStyle name="Note 2" xfId="3329"/>
    <cellStyle name="Note 2 2" xfId="3288"/>
    <cellStyle name="Note 2 3" xfId="3310"/>
    <cellStyle name="Note 2 4" xfId="3363"/>
    <cellStyle name="Note 2 4 2" xfId="16476"/>
    <cellStyle name="Note 2 4 3" xfId="12898"/>
    <cellStyle name="Note 2 4 4" xfId="7608"/>
    <cellStyle name="Note 2 5" xfId="3372"/>
    <cellStyle name="Note 2 5 2" xfId="16871"/>
    <cellStyle name="Note 2 5 3" xfId="13292"/>
    <cellStyle name="Note 2 5 4" xfId="8035"/>
    <cellStyle name="Note 2 6" xfId="6724"/>
    <cellStyle name="Note 2 6 2" xfId="15808"/>
    <cellStyle name="Note 2 7" xfId="14637"/>
    <cellStyle name="Note 2 8" xfId="12500"/>
    <cellStyle name="Note 2 9" xfId="5202"/>
    <cellStyle name="Note 3" xfId="3325"/>
    <cellStyle name="Note 4" xfId="3294"/>
    <cellStyle name="Output 2" xfId="3339"/>
    <cellStyle name="Output 3" xfId="3295"/>
    <cellStyle name="Percent" xfId="1" builtinId="5"/>
    <cellStyle name="Percent 2" xfId="20"/>
    <cellStyle name="Percent 2 2" xfId="122"/>
    <cellStyle name="Percent 2 2 2" xfId="167"/>
    <cellStyle name="Percent 2 2 3" xfId="157"/>
    <cellStyle name="Percent 2 3" xfId="90"/>
    <cellStyle name="Percent 2 3 2" xfId="3290"/>
    <cellStyle name="Percent 3" xfId="21"/>
    <cellStyle name="Percent 4" xfId="25"/>
    <cellStyle name="Percent 5" xfId="93"/>
    <cellStyle name="Percent 6" xfId="51"/>
    <cellStyle name="Percent 6 2" xfId="3282"/>
    <cellStyle name="questionable" xfId="52"/>
    <cellStyle name="questionable 2" xfId="107"/>
    <cellStyle name="review" xfId="53"/>
    <cellStyle name="Title 2" xfId="3279"/>
    <cellStyle name="Total 2" xfId="3289"/>
    <cellStyle name="Total 3" xfId="3337"/>
    <cellStyle name="Warning Text 2" xfId="3336"/>
  </cellStyles>
  <dxfs count="2639">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condense val="0"/>
        <extend val="0"/>
        <color indexed="10"/>
      </font>
    </dxf>
    <dxf>
      <font>
        <condense val="0"/>
        <extend val="0"/>
        <color indexed="10"/>
      </font>
    </dxf>
    <dxf>
      <fill>
        <patternFill patternType="none">
          <bgColor auto="1"/>
        </patternFill>
      </fill>
    </dxf>
    <dxf>
      <border>
        <left/>
      </border>
    </dxf>
    <dxf>
      <border>
        <left/>
      </border>
    </dxf>
    <dxf>
      <border>
        <left/>
      </border>
    </dxf>
    <dxf>
      <border>
        <left/>
      </border>
    </dxf>
    <dxf>
      <border>
        <left/>
      </border>
    </dxf>
    <dxf>
      <border>
        <left/>
      </border>
    </dxf>
    <dxf>
      <border>
        <left/>
      </border>
    </dxf>
    <dxf>
      <border>
        <left/>
      </border>
    </dxf>
    <dxf>
      <border>
        <lef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font>
    </dxf>
    <dxf>
      <fill>
        <patternFill patternType="none">
          <bgColor auto="1"/>
        </patternFill>
      </fill>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font>
    </dxf>
    <dxf>
      <font>
        <b/>
      </font>
    </dxf>
    <dxf>
      <font>
        <b/>
      </font>
    </dxf>
    <dxf>
      <font>
        <b/>
      </font>
    </dxf>
    <dxf>
      <font>
        <b/>
      </font>
    </dxf>
    <dxf>
      <font>
        <b/>
      </font>
    </dxf>
    <dxf>
      <font>
        <b/>
      </font>
    </dxf>
    <dxf>
      <font>
        <b/>
      </font>
    </dxf>
    <dxf>
      <font>
        <b/>
      </font>
    </dxf>
    <dxf>
      <font>
        <color indexed="23"/>
      </font>
    </dxf>
    <dxf>
      <font>
        <color indexed="23"/>
      </font>
    </dxf>
    <dxf>
      <font>
        <color indexed="61"/>
      </font>
    </dxf>
    <dxf>
      <font>
        <color indexed="61"/>
      </font>
    </dxf>
    <dxf>
      <font>
        <color indexed="61"/>
      </font>
    </dxf>
    <dxf>
      <font>
        <color indexed="17"/>
      </font>
    </dxf>
    <dxf>
      <font>
        <color indexed="17"/>
      </font>
    </dxf>
    <dxf>
      <font>
        <color indexed="53"/>
      </font>
    </dxf>
    <dxf>
      <font>
        <color indexed="53"/>
      </font>
    </dxf>
    <dxf>
      <font>
        <color indexed="53"/>
      </font>
    </dxf>
    <dxf>
      <numFmt numFmtId="165" formatCode="_(* #,##0_);_(* \(#,##0\);_(* &quot;-&quot;??_);_(@_)"/>
    </dxf>
    <dxf>
      <fill>
        <patternFill patternType="none"/>
      </fill>
    </dxf>
    <dxf>
      <border>
        <bottom style="thin">
          <color indexed="64"/>
        </bottom>
      </border>
    </dxf>
    <dxf>
      <border>
        <bottom style="thin">
          <color indexed="64"/>
        </bottom>
      </border>
    </dxf>
    <dxf>
      <border>
        <bottom style="thin">
          <color indexed="64"/>
        </bottom>
      </border>
    </dxf>
    <dxf>
      <border>
        <bottom style="thin">
          <color indexed="8"/>
        </bottom>
      </border>
    </dxf>
    <dxf>
      <border>
        <top style="thin">
          <color indexed="8"/>
        </top>
      </border>
    </dxf>
    <dxf>
      <border>
        <top style="thin">
          <color indexed="8"/>
        </top>
      </border>
    </dxf>
    <dxf>
      <border>
        <top style="thin">
          <color indexed="8"/>
        </top>
      </border>
    </dxf>
    <dxf>
      <border>
        <top style="thin">
          <color indexed="8"/>
        </top>
      </border>
    </dxf>
    <dxf>
      <border>
        <bottom style="thin">
          <color indexed="64"/>
        </bottom>
      </border>
    </dxf>
    <dxf>
      <border>
        <bottom style="thin">
          <color indexed="64"/>
        </bottom>
      </border>
    </dxf>
    <dxf>
      <border>
        <top/>
      </border>
    </dxf>
    <dxf>
      <fill>
        <patternFill patternType="solid">
          <bgColor indexed="43"/>
        </patternFill>
      </fill>
    </dxf>
    <dxf>
      <fill>
        <patternFill patternType="solid">
          <bgColor indexed="51"/>
        </patternFill>
      </fill>
    </dxf>
    <dxf>
      <fill>
        <patternFill patternType="solid">
          <bgColor indexed="45"/>
        </patternFill>
      </fill>
    </dxf>
    <dxf>
      <fill>
        <patternFill patternType="solid">
          <bgColor indexed="47"/>
        </patternFill>
      </fill>
    </dxf>
    <dxf>
      <font>
        <b val="0"/>
      </font>
    </dxf>
    <dxf>
      <font>
        <b val="0"/>
      </font>
    </dxf>
    <dxf>
      <border>
        <top style="thin">
          <color indexed="8"/>
        </top>
        <bottom/>
      </border>
    </dxf>
    <dxf>
      <font>
        <b/>
      </font>
    </dxf>
    <dxf>
      <border>
        <top style="thin">
          <color indexed="8"/>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3" formatCode="0%"/>
    </dxf>
    <dxf>
      <numFmt numFmtId="13" formatCode="0%"/>
    </dxf>
    <dxf>
      <numFmt numFmtId="13"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bottom style="medium">
          <color indexed="8"/>
        </bottom>
      </border>
    </dxf>
    <dxf>
      <border>
        <bottom style="medium">
          <color indexed="8"/>
        </bottom>
      </border>
    </dxf>
    <dxf>
      <border>
        <bottom style="medium">
          <color indexed="8"/>
        </bottom>
      </border>
    </dxf>
    <dxf>
      <border>
        <right/>
      </border>
    </dxf>
    <dxf>
      <border>
        <right/>
      </border>
    </dxf>
    <dxf>
      <border>
        <right/>
      </border>
    </dxf>
    <dxf>
      <border>
        <right/>
      </border>
    </dxf>
    <dxf>
      <border>
        <right/>
      </border>
    </dxf>
    <dxf>
      <border>
        <left style="thin">
          <color indexed="64"/>
        </left>
      </border>
    </dxf>
    <dxf>
      <border>
        <left style="thin">
          <color indexed="64"/>
        </left>
      </border>
    </dxf>
    <dxf>
      <border>
        <left style="thin">
          <color indexed="64"/>
        </left>
      </border>
    </dxf>
    <dxf>
      <font>
        <color auto="1"/>
      </font>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border>
        <top style="thin">
          <color indexed="64"/>
        </top>
      </border>
    </dxf>
    <dxf>
      <border>
        <right style="thin">
          <color indexed="64"/>
        </right>
      </border>
    </dxf>
    <dxf>
      <border>
        <left/>
      </border>
    </dxf>
    <dxf>
      <border>
        <left/>
      </border>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val="0"/>
      </font>
    </dxf>
    <dxf>
      <font>
        <b val="0"/>
      </font>
    </dxf>
    <dxf>
      <font>
        <b val="0"/>
      </font>
    </dxf>
    <dxf>
      <font>
        <b val="0"/>
      </font>
    </dxf>
    <dxf>
      <font>
        <b val="0"/>
      </font>
    </dxf>
    <dxf>
      <font>
        <b/>
      </font>
    </dxf>
    <dxf>
      <border>
        <bottom style="thin">
          <color indexed="64"/>
        </bottom>
      </border>
    </dxf>
    <dxf>
      <numFmt numFmtId="166" formatCode="0.0%"/>
    </dxf>
    <dxf>
      <numFmt numFmtId="13" formatCode="0%"/>
    </dxf>
    <dxf>
      <numFmt numFmtId="13" formatCode="0%"/>
    </dxf>
    <dxf>
      <numFmt numFmtId="13" formatCode="0%"/>
    </dxf>
  </dxfs>
  <tableStyles count="0" defaultTableStyle="TableStyleMedium9" defaultPivotStyle="PivotStyleLight16"/>
  <colors>
    <mruColors>
      <color rgb="FF006600"/>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marks" refreshedDate="41311.547088310188" createdVersion="4" refreshedVersion="4" minRefreshableVersion="3" recordCount="561">
  <cacheSource type="worksheet">
    <worksheetSource ref="A6:AG6" sheet="E-learning credit hours"/>
  </cacheSource>
  <cacheFields count="74">
    <cacheField name="State" numFmtId="49">
      <sharedItems count="17">
        <s v="AL"/>
        <s v="AR"/>
        <s v="DE"/>
        <s v="FL"/>
        <s v="GA"/>
        <s v="KY"/>
        <s v="LA"/>
        <s v="MD"/>
        <s v="MS"/>
        <s v="NC"/>
        <s v="OK"/>
        <s v="SC"/>
        <s v="TN"/>
        <s v="TX"/>
        <s v="VA"/>
        <s v="WV"/>
        <s v="GA " u="1"/>
      </sharedItems>
    </cacheField>
    <cacheField name="Institution" numFmtId="0">
      <sharedItems containsBlank="1"/>
    </cacheField>
    <cacheField name="Note" numFmtId="0">
      <sharedItems containsBlank="1"/>
    </cacheField>
    <cacheField name="ID" numFmtId="0">
      <sharedItems containsBlank="1" containsMixedTypes="1" containsNumber="1" containsInteger="1" minValue="100654" maxValue="447582"/>
    </cacheField>
    <cacheField name="type" numFmtId="0">
      <sharedItems containsSemiMixedTypes="0" containsString="0" containsNumber="1" containsInteger="1" minValue="1" maxValue="99" count="16">
        <n v="1"/>
        <n v="2"/>
        <n v="3"/>
        <n v="4"/>
        <n v="5"/>
        <n v="6"/>
        <n v="8"/>
        <n v="9"/>
        <n v="10"/>
        <n v="12"/>
        <n v="13"/>
        <n v="7"/>
        <n v="15"/>
        <n v="99"/>
        <n v="14" u="1"/>
        <n v="16" u="1"/>
      </sharedItems>
      <fieldGroup par="70"/>
    </cacheField>
    <cacheField name="OLD-Tot UG SCH Calc" numFmtId="3">
      <sharedItems containsString="0" containsBlank="1" containsNumber="1" minValue="0" maxValue="1571735"/>
    </cacheField>
    <cacheField name="NEW-Tot UG SCH Calc" numFmtId="3">
      <sharedItems containsString="0" containsBlank="1" containsNumber="1" minValue="0" maxValue="1654124"/>
    </cacheField>
    <cacheField name="Old-UG OnC Trad" numFmtId="0">
      <sharedItems containsString="0" containsBlank="1" containsNumber="1" minValue="0" maxValue="1423962"/>
    </cacheField>
    <cacheField name="New-UG OnC Trad" numFmtId="0">
      <sharedItems containsString="0" containsBlank="1" containsNumber="1" minValue="0" maxValue="1203140"/>
    </cacheField>
    <cacheField name="Old-UG OffC Trad" numFmtId="0">
      <sharedItems containsString="0" containsBlank="1" containsNumber="1" minValue="0" maxValue="273747"/>
    </cacheField>
    <cacheField name="New-UG OffC Trad" numFmtId="0">
      <sharedItems containsString="0" containsBlank="1" containsNumber="1" minValue="0" maxValue="242139"/>
    </cacheField>
    <cacheField name="Old-UG EL Web" numFmtId="3">
      <sharedItems containsString="0" containsBlank="1" containsNumber="1" minValue="0" maxValue="365434"/>
    </cacheField>
    <cacheField name="Old-UG EL CV" numFmtId="3">
      <sharedItems containsBlank="1" containsMixedTypes="1" containsNumber="1" minValue="0" maxValue="34806"/>
    </cacheField>
    <cacheField name="Old-UG EL O" numFmtId="3">
      <sharedItems containsString="0" containsBlank="1" containsNumber="1" containsInteger="1" minValue="0" maxValue="155687"/>
    </cacheField>
    <cacheField name="New-UG EL Web" numFmtId="3">
      <sharedItems containsString="0" containsBlank="1" containsNumber="1" minValue="0" maxValue="425286"/>
    </cacheField>
    <cacheField name="New-UG EL CV" numFmtId="3">
      <sharedItems containsString="0" containsBlank="1" containsNumber="1" minValue="0" maxValue="32683"/>
    </cacheField>
    <cacheField name="New-UG EL O" numFmtId="3">
      <sharedItems containsString="0" containsBlank="1" containsNumber="1" containsInteger="1" minValue="0" maxValue="284541"/>
    </cacheField>
    <cacheField name="Old-UG Cor" numFmtId="3">
      <sharedItems containsString="0" containsBlank="1" containsNumber="1" containsInteger="1" minValue="0" maxValue="15618"/>
    </cacheField>
    <cacheField name="New-UG Cor" numFmtId="0">
      <sharedItems containsString="0" containsBlank="1" containsNumber="1" minValue="0" maxValue="9684"/>
    </cacheField>
    <cacheField name="Old-Tot G SCH Calc" numFmtId="3">
      <sharedItems containsString="0" containsBlank="1" containsNumber="1" minValue="0" maxValue="357500"/>
    </cacheField>
    <cacheField name="New-Tot G SCH Calc" numFmtId="3">
      <sharedItems containsString="0" containsBlank="1" containsNumber="1" minValue="0" maxValue="317112"/>
    </cacheField>
    <cacheField name="Old-G OnC Trad" numFmtId="3">
      <sharedItems containsString="0" containsBlank="1" containsNumber="1" minValue="0" maxValue="268094"/>
    </cacheField>
    <cacheField name="New-G OnC Trad" numFmtId="0">
      <sharedItems containsString="0" containsBlank="1" containsNumber="1" minValue="0" maxValue="268587"/>
    </cacheField>
    <cacheField name="Old-G OffC Trad" numFmtId="3">
      <sharedItems containsString="0" containsBlank="1" containsNumber="1" minValue="0" maxValue="35031"/>
    </cacheField>
    <cacheField name="New-G OffC Trad" numFmtId="0">
      <sharedItems containsString="0" containsBlank="1" containsNumber="1" minValue="0" maxValue="37212"/>
    </cacheField>
    <cacheField name="Old-G EL Web" numFmtId="3">
      <sharedItems containsString="0" containsBlank="1" containsNumber="1" minValue="0" maxValue="173875"/>
    </cacheField>
    <cacheField name="Old-G EL CV" numFmtId="3">
      <sharedItems containsString="0" containsBlank="1" containsNumber="1" minValue="0" maxValue="11811"/>
    </cacheField>
    <cacheField name="Old-G EL O" numFmtId="3">
      <sharedItems containsString="0" containsBlank="1" containsNumber="1" containsInteger="1" minValue="0" maxValue="46428"/>
    </cacheField>
    <cacheField name="New-G EL Web" numFmtId="0">
      <sharedItems containsString="0" containsBlank="1" containsNumber="1" minValue="0" maxValue="189917"/>
    </cacheField>
    <cacheField name="New-G EL CV" numFmtId="0">
      <sharedItems containsString="0" containsBlank="1" containsNumber="1" containsInteger="1" minValue="0" maxValue="11505"/>
    </cacheField>
    <cacheField name="New-G EL O" numFmtId="0">
      <sharedItems containsString="0" containsBlank="1" containsNumber="1" minValue="0" maxValue="9024"/>
    </cacheField>
    <cacheField name="Old-G Cor" numFmtId="0">
      <sharedItems containsString="0" containsBlank="1" containsNumber="1" containsInteger="1" minValue="0" maxValue="5639"/>
    </cacheField>
    <cacheField name="New-G Cor" numFmtId="0">
      <sharedItems containsString="0" containsBlank="1" containsNumber="1" containsInteger="1" minValue="0" maxValue="6327"/>
    </cacheField>
    <cacheField name="Old %UG OffC Trad" numFmtId="0" formula="IF('OLD-Tot UG SCH Calc'&gt;0,'Old-UG OffC Trad'/'OLD-Tot UG SCH Calc',)" databaseField="0"/>
    <cacheField name="Old %G OffC Trad" numFmtId="0" formula="IF('Old-Tot G SCH Calc'&gt;0,'Old-G OffC Trad'/'Old-Tot G SCH Calc',)" databaseField="0"/>
    <cacheField name="Old %G OnC Trad" numFmtId="0" formula="IF('Old-Tot G SCH Calc'&gt;0,'Old-G OnC Trad'/'Old-Tot G SCH Calc',)" databaseField="0"/>
    <cacheField name="New %G OnC Trad" numFmtId="0" formula="IF('New-Tot G SCH Calc'&gt;0,'New-G OnC Trad'/'New-Tot G SCH Calc',)" databaseField="0"/>
    <cacheField name="New %G OffC Trad" numFmtId="0" formula="IF('New-Tot G SCH Calc'&gt;0,'New-G OffC Trad'/'New-Tot G SCH Calc',)" databaseField="0"/>
    <cacheField name="Old %UG EL Web" numFmtId="0" formula="IF('OLD-Tot UG SCH Calc'&gt;0,'Old-UG EL Web'/'OLD-Tot UG SCH Calc',)" databaseField="0"/>
    <cacheField name="New %UG EL Web" numFmtId="0" formula="IF('NEW-Tot UG SCH Calc'&gt;0,'New-UG EL Web'/'NEW-Tot UG SCH Calc',)" databaseField="0"/>
    <cacheField name="New %G EL Web" numFmtId="0" formula="IF('New-Tot G SCH Calc'&gt;0,'New-G EL Web'/'New-Tot G SCH Calc',)" databaseField="0"/>
    <cacheField name="Old %G EL Web" numFmtId="0" formula="IF('Old-Tot G SCH Calc'&gt;0,'Old-G EL Web'/'Old-Tot G SCH Calc',)" databaseField="0"/>
    <cacheField name="Old %G EL CV" numFmtId="0" formula="IF('Old-Tot G SCH Calc'&gt;0,'Old-G EL CV'/'Old-Tot G SCH Calc',)" databaseField="0"/>
    <cacheField name="New %G EL CV" numFmtId="0" formula="IF('New-Tot G SCH Calc'&gt;0,'New-G EL CV'/'New-Tot G SCH Calc',)" databaseField="0"/>
    <cacheField name="New %UG EL CV" numFmtId="0" formula="IF('NEW-Tot UG SCH Calc'&gt;0,'New-UG EL CV'/'NEW-Tot UG SCH Calc',)" databaseField="0"/>
    <cacheField name="Old %UG EL CV" numFmtId="0" formula="IF('OLD-Tot UG SCH Calc'&gt;0,'Old-UG EL CV'/'OLD-Tot UG SCH Calc',)" databaseField="0"/>
    <cacheField name="Old %UG EL O" numFmtId="0" formula="IF('OLD-Tot UG SCH Calc'&gt;0,'Old-UG EL O'/'OLD-Tot UG SCH Calc',)" databaseField="0"/>
    <cacheField name="New %UG EL O" numFmtId="0" formula="IF('NEW-Tot UG SCH Calc'&gt;0,'New-UG EL O'/'NEW-Tot UG SCH Calc',)" databaseField="0"/>
    <cacheField name="New %G EL O" numFmtId="0" formula="IF('New-Tot G SCH Calc'&gt;0,'New-G EL O'/'New-Tot G SCH Calc',)" databaseField="0"/>
    <cacheField name="Old %G EL O" numFmtId="0" formula="IF('Old-Tot G SCH Calc'&gt;0,'Old-G EL O'/'Old-Tot G SCH Calc',)" databaseField="0"/>
    <cacheField name="Old %G Cor" numFmtId="0" formula="IF('Old-Tot G SCH Calc'&gt;0,'Old-G Cor'/'Old-Tot G SCH Calc',)" databaseField="0"/>
    <cacheField name="New %G Cor" numFmtId="0" formula="IF('New-Tot G SCH Calc'&gt;0,'New-G Cor'/'New-Tot G SCH Calc',)" databaseField="0"/>
    <cacheField name="New %UG Cor" numFmtId="0" formula="IF('NEW-Tot UG SCH Calc'&gt;0,'New-UG Cor'/'NEW-Tot UG SCH Calc',)" databaseField="0"/>
    <cacheField name="Old %UG Cor" numFmtId="0" formula="IF('OLD-Tot UG SCH Calc'&gt;0,'Old-UG Cor'/'OLD-Tot UG SCH Calc',)" databaseField="0"/>
    <cacheField name="Change %UG OnC Trad" numFmtId="0" formula="IF(('Old %UG OnC Trad'&gt;0),('New %UG OnC Trad'-'Old %UG OnC Trad'),)*100" databaseField="0"/>
    <cacheField name="Change %G OnC Trad" numFmtId="0" formula="IF('Old %G OnC Trad'&gt;0,('New %G OnC Trad'-'Old %G OnC Trad'),)*100" databaseField="0"/>
    <cacheField name="Change %G OffC Trad" numFmtId="0" formula="IF('Old %G OffC Trad'&gt;0,('New %G OffC Trad'-'Old %G OffC Trad'),)*100" databaseField="0"/>
    <cacheField name="Change %UG OffC Trad" numFmtId="0" formula="IF('Old %UG OffC Trad'&gt;0,('New %UG OffC Trad'-'Old %UG OffC Trad'),)*100" databaseField="0"/>
    <cacheField name="Change %UG EL Web" numFmtId="0" formula="IF('Old %UG EL Web'&gt;0,('New %UG EL Web'-'Old %UG EL Web'),)*100" databaseField="0"/>
    <cacheField name="Change %G EL Web" numFmtId="0" formula="IF('Old %G EL Web'&gt;0,('New %G EL Web'-'Old %G EL Web'),)*100" databaseField="0"/>
    <cacheField name="Change %G EL CV" numFmtId="0" formula="IF('Old %G EL CV'&gt;0,('New %G EL CV'-'Old %G EL CV'),)*100" databaseField="0"/>
    <cacheField name="Change %UG EL CV" numFmtId="0" formula="IF('Old %UG EL CV'&gt;0,('New %UG EL CV'-'Old %UG EL CV'),)*100" databaseField="0"/>
    <cacheField name="Change %UG EL O" numFmtId="0" formula="IF('Old %UG EL O'&gt;0,('New %UG EL O'-'Old %UG EL O'),)*100" databaseField="0"/>
    <cacheField name="Change %G EL O" numFmtId="0" formula="IF('Old %G EL O'&gt;0,('New %G EL O'-'Old %G EL O'),)*100" databaseField="0"/>
    <cacheField name="Change %G Cor" numFmtId="0" formula="IF('Old %G Cor'&gt;0,('New %G Cor'-'Old %G Cor'),)*100" databaseField="0"/>
    <cacheField name="Change %UG Cor" numFmtId="0" formula="IF('Old %UG Cor'&gt;0,('New %UG Cor'-'Old %UG Cor'),)*100" databaseField="0"/>
    <cacheField name="Old UG E-Learning" numFmtId="0" formula="'Old-UG EL Web'+'Old-UG EL CV'+'Old-UG EL O'" databaseField="0"/>
    <cacheField name="Old G E-Learning" numFmtId="0" formula="'Old-G EL Web'+'Old-G EL CV'+'Old-G EL O'" databaseField="0"/>
    <cacheField name="New UG E-Learning" numFmtId="0" formula="'New-UG EL Web'+'New-UG EL CV'+'New-UG EL O'" databaseField="0"/>
    <cacheField name="New G E-Learning" numFmtId="0" formula="'New-G EL Web'+'New-G EL CV'+'New-G EL O'" databaseField="0"/>
    <cacheField name="type2" numFmtId="0" databaseField="0">
      <fieldGroup base="4">
        <discretePr count="16">
          <x v="2"/>
          <x v="2"/>
          <x v="2"/>
          <x v="2"/>
          <x v="2"/>
          <x v="2"/>
          <x v="3"/>
          <x v="3"/>
          <x v="3"/>
          <x v="4"/>
          <x v="4"/>
          <x v="3"/>
          <x v="2"/>
          <x v="2"/>
          <x v="0"/>
          <x v="1"/>
        </discretePr>
        <groupItems count="5">
          <n v="14"/>
          <n v="16"/>
          <s v="Group1"/>
          <s v="Group2"/>
          <s v="Group3"/>
        </groupItems>
      </fieldGroup>
    </cacheField>
    <cacheField name="New %UG OffC Trad" numFmtId="0" formula="IF('NEW-Tot UG SCH Calc'&gt;0,'New-UG OffC Trad'/'NEW-Tot UG SCH Calc',)" databaseField="0"/>
    <cacheField name="New %UG OnC Trad" numFmtId="0" formula="IF('NEW-Tot UG SCH Calc'&gt;0,'New-UG OnC Trad'/'NEW-Tot UG SCH Calc',)" databaseField="0"/>
    <cacheField name="Old %UG OnC Trad" numFmtId="0" formula="IF('OLD-Tot UG SCH Calc'&gt;0,'Old-UG OnC Trad'/'OLD-Tot UG SCH Calc',)"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isa Cowan" refreshedDate="42438.568559722225" createdVersion="6" refreshedVersion="6" minRefreshableVersion="3" recordCount="594">
  <cacheSource type="worksheet">
    <worksheetSource ref="A6:AG600" sheet="E-learning credit hours"/>
  </cacheSource>
  <cacheFields count="74">
    <cacheField name="State" numFmtId="49">
      <sharedItems count="16">
        <s v="AL"/>
        <s v="AR"/>
        <s v="DE"/>
        <s v="FL"/>
        <s v="GA"/>
        <s v="KY"/>
        <s v="LA"/>
        <s v="MD"/>
        <s v="MS"/>
        <s v="NC"/>
        <s v="OK"/>
        <s v="SC"/>
        <s v="TN"/>
        <s v="TX"/>
        <s v="VA"/>
        <s v="WV"/>
      </sharedItems>
    </cacheField>
    <cacheField name="Institution" numFmtId="0">
      <sharedItems containsBlank="1"/>
    </cacheField>
    <cacheField name="Note" numFmtId="0">
      <sharedItems containsBlank="1"/>
    </cacheField>
    <cacheField name="ID" numFmtId="0">
      <sharedItems containsBlank="1" containsMixedTypes="1" containsNumber="1" containsInteger="1" minValue="100654" maxValue="870501"/>
    </cacheField>
    <cacheField name="type" numFmtId="0">
      <sharedItems containsString="0" containsBlank="1" containsNumber="1" containsInteger="1" minValue="1" maxValue="99" count="17">
        <n v="1"/>
        <n v="2"/>
        <n v="3"/>
        <n v="4"/>
        <n v="5"/>
        <n v="6"/>
        <n v="8"/>
        <n v="9"/>
        <n v="10"/>
        <n v="12"/>
        <n v="13"/>
        <n v="15"/>
        <n v="7"/>
        <m/>
        <n v="99"/>
        <n v="14" u="1"/>
        <n v="16" u="1"/>
      </sharedItems>
      <fieldGroup par="70"/>
    </cacheField>
    <cacheField name="OLD-Tot UG SCH Calc" numFmtId="3">
      <sharedItems containsSemiMixedTypes="0" containsString="0" containsNumber="1" minValue="0" maxValue="1544556"/>
    </cacheField>
    <cacheField name="NEW-Tot UG SCH Calc" numFmtId="3">
      <sharedItems containsSemiMixedTypes="0" containsString="0" containsNumber="1" minValue="0" maxValue="1513655"/>
    </cacheField>
    <cacheField name="Old-UG OnC Trad" numFmtId="3">
      <sharedItems containsString="0" containsBlank="1" containsNumber="1" minValue="0" maxValue="1416762"/>
    </cacheField>
    <cacheField name="New-UG OnC Trad" numFmtId="0">
      <sharedItems containsString="0" containsBlank="1" containsNumber="1" minValue="0" maxValue="1385524"/>
    </cacheField>
    <cacheField name="Old-UG OffC Trad" numFmtId="0">
      <sharedItems containsString="0" containsBlank="1" containsNumber="1" minValue="0" maxValue="271948"/>
    </cacheField>
    <cacheField name="New-UG OffC Trad" numFmtId="0">
      <sharedItems containsBlank="1" containsMixedTypes="1" containsNumber="1" minValue="0" maxValue="273421"/>
    </cacheField>
    <cacheField name="Old-UG EL Web" numFmtId="3">
      <sharedItems containsString="0" containsBlank="1" containsNumber="1" minValue="0" maxValue="505323"/>
    </cacheField>
    <cacheField name="Old-UG EL CV" numFmtId="3">
      <sharedItems containsString="0" containsBlank="1" containsNumber="1" containsInteger="1" minValue="0" maxValue="58995"/>
    </cacheField>
    <cacheField name="Old-UG EL O" numFmtId="0">
      <sharedItems containsString="0" containsBlank="1" containsNumber="1" containsInteger="1" minValue="0" maxValue="63081"/>
    </cacheField>
    <cacheField name="New-UG EL Web" numFmtId="0">
      <sharedItems containsString="0" containsBlank="1" containsNumber="1" minValue="0" maxValue="555847"/>
    </cacheField>
    <cacheField name="New-UG EL CV" numFmtId="0">
      <sharedItems containsString="0" containsBlank="1" containsNumber="1" containsInteger="1" minValue="0" maxValue="25747"/>
    </cacheField>
    <cacheField name="New-UG EL O" numFmtId="0">
      <sharedItems containsBlank="1" containsMixedTypes="1" containsNumber="1" containsInteger="1" minValue="0" maxValue="66438"/>
    </cacheField>
    <cacheField name="Old-UG Cor" numFmtId="0">
      <sharedItems containsString="0" containsBlank="1" containsNumber="1" containsInteger="1" minValue="0" maxValue="6480"/>
    </cacheField>
    <cacheField name="New-UG Cor" numFmtId="0">
      <sharedItems containsString="0" containsBlank="1" containsNumber="1" containsInteger="1" minValue="0" maxValue="4680"/>
    </cacheField>
    <cacheField name="Old-Tot G SCH Calc" numFmtId="3">
      <sharedItems containsSemiMixedTypes="0" containsString="0" containsNumber="1" minValue="0" maxValue="348277"/>
    </cacheField>
    <cacheField name="New-Tot G SCH Calc" numFmtId="3">
      <sharedItems containsSemiMixedTypes="0" containsString="0" containsNumber="1" minValue="0" maxValue="336017"/>
    </cacheField>
    <cacheField name="Old-G OnC Trad" numFmtId="0">
      <sharedItems containsString="0" containsBlank="1" containsNumber="1" minValue="0" maxValue="256236"/>
    </cacheField>
    <cacheField name="New-G OnC Trad" numFmtId="0">
      <sharedItems containsString="0" containsBlank="1" containsNumber="1" minValue="0" maxValue="248494"/>
    </cacheField>
    <cacheField name="Old-G OffC Trad" numFmtId="0">
      <sharedItems containsString="0" containsBlank="1" containsNumber="1" minValue="0" maxValue="30170"/>
    </cacheField>
    <cacheField name="New-G OffC Trad" numFmtId="0">
      <sharedItems containsString="0" containsBlank="1" containsNumber="1" minValue="0" maxValue="39367"/>
    </cacheField>
    <cacheField name="Old-G EL Web" numFmtId="0">
      <sharedItems containsString="0" containsBlank="1" containsNumber="1" minValue="0" maxValue="178244"/>
    </cacheField>
    <cacheField name="Old-G EL CV" numFmtId="0">
      <sharedItems containsString="0" containsBlank="1" containsNumber="1" containsInteger="1" minValue="0" maxValue="18907"/>
    </cacheField>
    <cacheField name="Old-G EL O" numFmtId="0">
      <sharedItems containsString="0" containsBlank="1" containsNumber="1" containsInteger="1" minValue="0" maxValue="7095"/>
    </cacheField>
    <cacheField name="New-G EL Web" numFmtId="0">
      <sharedItems containsString="0" containsBlank="1" containsNumber="1" minValue="0" maxValue="170324"/>
    </cacheField>
    <cacheField name="New-G EL CV" numFmtId="0">
      <sharedItems containsBlank="1" containsMixedTypes="1" containsNumber="1" minValue="0" maxValue="11030"/>
    </cacheField>
    <cacheField name="New-G EL O" numFmtId="0">
      <sharedItems containsString="0" containsBlank="1" containsNumber="1" containsInteger="1" minValue="0" maxValue="7062"/>
    </cacheField>
    <cacheField name="Old-G Cor" numFmtId="0">
      <sharedItems containsString="0" containsBlank="1" containsNumber="1" containsInteger="1" minValue="0" maxValue="5565"/>
    </cacheField>
    <cacheField name="New-G Cor" numFmtId="0">
      <sharedItems containsString="0" containsBlank="1" containsNumber="1" containsInteger="1" minValue="0" maxValue="4435"/>
    </cacheField>
    <cacheField name="New %G OnC Trad" numFmtId="0" formula="IF('New-Tot G SCH Calc'&gt;0,'New-G OnC Trad'/'New-Tot G SCH Calc',)" databaseField="0"/>
    <cacheField name="New %G OffC Trad" numFmtId="0" formula="IF('New-Tot G SCH Calc'&gt;0,'New-G OffC Trad'/'New-Tot G SCH Calc',)" databaseField="0"/>
    <cacheField name="Old %UG EL Web" numFmtId="0" formula="IF('OLD-Tot UG SCH Calc'&gt;0,'Old-UG EL Web'/'OLD-Tot UG SCH Calc',)" databaseField="0"/>
    <cacheField name="New %UG EL Web" numFmtId="0" formula="IF('NEW-Tot UG SCH Calc'&gt;0,'New-UG EL Web'/'NEW-Tot UG SCH Calc',)" databaseField="0"/>
    <cacheField name="New %G EL Web" numFmtId="0" formula="IF('New-Tot G SCH Calc'&gt;0,'New-G EL Web'/'New-Tot G SCH Calc',)" databaseField="0"/>
    <cacheField name="Old %G EL Web" numFmtId="0" formula="IF('Old-Tot G SCH Calc'&gt;0,'Old-G EL Web'/'Old-Tot G SCH Calc',)" databaseField="0"/>
    <cacheField name="Old %G EL CV" numFmtId="0" formula="IF('Old-Tot G SCH Calc'&gt;0,'Old-G EL CV'/'Old-Tot G SCH Calc',)" databaseField="0"/>
    <cacheField name="New %G EL CV" numFmtId="0" formula="IF('New-Tot G SCH Calc'&gt;0,'New-G EL CV'/'New-Tot G SCH Calc',)" databaseField="0"/>
    <cacheField name="New %UG EL CV" numFmtId="0" formula="IF('NEW-Tot UG SCH Calc'&gt;0,'New-UG EL CV'/'NEW-Tot UG SCH Calc',)" databaseField="0"/>
    <cacheField name="Old %UG EL CV" numFmtId="0" formula="IF('OLD-Tot UG SCH Calc'&gt;0,'Old-UG EL CV'/'OLD-Tot UG SCH Calc',)" databaseField="0"/>
    <cacheField name="Old %UG EL O" numFmtId="0" formula="IF('OLD-Tot UG SCH Calc'&gt;0,'Old-UG EL O'/'OLD-Tot UG SCH Calc',)" databaseField="0"/>
    <cacheField name="New %UG EL O" numFmtId="0" formula="IF('NEW-Tot UG SCH Calc'&gt;0,'New-UG EL O'/'NEW-Tot UG SCH Calc',)" databaseField="0"/>
    <cacheField name="New %G EL O" numFmtId="0" formula="IF('New-Tot G SCH Calc'&gt;0,'New-G EL O'/'New-Tot G SCH Calc',)" databaseField="0"/>
    <cacheField name="Old %G EL O" numFmtId="0" formula="IF('Old-Tot G SCH Calc'&gt;0,'Old-G EL O'/'Old-Tot G SCH Calc',)" databaseField="0"/>
    <cacheField name="Old %G Cor" numFmtId="0" formula="IF('Old-Tot G SCH Calc'&gt;0,'Old-G Cor'/'Old-Tot G SCH Calc',)" databaseField="0"/>
    <cacheField name="New %G Cor" numFmtId="0" formula="IF('New-Tot G SCH Calc'&gt;0,'New-G Cor'/'New-Tot G SCH Calc',)" databaseField="0"/>
    <cacheField name="New %UG Cor" numFmtId="0" formula="IF('NEW-Tot UG SCH Calc'&gt;0,'New-UG Cor'/'NEW-Tot UG SCH Calc',)" databaseField="0"/>
    <cacheField name="Old %UG Cor" numFmtId="0" formula="IF('OLD-Tot UG SCH Calc'&gt;0,'Old-UG Cor'/'OLD-Tot UG SCH Calc',)" databaseField="0"/>
    <cacheField name="Change %UG OnC Trad" numFmtId="0" formula="IF('Old %UG OnC Trad'&gt;0,('New %UG OnC Trad'-'Old %UG OnC Trad'),)*100" databaseField="0"/>
    <cacheField name="Change %G OnC Trad" numFmtId="0" formula="IF('Old %G OnC Trad'&gt;0,('New %G OnC Trad'-'Old %G OnC Trad'),)*100" databaseField="0"/>
    <cacheField name="Change %G OffC Trad" numFmtId="0" formula="IF('Old %G OffC Trad'&gt;0,('New %G OffC Trad'-'Old %G OffC Trad'),)*100" databaseField="0"/>
    <cacheField name="Change %UG OffC Trad" numFmtId="0" formula="IF('Old %UG OffC Trad'&gt;0,('New %UG OffC Trad'-'Old %UG OffC Trad'),)*100" databaseField="0"/>
    <cacheField name="Change %UG EL Web" numFmtId="0" formula="IF('Old %UG EL Web'&gt;0,('New %UG EL Web'-'Old %UG EL Web'),)*100" databaseField="0"/>
    <cacheField name="Change %G EL Web" numFmtId="0" formula="IF('Old %G EL Web'&gt;0,('New %G EL Web'-'Old %G EL Web'),)*100" databaseField="0"/>
    <cacheField name="Change %G EL CV" numFmtId="0" formula="IF('Old %G EL CV'&gt;0,('New %G EL CV'-'Old %G EL CV'),)*100" databaseField="0"/>
    <cacheField name="Change %UG EL CV" numFmtId="0" formula="IF('Old %UG EL CV'&gt;0,('New %UG EL CV'-'Old %UG EL CV'),)*100" databaseField="0"/>
    <cacheField name="Change %UG EL O" numFmtId="0" formula="IF('Old %UG EL O'&gt;0,('New %UG EL O'-'Old %UG EL O'),)*100" databaseField="0"/>
    <cacheField name="Change %G EL O" numFmtId="0" formula="IF('Old %G EL O'&gt;0,('New %G EL O'-'Old %G EL O'),)*100" databaseField="0"/>
    <cacheField name="Change %G Cor" numFmtId="0" formula="IF('Old %G Cor'&gt;0,('New %G Cor'-'Old %G Cor'),)*100" databaseField="0"/>
    <cacheField name="Change %UG Cor" numFmtId="0" formula="IF('Old %UG Cor'&gt;0,('New %UG Cor'-'Old %UG Cor'),)*100" databaseField="0"/>
    <cacheField name="Old UG E-Learning" numFmtId="0" formula="'Old-UG EL Web'+'Old-UG EL CV'+'Old-UG EL O'" databaseField="0"/>
    <cacheField name="Old G E-Learning" numFmtId="0" formula="'Old-G EL Web'+'Old-G EL CV'+'Old-G EL O'" databaseField="0"/>
    <cacheField name="New UG E-Learning" numFmtId="0" formula="'New-UG EL Web'+'New-UG EL CV'+'New-UG EL O'" databaseField="0"/>
    <cacheField name="New G E-Learning" numFmtId="0" formula="'New-G EL Web'+'New-G EL CV'+'New-G EL O'" databaseField="0"/>
    <cacheField name="New %UG OffC Trad" numFmtId="0" formula="IF('NEW-Tot UG SCH Calc'&gt;0,'New-UG OffC Trad'/'NEW-Tot UG SCH Calc',)" databaseField="0"/>
    <cacheField name="New %UG OnC Trad" numFmtId="0" formula="IF('NEW-Tot UG SCH Calc'&gt;0,'New-UG OnC Trad'/'NEW-Tot UG SCH Calc',)" databaseField="0"/>
    <cacheField name="Old %UG OnC Trad" numFmtId="0" formula="IF('OLD-Tot UG SCH Calc'&gt;0,'Old-UG OnC Trad'/'OLD-Tot UG SCH Calc',)" databaseField="0"/>
    <cacheField name="type2" numFmtId="0" databaseField="0">
      <fieldGroup base="4">
        <discretePr count="17">
          <x v="3"/>
          <x v="3"/>
          <x v="3"/>
          <x v="3"/>
          <x v="3"/>
          <x v="3"/>
          <x v="4"/>
          <x v="4"/>
          <x v="4"/>
          <x v="5"/>
          <x v="5"/>
          <x v="3"/>
          <x v="4"/>
          <x v="6"/>
          <x v="0"/>
          <x v="1"/>
          <x v="2"/>
        </discretePr>
        <groupItems count="7">
          <n v="99"/>
          <n v="14"/>
          <n v="16"/>
          <s v="Group1"/>
          <s v="Group2"/>
          <s v="Group3"/>
          <m/>
        </groupItems>
      </fieldGroup>
    </cacheField>
    <cacheField name="Old %G OnC Trad" numFmtId="0" formula="IF('Old-Tot G SCH Calc'&gt;0,'Old-G OnC Trad'/'Old-Tot G SCH Calc',)" databaseField="0"/>
    <cacheField name="Old %G OffC Trad" numFmtId="0" formula="IF('Old-Tot G SCH Calc'&gt;0,'Old-G OffC Trad'/'Old-Tot G SCH Calc',)" databaseField="0"/>
    <cacheField name="Old %UG OffC Trad" numFmtId="0" formula="IF('OLD-Tot UG SCH Calc'&gt;0,'Old-UG OffC Trad'/'OLD-Tot UG SCH Calc',)"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61">
  <r>
    <x v="0"/>
    <s v="Auburn University"/>
    <m/>
    <n v="100858"/>
    <x v="0"/>
    <n v="585421"/>
    <n v="593278"/>
    <n v="580096"/>
    <n v="587042"/>
    <n v="0"/>
    <n v="0"/>
    <n v="1917"/>
    <m/>
    <n v="3408"/>
    <n v="1355"/>
    <m/>
    <n v="4881"/>
    <m/>
    <m/>
    <n v="92318"/>
    <n v="95050"/>
    <n v="79913"/>
    <n v="82043"/>
    <n v="1957"/>
    <n v="1872"/>
    <n v="423"/>
    <m/>
    <n v="10025"/>
    <n v="2111"/>
    <m/>
    <n v="9024"/>
    <m/>
    <m/>
  </r>
  <r>
    <x v="0"/>
    <s v="University of Alabama "/>
    <m/>
    <n v="100751"/>
    <x v="0"/>
    <n v="701593"/>
    <n v="730281"/>
    <n v="661923"/>
    <n v="684175"/>
    <n v="1606"/>
    <n v="180"/>
    <n v="37563"/>
    <n v="477"/>
    <n v="24"/>
    <n v="45450"/>
    <n v="476"/>
    <n v="0"/>
    <n v="0"/>
    <n v="0"/>
    <n v="96154"/>
    <n v="99028"/>
    <n v="79946"/>
    <n v="80866"/>
    <n v="4819"/>
    <n v="5125"/>
    <n v="11034"/>
    <n v="334"/>
    <n v="21"/>
    <n v="12701"/>
    <n v="336"/>
    <n v="0"/>
    <n v="0"/>
    <n v="0"/>
  </r>
  <r>
    <x v="0"/>
    <s v="University of Alabama at Birmingham"/>
    <s v="Met the criteria for Four-Year 2 in 2010-11 and 2011-12."/>
    <n v="100663"/>
    <x v="0"/>
    <n v="262748"/>
    <n v="265083"/>
    <n v="239632"/>
    <n v="237131"/>
    <n v="535"/>
    <n v="182"/>
    <n v="22479"/>
    <n v="102"/>
    <m/>
    <n v="27629"/>
    <n v="141"/>
    <n v="0"/>
    <m/>
    <m/>
    <n v="46951"/>
    <n v="46544"/>
    <n v="42472"/>
    <n v="38860"/>
    <n v="604"/>
    <n v="1178"/>
    <n v="3638"/>
    <n v="237"/>
    <m/>
    <n v="6359"/>
    <n v="147"/>
    <n v="0"/>
    <m/>
    <m/>
  </r>
  <r>
    <x v="0"/>
    <s v="University of Alabama in Huntsville"/>
    <m/>
    <n v="100706"/>
    <x v="1"/>
    <n v="161061"/>
    <n v="155382"/>
    <n v="159070"/>
    <n v="152840"/>
    <m/>
    <m/>
    <n v="1985"/>
    <n v="6"/>
    <m/>
    <n v="2542"/>
    <m/>
    <m/>
    <m/>
    <m/>
    <n v="21952"/>
    <n v="23176"/>
    <n v="18372"/>
    <n v="19268"/>
    <m/>
    <m/>
    <n v="3535"/>
    <n v="33"/>
    <n v="12"/>
    <n v="3908"/>
    <m/>
    <m/>
    <m/>
    <m/>
  </r>
  <r>
    <x v="0"/>
    <s v="Alabama Agricultural &amp; Mechanical University"/>
    <m/>
    <n v="100654"/>
    <x v="2"/>
    <n v="134715"/>
    <n v="140916"/>
    <n v="134715"/>
    <n v="140916"/>
    <m/>
    <m/>
    <m/>
    <m/>
    <m/>
    <m/>
    <m/>
    <m/>
    <m/>
    <m/>
    <n v="15386"/>
    <n v="17299"/>
    <n v="15386"/>
    <n v="17299"/>
    <m/>
    <m/>
    <m/>
    <m/>
    <m/>
    <m/>
    <m/>
    <m/>
    <m/>
    <m/>
  </r>
  <r>
    <x v="0"/>
    <s v="Jacksonville State University "/>
    <m/>
    <n v="101480"/>
    <x v="2"/>
    <n v="206841"/>
    <n v="213835"/>
    <n v="162876"/>
    <n v="168492"/>
    <n v="5247"/>
    <n v="3711"/>
    <n v="36116"/>
    <n v="2602"/>
    <n v="0"/>
    <n v="39076"/>
    <n v="2556"/>
    <n v="0"/>
    <m/>
    <m/>
    <n v="24856"/>
    <n v="21835"/>
    <n v="14225"/>
    <n v="10251"/>
    <n v="0"/>
    <n v="0"/>
    <n v="10631"/>
    <n v="0"/>
    <n v="0"/>
    <n v="11530"/>
    <n v="54"/>
    <n v="0"/>
    <n v="0"/>
    <m/>
  </r>
  <r>
    <x v="0"/>
    <s v="Troy University"/>
    <m/>
    <n v="102368"/>
    <x v="2"/>
    <n v="347685"/>
    <n v="382545"/>
    <n v="244083"/>
    <n v="241718"/>
    <n v="4091"/>
    <n v="2791"/>
    <n v="96506"/>
    <n v="0"/>
    <n v="2999"/>
    <n v="137892"/>
    <n v="0"/>
    <n v="144"/>
    <n v="6"/>
    <n v="0"/>
    <n v="46658"/>
    <n v="53610"/>
    <n v="29257"/>
    <n v="29214"/>
    <n v="1140"/>
    <n v="930"/>
    <n v="12989"/>
    <n v="416"/>
    <n v="2856"/>
    <n v="20382"/>
    <n v="0"/>
    <n v="3084"/>
    <n v="0"/>
    <n v="0"/>
  </r>
  <r>
    <x v="0"/>
    <s v="University of South Alabama"/>
    <m/>
    <n v="102094"/>
    <x v="2"/>
    <n v="272728"/>
    <n v="272824"/>
    <n v="252814"/>
    <n v="244935"/>
    <n v="661"/>
    <n v="384"/>
    <n v="19253"/>
    <m/>
    <m/>
    <n v="27505"/>
    <m/>
    <m/>
    <m/>
    <m/>
    <n v="18705"/>
    <n v="16843"/>
    <n v="13849"/>
    <n v="12117"/>
    <n v="0"/>
    <n v="0"/>
    <n v="4856"/>
    <m/>
    <m/>
    <n v="4726"/>
    <m/>
    <m/>
    <m/>
    <m/>
  </r>
  <r>
    <x v="0"/>
    <s v="Alabama State University "/>
    <m/>
    <n v="100724"/>
    <x v="3"/>
    <n v="156404"/>
    <n v="156341"/>
    <n v="156083"/>
    <n v="153807"/>
    <n v="0"/>
    <m/>
    <n v="321"/>
    <m/>
    <m/>
    <n v="2534"/>
    <m/>
    <m/>
    <m/>
    <m/>
    <n v="16986"/>
    <n v="15442"/>
    <n v="15888"/>
    <n v="10704"/>
    <n v="369"/>
    <n v="104"/>
    <n v="687"/>
    <n v="42"/>
    <m/>
    <n v="4634"/>
    <m/>
    <m/>
    <m/>
    <m/>
  </r>
  <r>
    <x v="0"/>
    <s v="Auburn University at Montgomery"/>
    <m/>
    <n v="100830"/>
    <x v="3"/>
    <n v="122351"/>
    <n v="114305"/>
    <n v="105024"/>
    <n v="95878"/>
    <n v="2402"/>
    <n v="3610"/>
    <n v="14925"/>
    <m/>
    <m/>
    <n v="14817"/>
    <n v="0"/>
    <n v="0"/>
    <m/>
    <n v="0"/>
    <n v="16088"/>
    <n v="14461"/>
    <n v="11239"/>
    <n v="10012"/>
    <n v="192"/>
    <n v="99"/>
    <n v="4657"/>
    <m/>
    <m/>
    <n v="4350"/>
    <n v="0"/>
    <n v="0"/>
    <m/>
    <n v="0"/>
  </r>
  <r>
    <x v="0"/>
    <s v="University of North Alabama"/>
    <m/>
    <n v="101879"/>
    <x v="3"/>
    <n v="162883"/>
    <n v="161595"/>
    <n v="137854"/>
    <n v="135985"/>
    <m/>
    <m/>
    <n v="25029"/>
    <m/>
    <m/>
    <n v="25610"/>
    <m/>
    <m/>
    <m/>
    <m/>
    <n v="16055"/>
    <n v="15321"/>
    <n v="5288"/>
    <n v="5784"/>
    <n v="5198"/>
    <n v="2865"/>
    <n v="5569"/>
    <m/>
    <m/>
    <n v="6672"/>
    <m/>
    <m/>
    <m/>
    <m/>
  </r>
  <r>
    <x v="0"/>
    <s v="University of Montevallo"/>
    <m/>
    <n v="101709"/>
    <x v="4"/>
    <n v="72994"/>
    <n v="72476"/>
    <n v="72049"/>
    <n v="70485"/>
    <n v="219"/>
    <n v="147"/>
    <n v="726"/>
    <m/>
    <m/>
    <n v="1844"/>
    <m/>
    <m/>
    <m/>
    <m/>
    <n v="9559"/>
    <n v="11700"/>
    <n v="8706"/>
    <n v="9958"/>
    <n v="462"/>
    <n v="501"/>
    <n v="391"/>
    <m/>
    <m/>
    <n v="1241"/>
    <m/>
    <m/>
    <m/>
    <m/>
  </r>
  <r>
    <x v="0"/>
    <s v="University of West Alabama"/>
    <m/>
    <n v="101587"/>
    <x v="4"/>
    <n v="50352"/>
    <n v="52280"/>
    <n v="46176"/>
    <n v="47725"/>
    <n v="1108"/>
    <n v="652"/>
    <n v="3068"/>
    <m/>
    <m/>
    <n v="3903"/>
    <m/>
    <m/>
    <m/>
    <m/>
    <n v="48336"/>
    <n v="46585"/>
    <n v="5619"/>
    <n v="5125"/>
    <n v="186"/>
    <n v="54"/>
    <n v="42531"/>
    <m/>
    <m/>
    <n v="41406"/>
    <m/>
    <m/>
    <m/>
    <m/>
  </r>
  <r>
    <x v="0"/>
    <s v="Athens State University"/>
    <m/>
    <n v="100812"/>
    <x v="5"/>
    <n v="89190"/>
    <n v="85702"/>
    <n v="22004"/>
    <n v="20717"/>
    <n v="4023"/>
    <n v="3828"/>
    <n v="63163"/>
    <m/>
    <m/>
    <n v="61157"/>
    <m/>
    <m/>
    <m/>
    <m/>
    <n v="0"/>
    <n v="0"/>
    <m/>
    <m/>
    <m/>
    <m/>
    <m/>
    <m/>
    <m/>
    <m/>
    <m/>
    <m/>
    <m/>
    <m/>
  </r>
  <r>
    <x v="0"/>
    <s v="Gadsden State Community College"/>
    <s v="Reclassified: Met the criteria for Two-Year 1 in 2009-10, 2010-11 and 2011-12."/>
    <n v="101240"/>
    <x v="6"/>
    <n v="182660"/>
    <n v="175612"/>
    <n v="755"/>
    <n v="56761"/>
    <n v="145519"/>
    <n v="82100"/>
    <n v="36200"/>
    <n v="120"/>
    <n v="66"/>
    <n v="36631"/>
    <n v="60"/>
    <n v="60"/>
    <m/>
    <m/>
    <n v="0"/>
    <n v="0"/>
    <m/>
    <m/>
    <m/>
    <m/>
    <m/>
    <m/>
    <m/>
    <m/>
    <m/>
    <m/>
    <m/>
    <m/>
  </r>
  <r>
    <x v="0"/>
    <s v="Jefferson State Community College"/>
    <m/>
    <n v="101505"/>
    <x v="6"/>
    <n v="200118"/>
    <n v="202921"/>
    <n v="138726"/>
    <n v="133695"/>
    <n v="22704"/>
    <n v="24210"/>
    <n v="36946"/>
    <n v="1742"/>
    <n v="0"/>
    <n v="43392"/>
    <n v="1624"/>
    <n v="0"/>
    <m/>
    <m/>
    <n v="0"/>
    <n v="0"/>
    <m/>
    <m/>
    <m/>
    <m/>
    <m/>
    <m/>
    <m/>
    <m/>
    <m/>
    <m/>
    <m/>
    <m/>
  </r>
  <r>
    <x v="0"/>
    <s v="John C. Calhoun State Community College "/>
    <m/>
    <n v="101514"/>
    <x v="6"/>
    <n v="260777"/>
    <n v="262124"/>
    <n v="204487"/>
    <n v="203325"/>
    <n v="5767"/>
    <n v="5130"/>
    <n v="26187"/>
    <n v="0"/>
    <n v="24336"/>
    <n v="31317"/>
    <n v="0"/>
    <n v="22352"/>
    <m/>
    <m/>
    <n v="0"/>
    <n v="0"/>
    <m/>
    <m/>
    <m/>
    <m/>
    <m/>
    <m/>
    <m/>
    <m/>
    <m/>
    <m/>
    <m/>
    <m/>
  </r>
  <r>
    <x v="0"/>
    <s v="Wallace Community College - Hanceville"/>
    <s v="Reclassified: Met the criteria for Two-Year 1 in 2009-10, 2010-11 and 2011-12."/>
    <n v="101295"/>
    <x v="6"/>
    <n v="173062"/>
    <n v="160667"/>
    <n v="133878"/>
    <n v="124287"/>
    <n v="10663"/>
    <n v="8717"/>
    <n v="28437"/>
    <n v="0"/>
    <n v="84"/>
    <n v="27606"/>
    <n v="0"/>
    <n v="57"/>
    <m/>
    <m/>
    <n v="0"/>
    <n v="0"/>
    <m/>
    <m/>
    <m/>
    <m/>
    <m/>
    <m/>
    <m/>
    <m/>
    <m/>
    <m/>
    <m/>
    <m/>
  </r>
  <r>
    <x v="0"/>
    <s v="Bevill State Community College"/>
    <m/>
    <n v="102429"/>
    <x v="7"/>
    <n v="121792"/>
    <n v="107951"/>
    <n v="34513"/>
    <n v="30859"/>
    <n v="68105"/>
    <n v="56848"/>
    <n v="13954"/>
    <n v="5220"/>
    <n v="0"/>
    <n v="16317"/>
    <n v="3927"/>
    <n v="0"/>
    <m/>
    <m/>
    <n v="0"/>
    <n v="0"/>
    <m/>
    <m/>
    <m/>
    <m/>
    <m/>
    <m/>
    <m/>
    <m/>
    <m/>
    <m/>
    <m/>
    <m/>
  </r>
  <r>
    <x v="0"/>
    <s v="Bishop State Community College"/>
    <s v=" "/>
    <n v="102030"/>
    <x v="7"/>
    <n v="86410"/>
    <n v="90362"/>
    <n v="77376"/>
    <n v="81066"/>
    <n v="1819"/>
    <n v="1131"/>
    <n v="6411"/>
    <n v="0"/>
    <n v="804"/>
    <n v="7055"/>
    <n v="0"/>
    <n v="1110"/>
    <m/>
    <m/>
    <n v="0"/>
    <n v="0"/>
    <m/>
    <m/>
    <m/>
    <m/>
    <m/>
    <m/>
    <m/>
    <m/>
    <m/>
    <m/>
    <m/>
    <m/>
  </r>
  <r>
    <x v="0"/>
    <s v="Central Alabama Community College"/>
    <s v="Reclassified: Met the criteria for Two-Year 2 in 2009-10, 2010-11 and 2011-12."/>
    <n v="100760"/>
    <x v="7"/>
    <n v="66449"/>
    <n v="62427"/>
    <n v="47181"/>
    <n v="41513"/>
    <n v="7299"/>
    <n v="7097"/>
    <n v="11969"/>
    <n v="0"/>
    <n v="0"/>
    <n v="13810"/>
    <n v="0"/>
    <n v="0"/>
    <m/>
    <n v="7"/>
    <n v="0"/>
    <n v="0"/>
    <m/>
    <m/>
    <m/>
    <m/>
    <m/>
    <m/>
    <m/>
    <m/>
    <m/>
    <m/>
    <m/>
    <m/>
  </r>
  <r>
    <x v="0"/>
    <s v="Enterprise State Community College"/>
    <s v="Reclassified: Met the criteria for Two-Year 2 in 2009-10, 2010-11 and 2011-12. Formerly listed as Enterprise-Ozark Community College -- name changed in 2009."/>
    <n v="101143"/>
    <x v="7"/>
    <n v="83509"/>
    <n v="81749"/>
    <n v="64010"/>
    <n v="63546"/>
    <n v="13473"/>
    <n v="11301"/>
    <n v="6026"/>
    <n v="0"/>
    <n v="0"/>
    <n v="6902"/>
    <n v="0"/>
    <n v="0"/>
    <m/>
    <m/>
    <n v="0"/>
    <n v="0"/>
    <m/>
    <m/>
    <m/>
    <m/>
    <m/>
    <m/>
    <m/>
    <m/>
    <m/>
    <m/>
    <m/>
    <m/>
  </r>
  <r>
    <x v="0"/>
    <s v="George C. Wallace State Community College - Dothan"/>
    <m/>
    <n v="101286"/>
    <x v="7"/>
    <n v="126601"/>
    <n v="125259"/>
    <n v="86556"/>
    <n v="84094"/>
    <n v="19383"/>
    <n v="18691"/>
    <n v="20662"/>
    <n v="0"/>
    <n v="0"/>
    <n v="22474"/>
    <n v="0"/>
    <n v="0"/>
    <m/>
    <m/>
    <n v="0"/>
    <n v="0"/>
    <m/>
    <m/>
    <m/>
    <m/>
    <m/>
    <m/>
    <m/>
    <m/>
    <m/>
    <m/>
    <m/>
    <m/>
  </r>
  <r>
    <x v="0"/>
    <s v="James H. Faulkner State Community College"/>
    <m/>
    <n v="101161"/>
    <x v="7"/>
    <n v="118631"/>
    <n v="117734"/>
    <n v="53429"/>
    <n v="51533"/>
    <n v="36131"/>
    <n v="36358"/>
    <n v="20440"/>
    <n v="0"/>
    <n v="8631"/>
    <n v="22120"/>
    <m/>
    <n v="7723"/>
    <m/>
    <m/>
    <n v="0"/>
    <n v="0"/>
    <m/>
    <m/>
    <m/>
    <m/>
    <m/>
    <m/>
    <m/>
    <m/>
    <m/>
    <m/>
    <m/>
    <m/>
  </r>
  <r>
    <x v="0"/>
    <s v="Lawson State Community College "/>
    <m/>
    <n v="101569"/>
    <x v="7"/>
    <n v="116634"/>
    <n v="114397"/>
    <n v="101908"/>
    <n v="100389"/>
    <n v="2948"/>
    <n v="2623"/>
    <n v="11762"/>
    <n v="0"/>
    <n v="16"/>
    <n v="11381"/>
    <n v="0"/>
    <n v="4"/>
    <m/>
    <m/>
    <n v="0"/>
    <n v="0"/>
    <m/>
    <m/>
    <m/>
    <m/>
    <m/>
    <m/>
    <m/>
    <m/>
    <m/>
    <m/>
    <m/>
    <m/>
  </r>
  <r>
    <x v="0"/>
    <s v="Northeast Alabama State Community College "/>
    <m/>
    <n v="101897"/>
    <x v="7"/>
    <n v="89336"/>
    <n v="84621"/>
    <n v="62932"/>
    <n v="58488"/>
    <n v="5581"/>
    <n v="5023"/>
    <n v="20823"/>
    <n v="0"/>
    <n v="0"/>
    <n v="21110"/>
    <n v="0"/>
    <n v="0"/>
    <m/>
    <m/>
    <n v="0"/>
    <n v="0"/>
    <m/>
    <m/>
    <m/>
    <m/>
    <m/>
    <m/>
    <m/>
    <m/>
    <m/>
    <m/>
    <m/>
    <m/>
  </r>
  <r>
    <x v="0"/>
    <s v="Northwest-Shoals Community College"/>
    <m/>
    <n v="101736"/>
    <x v="7"/>
    <n v="105919"/>
    <n v="93839"/>
    <n v="72232"/>
    <n v="83166"/>
    <n v="22230"/>
    <n v="707"/>
    <n v="7467"/>
    <n v="765"/>
    <n v="3225"/>
    <n v="7806"/>
    <n v="420"/>
    <n v="1740"/>
    <m/>
    <m/>
    <n v="0"/>
    <n v="0"/>
    <m/>
    <m/>
    <m/>
    <m/>
    <m/>
    <m/>
    <m/>
    <m/>
    <m/>
    <m/>
    <m/>
    <m/>
  </r>
  <r>
    <x v="0"/>
    <s v="Shelton State Community College"/>
    <m/>
    <n v="102067"/>
    <x v="7"/>
    <n v="155348"/>
    <n v="138645"/>
    <n v="150719"/>
    <n v="132221"/>
    <n v="170"/>
    <n v="253"/>
    <n v="4459"/>
    <n v="0"/>
    <n v="0"/>
    <n v="6171"/>
    <n v="0"/>
    <n v="0"/>
    <m/>
    <m/>
    <n v="0"/>
    <n v="0"/>
    <m/>
    <m/>
    <m/>
    <m/>
    <m/>
    <m/>
    <m/>
    <m/>
    <m/>
    <m/>
    <m/>
    <m/>
  </r>
  <r>
    <x v="0"/>
    <s v="Southern Union State Community College"/>
    <m/>
    <n v="251260"/>
    <x v="7"/>
    <n v="133498"/>
    <n v="133363"/>
    <n v="15692"/>
    <n v="14963"/>
    <n v="97219"/>
    <n v="97480"/>
    <n v="20449"/>
    <n v="138"/>
    <n v="0"/>
    <n v="20233"/>
    <n v="687"/>
    <n v="0"/>
    <m/>
    <m/>
    <n v="0"/>
    <n v="0"/>
    <m/>
    <m/>
    <m/>
    <m/>
    <m/>
    <m/>
    <m/>
    <m/>
    <m/>
    <m/>
    <m/>
    <m/>
  </r>
  <r>
    <x v="0"/>
    <s v="Alabama Southern Community College"/>
    <m/>
    <n v="101949"/>
    <x v="8"/>
    <n v="40476"/>
    <n v="40708"/>
    <n v="13590"/>
    <n v="13481"/>
    <n v="25061"/>
    <n v="25541"/>
    <n v="1795"/>
    <n v="30"/>
    <n v="0"/>
    <n v="1686"/>
    <n v="0"/>
    <n v="0"/>
    <m/>
    <m/>
    <n v="0"/>
    <n v="0"/>
    <m/>
    <m/>
    <m/>
    <m/>
    <m/>
    <m/>
    <m/>
    <m/>
    <m/>
    <m/>
    <m/>
    <m/>
  </r>
  <r>
    <x v="0"/>
    <s v="Chattahoochee Valley State Community College "/>
    <m/>
    <n v="101028"/>
    <x v="8"/>
    <n v="43194"/>
    <n v="42168"/>
    <n v="38435"/>
    <n v="38037"/>
    <n v="72"/>
    <n v="81"/>
    <n v="4687"/>
    <n v="0"/>
    <n v="0"/>
    <n v="4050"/>
    <n v="0"/>
    <n v="0"/>
    <m/>
    <m/>
    <n v="0"/>
    <n v="0"/>
    <m/>
    <m/>
    <m/>
    <m/>
    <m/>
    <m/>
    <m/>
    <m/>
    <m/>
    <m/>
    <m/>
    <m/>
  </r>
  <r>
    <x v="0"/>
    <s v="George Corley Wallace State Community College - Selma"/>
    <s v="Met the criteria for Two-Year 2 in 2011-12."/>
    <n v="101301"/>
    <x v="8"/>
    <n v="59867"/>
    <n v="60847"/>
    <n v="41098"/>
    <n v="39130"/>
    <n v="0"/>
    <n v="0"/>
    <n v="18769"/>
    <n v="0"/>
    <n v="0"/>
    <n v="21717"/>
    <n v="0"/>
    <n v="0"/>
    <m/>
    <m/>
    <n v="0"/>
    <n v="0"/>
    <m/>
    <m/>
    <m/>
    <m/>
    <m/>
    <m/>
    <m/>
    <m/>
    <m/>
    <m/>
    <m/>
    <m/>
  </r>
  <r>
    <x v="0"/>
    <s v="Jefferson Davis Community College"/>
    <m/>
    <n v="101499"/>
    <x v="8"/>
    <n v="35324"/>
    <n v="32301"/>
    <n v="15893"/>
    <n v="13524"/>
    <n v="15180"/>
    <n v="14635"/>
    <n v="3925"/>
    <n v="0"/>
    <n v="326"/>
    <n v="4070"/>
    <n v="0"/>
    <n v="72"/>
    <m/>
    <m/>
    <n v="0"/>
    <n v="0"/>
    <m/>
    <m/>
    <m/>
    <m/>
    <m/>
    <m/>
    <m/>
    <m/>
    <m/>
    <m/>
    <m/>
    <m/>
  </r>
  <r>
    <x v="0"/>
    <s v="Lurleen B. Wallace Community College "/>
    <m/>
    <n v="101602"/>
    <x v="8"/>
    <n v="50595"/>
    <n v="47409"/>
    <n v="39334"/>
    <n v="37114"/>
    <n v="1323"/>
    <n v="1407"/>
    <n v="9551"/>
    <n v="0"/>
    <n v="387"/>
    <n v="8813"/>
    <n v="0"/>
    <n v="75"/>
    <m/>
    <m/>
    <n v="0"/>
    <n v="0"/>
    <m/>
    <m/>
    <m/>
    <m/>
    <m/>
    <m/>
    <m/>
    <m/>
    <m/>
    <m/>
    <m/>
    <m/>
  </r>
  <r>
    <x v="0"/>
    <s v="Snead State Community College "/>
    <m/>
    <n v="102076"/>
    <x v="8"/>
    <n v="63304"/>
    <n v="59737"/>
    <n v="35028"/>
    <n v="32898"/>
    <n v="2902"/>
    <n v="2846"/>
    <n v="24704"/>
    <n v="670"/>
    <n v="0"/>
    <n v="23702"/>
    <n v="291"/>
    <n v="0"/>
    <m/>
    <m/>
    <n v="0"/>
    <n v="0"/>
    <m/>
    <m/>
    <m/>
    <m/>
    <m/>
    <m/>
    <m/>
    <m/>
    <m/>
    <m/>
    <m/>
    <m/>
  </r>
  <r>
    <x v="0"/>
    <s v="Trenholm State Technical College "/>
    <m/>
    <n v="102313"/>
    <x v="9"/>
    <n v="49717"/>
    <n v="49502"/>
    <n v="20000"/>
    <n v="21454"/>
    <n v="25977"/>
    <n v="24646"/>
    <n v="3740"/>
    <n v="0"/>
    <n v="0"/>
    <n v="3402"/>
    <n v="0"/>
    <n v="0"/>
    <m/>
    <m/>
    <n v="0"/>
    <n v="0"/>
    <m/>
    <m/>
    <m/>
    <m/>
    <m/>
    <m/>
    <m/>
    <m/>
    <m/>
    <m/>
    <m/>
    <m/>
  </r>
  <r>
    <x v="0"/>
    <s v="J.F. Drake State Technical College "/>
    <s v="Met the criteria for Technical Institute 1 in 2010-11 and 2011-12."/>
    <n v="101462"/>
    <x v="10"/>
    <n v="35342"/>
    <n v="32146"/>
    <n v="29932"/>
    <n v="24198"/>
    <n v="229"/>
    <n v="671"/>
    <n v="5181"/>
    <n v="0"/>
    <n v="0"/>
    <n v="7277"/>
    <n v="0"/>
    <n v="0"/>
    <m/>
    <m/>
    <n v="0"/>
    <n v="0"/>
    <m/>
    <m/>
    <m/>
    <m/>
    <m/>
    <m/>
    <m/>
    <m/>
    <m/>
    <m/>
    <m/>
    <m/>
  </r>
  <r>
    <x v="0"/>
    <s v="J.F. Ingram State Technical College "/>
    <m/>
    <n v="101471"/>
    <x v="10"/>
    <n v="21172"/>
    <n v="20136"/>
    <n v="6390"/>
    <n v="6321"/>
    <n v="14782"/>
    <n v="13815"/>
    <n v="0"/>
    <n v="0"/>
    <n v="0"/>
    <n v="0"/>
    <n v="0"/>
    <n v="0"/>
    <m/>
    <m/>
    <n v="0"/>
    <n v="0"/>
    <m/>
    <m/>
    <m/>
    <m/>
    <m/>
    <m/>
    <m/>
    <m/>
    <m/>
    <m/>
    <m/>
    <m/>
  </r>
  <r>
    <x v="0"/>
    <s v="Reid State Technical College "/>
    <m/>
    <n v="101994"/>
    <x v="10"/>
    <n v="22821"/>
    <n v="21773"/>
    <n v="20039"/>
    <n v="18744"/>
    <n v="1507"/>
    <n v="1318"/>
    <n v="1275"/>
    <n v="0"/>
    <n v="0"/>
    <n v="1711"/>
    <n v="0"/>
    <n v="0"/>
    <m/>
    <m/>
    <n v="0"/>
    <n v="0"/>
    <m/>
    <m/>
    <m/>
    <m/>
    <m/>
    <m/>
    <m/>
    <m/>
    <m/>
    <m/>
    <m/>
    <m/>
  </r>
  <r>
    <x v="1"/>
    <s v="University of Arkansas, Fayetteville"/>
    <m/>
    <n v="106397"/>
    <x v="0"/>
    <n v="473313"/>
    <n v="525893"/>
    <n v="446738"/>
    <n v="492861"/>
    <n v="11466"/>
    <n v="10230"/>
    <n v="14325"/>
    <n v="604"/>
    <n v="180"/>
    <n v="14694"/>
    <n v="812"/>
    <n v="48"/>
    <m/>
    <n v="7248"/>
    <n v="75584"/>
    <n v="77183"/>
    <n v="57001"/>
    <n v="57218"/>
    <n v="3516"/>
    <n v="3337"/>
    <n v="11380"/>
    <n v="18"/>
    <n v="3669"/>
    <n v="15458"/>
    <n v="0"/>
    <n v="1170"/>
    <m/>
    <n v="0"/>
  </r>
  <r>
    <x v="1"/>
    <s v="Arkansas State University"/>
    <m/>
    <n v="106458"/>
    <x v="2"/>
    <n v="271259"/>
    <n v="276297"/>
    <n v="193882"/>
    <n v="192962"/>
    <n v="25846"/>
    <n v="24717"/>
    <n v="47081"/>
    <n v="4450"/>
    <n v="0"/>
    <n v="54383"/>
    <n v="4124"/>
    <n v="111"/>
    <m/>
    <m/>
    <n v="69309"/>
    <n v="82879"/>
    <n v="23853"/>
    <n v="24591"/>
    <n v="138"/>
    <n v="93"/>
    <n v="44950"/>
    <n v="263"/>
    <n v="105"/>
    <n v="58024"/>
    <n v="66"/>
    <n v="105"/>
    <m/>
    <n v="0"/>
  </r>
  <r>
    <x v="1"/>
    <s v="University of Arkansas at Little Rock"/>
    <m/>
    <n v="106245"/>
    <x v="2"/>
    <n v="232943"/>
    <n v="237224"/>
    <n v="156894"/>
    <n v="158298"/>
    <n v="17874"/>
    <n v="18850"/>
    <n v="58175"/>
    <m/>
    <n v="0"/>
    <n v="60076"/>
    <n v="0"/>
    <n v="0"/>
    <m/>
    <m/>
    <n v="51489"/>
    <n v="50303"/>
    <n v="25970"/>
    <n v="25735"/>
    <n v="13569"/>
    <n v="13455"/>
    <n v="11950"/>
    <n v="0"/>
    <n v="0"/>
    <n v="11113"/>
    <n v="0"/>
    <n v="0"/>
    <m/>
    <n v="0"/>
  </r>
  <r>
    <x v="1"/>
    <s v="University of Central Arkansas "/>
    <m/>
    <n v="106704"/>
    <x v="2"/>
    <n v="274416"/>
    <n v="272034"/>
    <n v="258786"/>
    <n v="258206"/>
    <n v="6177"/>
    <n v="4156"/>
    <n v="4513"/>
    <n v="4240"/>
    <n v="0"/>
    <n v="9096"/>
    <n v="54"/>
    <n v="0"/>
    <n v="700"/>
    <n v="522"/>
    <n v="32999"/>
    <n v="33007"/>
    <n v="23605"/>
    <n v="23206"/>
    <n v="1662"/>
    <n v="780"/>
    <n v="3406"/>
    <n v="4326"/>
    <n v="0"/>
    <n v="6369"/>
    <n v="2652"/>
    <n v="0"/>
    <m/>
    <n v="0"/>
  </r>
  <r>
    <x v="1"/>
    <s v="Arkansas Tech University"/>
    <s v="Met the criteria for Four-Year 3 in 2010-11 and 2011-12."/>
    <n v="106467"/>
    <x v="3"/>
    <n v="208684"/>
    <n v="218204"/>
    <n v="163408"/>
    <n v="163618"/>
    <n v="14672"/>
    <n v="15756"/>
    <n v="30604"/>
    <m/>
    <n v="0"/>
    <n v="38830"/>
    <n v="0"/>
    <n v="0"/>
    <m/>
    <m/>
    <n v="11684"/>
    <n v="13308"/>
    <n v="5676"/>
    <n v="5738"/>
    <n v="1046"/>
    <n v="1371"/>
    <n v="4770"/>
    <n v="192"/>
    <n v="0"/>
    <n v="6181"/>
    <n v="18"/>
    <n v="0"/>
    <m/>
    <n v="0"/>
  </r>
  <r>
    <x v="1"/>
    <s v="Henderson State University"/>
    <m/>
    <n v="107071"/>
    <x v="3"/>
    <n v="93335"/>
    <n v="98042"/>
    <n v="85117"/>
    <n v="88898"/>
    <n v="723"/>
    <n v="910"/>
    <n v="3567"/>
    <n v="3224"/>
    <n v="704"/>
    <n v="8234"/>
    <n v="0"/>
    <n v="0"/>
    <m/>
    <m/>
    <n v="8648"/>
    <n v="7980"/>
    <n v="7097"/>
    <n v="6429"/>
    <n v="1197"/>
    <n v="1065"/>
    <n v="78"/>
    <n v="255"/>
    <n v="21"/>
    <n v="486"/>
    <n v="0"/>
    <n v="0"/>
    <m/>
    <n v="0"/>
  </r>
  <r>
    <x v="1"/>
    <s v="Southern Arkansas University"/>
    <s v="Reclassified: met the criteria for Four-Year 4 in 2009-10, 2010-11 and 2011-12."/>
    <n v="107983"/>
    <x v="3"/>
    <n v="81946"/>
    <n v="83545"/>
    <n v="72159"/>
    <n v="73756"/>
    <n v="2199"/>
    <n v="1819"/>
    <n v="7405"/>
    <n v="183"/>
    <n v="0"/>
    <n v="7904"/>
    <n v="66"/>
    <n v="0"/>
    <m/>
    <m/>
    <n v="8038"/>
    <n v="7548"/>
    <n v="2720"/>
    <n v="2508"/>
    <n v="224"/>
    <n v="201"/>
    <n v="5094"/>
    <n v="0"/>
    <n v="0"/>
    <n v="4839"/>
    <n v="0"/>
    <n v="0"/>
    <m/>
    <n v="0"/>
  </r>
  <r>
    <x v="1"/>
    <s v="University of Arkansas at Monticello"/>
    <m/>
    <n v="106485"/>
    <x v="4"/>
    <n v="70587"/>
    <n v="72002"/>
    <n v="59569"/>
    <n v="59147"/>
    <n v="1124"/>
    <n v="1032"/>
    <n v="7461"/>
    <n v="927"/>
    <n v="1506"/>
    <n v="8475"/>
    <n v="3342"/>
    <n v="0"/>
    <m/>
    <n v="6"/>
    <n v="2591"/>
    <n v="2079"/>
    <n v="1290"/>
    <n v="1019"/>
    <n v="15"/>
    <n v="40"/>
    <n v="1286"/>
    <n v="0"/>
    <n v="0"/>
    <n v="1020"/>
    <n v="0"/>
    <n v="0"/>
    <m/>
    <n v="0"/>
  </r>
  <r>
    <x v="1"/>
    <s v="University of Arkansas at Fort Smith"/>
    <m/>
    <n v="108092"/>
    <x v="5"/>
    <n v="188801"/>
    <n v="191912"/>
    <n v="163192"/>
    <n v="164036"/>
    <n v="2253"/>
    <n v="2533"/>
    <n v="22900"/>
    <n v="456"/>
    <n v="0"/>
    <n v="24758"/>
    <n v="585"/>
    <n v="0"/>
    <m/>
    <m/>
    <n v="0"/>
    <n v="0"/>
    <n v="0"/>
    <n v="0"/>
    <n v="0"/>
    <n v="0"/>
    <n v="0"/>
    <n v="0"/>
    <n v="0"/>
    <n v="0"/>
    <n v="0"/>
    <n v="0"/>
    <m/>
    <n v="0"/>
  </r>
  <r>
    <x v="1"/>
    <s v="University of Arkansas at Pine Bluff"/>
    <m/>
    <n v="106412"/>
    <x v="5"/>
    <n v="95470"/>
    <n v="88755"/>
    <n v="87105"/>
    <n v="80929"/>
    <n v="1627"/>
    <n v="726"/>
    <m/>
    <n v="6738"/>
    <n v="0"/>
    <n v="3210"/>
    <n v="3890"/>
    <n v="0"/>
    <m/>
    <m/>
    <n v="2132"/>
    <n v="1885"/>
    <n v="1715"/>
    <n v="1630"/>
    <n v="0"/>
    <n v="0"/>
    <m/>
    <n v="417"/>
    <m/>
    <n v="114"/>
    <n v="141"/>
    <n v="0"/>
    <m/>
    <n v="0"/>
  </r>
  <r>
    <x v="1"/>
    <s v="Northwest Arkansas Community College "/>
    <s v="Reclassified: Met the criteria for Two-Year 1 in 2009-10, 2010-11 and 2011-12."/>
    <n v="367459"/>
    <x v="6"/>
    <n v="171087"/>
    <n v="174073"/>
    <n v="116236"/>
    <n v="116184"/>
    <n v="19775"/>
    <n v="22131"/>
    <n v="16044"/>
    <n v="18149"/>
    <n v="883"/>
    <n v="35650"/>
    <n v="108"/>
    <n v="0"/>
    <m/>
    <m/>
    <n v="0"/>
    <n v="0"/>
    <n v="0"/>
    <m/>
    <n v="0"/>
    <m/>
    <m/>
    <m/>
    <m/>
    <m/>
    <m/>
    <m/>
    <m/>
    <m/>
  </r>
  <r>
    <x v="1"/>
    <s v="Pulaski Technical College"/>
    <m/>
    <n v="107664"/>
    <x v="6"/>
    <n v="246096"/>
    <n v="261671"/>
    <n v="168189"/>
    <n v="176073"/>
    <n v="0"/>
    <n v="0"/>
    <n v="77907"/>
    <m/>
    <n v="0"/>
    <n v="85598"/>
    <n v="0"/>
    <n v="0"/>
    <m/>
    <m/>
    <n v="0"/>
    <n v="0"/>
    <n v="0"/>
    <m/>
    <n v="0"/>
    <m/>
    <m/>
    <m/>
    <m/>
    <m/>
    <m/>
    <m/>
    <m/>
    <m/>
  </r>
  <r>
    <x v="1"/>
    <s v="Arkansas State University-Beebe"/>
    <m/>
    <n v="106449"/>
    <x v="7"/>
    <n v="106220"/>
    <n v="106239"/>
    <n v="75881"/>
    <n v="73832"/>
    <n v="7938"/>
    <n v="9103"/>
    <n v="22401"/>
    <m/>
    <n v="0"/>
    <n v="23304"/>
    <n v="0"/>
    <n v="0"/>
    <m/>
    <m/>
    <n v="0"/>
    <n v="0"/>
    <n v="0"/>
    <m/>
    <n v="0"/>
    <m/>
    <m/>
    <m/>
    <m/>
    <m/>
    <m/>
    <m/>
    <m/>
    <m/>
  </r>
  <r>
    <x v="1"/>
    <s v="National Park Community College"/>
    <m/>
    <n v="106980"/>
    <x v="7"/>
    <n v="86836"/>
    <n v="86676"/>
    <n v="74118"/>
    <n v="75458"/>
    <n v="3577"/>
    <n v="0"/>
    <n v="3980"/>
    <n v="5161"/>
    <m/>
    <n v="11218"/>
    <n v="0"/>
    <n v="0"/>
    <m/>
    <m/>
    <n v="0"/>
    <n v="0"/>
    <n v="0"/>
    <m/>
    <n v="0"/>
    <m/>
    <m/>
    <m/>
    <m/>
    <m/>
    <m/>
    <m/>
    <m/>
    <m/>
  </r>
  <r>
    <x v="1"/>
    <s v="Arkansas Northeastern College"/>
    <m/>
    <n v="107327"/>
    <x v="8"/>
    <n v="45187"/>
    <n v="41015"/>
    <n v="33733"/>
    <n v="31212"/>
    <n v="3649"/>
    <n v="3522"/>
    <n v="6854"/>
    <n v="951"/>
    <n v="0"/>
    <n v="5795"/>
    <n v="486"/>
    <n v="0"/>
    <m/>
    <m/>
    <n v="0"/>
    <n v="0"/>
    <n v="0"/>
    <m/>
    <n v="0"/>
    <m/>
    <m/>
    <m/>
    <m/>
    <m/>
    <m/>
    <m/>
    <m/>
    <m/>
  </r>
  <r>
    <x v="1"/>
    <s v="Arkansas State University Mountain Home"/>
    <m/>
    <n v="420538"/>
    <x v="8"/>
    <n v="37542"/>
    <n v="35572"/>
    <n v="24556"/>
    <n v="21644"/>
    <n v="1198"/>
    <n v="940"/>
    <n v="11335"/>
    <n v="453"/>
    <n v="0"/>
    <n v="12720"/>
    <n v="268"/>
    <n v="0"/>
    <m/>
    <m/>
    <n v="0"/>
    <n v="0"/>
    <n v="0"/>
    <m/>
    <n v="0"/>
    <m/>
    <m/>
    <m/>
    <m/>
    <m/>
    <m/>
    <m/>
    <m/>
    <m/>
  </r>
  <r>
    <x v="1"/>
    <s v="Arkansas State University-Newport"/>
    <m/>
    <n v="440402"/>
    <x v="8"/>
    <n v="46758"/>
    <n v="44215"/>
    <n v="10605"/>
    <n v="9167"/>
    <n v="17827"/>
    <n v="16768"/>
    <n v="17723"/>
    <n v="603"/>
    <n v="0"/>
    <n v="17035"/>
    <n v="1245"/>
    <n v="0"/>
    <m/>
    <m/>
    <n v="0"/>
    <n v="0"/>
    <n v="0"/>
    <m/>
    <n v="0"/>
    <m/>
    <m/>
    <m/>
    <m/>
    <m/>
    <m/>
    <m/>
    <m/>
    <m/>
  </r>
  <r>
    <x v="1"/>
    <s v="Black River Technical College"/>
    <s v="Met the criteria for Two-Year 2 in 2010-11 and 2011-12."/>
    <n v="106625"/>
    <x v="8"/>
    <n v="60662"/>
    <n v="62967"/>
    <n v="30781"/>
    <n v="30003"/>
    <n v="17554"/>
    <n v="18701"/>
    <n v="10602"/>
    <n v="1725"/>
    <n v="0"/>
    <n v="11938"/>
    <n v="2325"/>
    <n v="0"/>
    <m/>
    <m/>
    <n v="0"/>
    <n v="0"/>
    <n v="0"/>
    <m/>
    <n v="0"/>
    <m/>
    <m/>
    <m/>
    <m/>
    <m/>
    <m/>
    <m/>
    <m/>
    <m/>
  </r>
  <r>
    <x v="1"/>
    <s v="College of the Ouachitas"/>
    <s v="Formerly Ouachita Technical College."/>
    <n v="107521"/>
    <x v="8"/>
    <n v="28831"/>
    <n v="29256"/>
    <n v="21647"/>
    <n v="21984"/>
    <n v="2228"/>
    <n v="2058"/>
    <n v="3671"/>
    <n v="1285"/>
    <m/>
    <n v="5049"/>
    <n v="165"/>
    <n v="0"/>
    <m/>
    <m/>
    <n v="0"/>
    <n v="0"/>
    <n v="0"/>
    <m/>
    <n v="0"/>
    <m/>
    <m/>
    <m/>
    <m/>
    <m/>
    <m/>
    <m/>
    <m/>
    <m/>
  </r>
  <r>
    <x v="1"/>
    <s v="Cossatot Community College of the University of Arkansas"/>
    <m/>
    <n v="106795"/>
    <x v="8"/>
    <n v="32202"/>
    <n v="31651"/>
    <n v="7179"/>
    <n v="7474"/>
    <n v="9939"/>
    <n v="9385"/>
    <n v="11610"/>
    <n v="3474"/>
    <n v="0"/>
    <n v="11364"/>
    <n v="3428"/>
    <n v="0"/>
    <m/>
    <m/>
    <n v="0"/>
    <n v="0"/>
    <n v="0"/>
    <m/>
    <n v="0"/>
    <m/>
    <m/>
    <m/>
    <m/>
    <m/>
    <m/>
    <m/>
    <m/>
    <m/>
  </r>
  <r>
    <x v="1"/>
    <s v="East Arkansas Community College "/>
    <m/>
    <n v="106883"/>
    <x v="8"/>
    <n v="32115"/>
    <n v="29418"/>
    <n v="18957"/>
    <n v="17476"/>
    <n v="6564"/>
    <n v="6563"/>
    <n v="5373"/>
    <n v="1221"/>
    <n v="0"/>
    <n v="4864"/>
    <n v="515"/>
    <n v="0"/>
    <m/>
    <m/>
    <n v="0"/>
    <n v="0"/>
    <n v="0"/>
    <m/>
    <n v="0"/>
    <m/>
    <m/>
    <m/>
    <m/>
    <m/>
    <m/>
    <m/>
    <m/>
    <m/>
  </r>
  <r>
    <x v="1"/>
    <s v="Mid-South Community College "/>
    <m/>
    <n v="107318"/>
    <x v="8"/>
    <n v="43515"/>
    <n v="38654"/>
    <n v="40723"/>
    <n v="35966"/>
    <n v="637"/>
    <n v="541"/>
    <n v="2155"/>
    <m/>
    <m/>
    <n v="2147"/>
    <n v="0"/>
    <n v="0"/>
    <m/>
    <m/>
    <n v="0"/>
    <n v="0"/>
    <n v="0"/>
    <m/>
    <n v="0"/>
    <m/>
    <m/>
    <m/>
    <m/>
    <m/>
    <m/>
    <m/>
    <m/>
    <m/>
  </r>
  <r>
    <x v="1"/>
    <s v="North Arkansas College"/>
    <m/>
    <n v="107460"/>
    <x v="8"/>
    <n v="56913"/>
    <n v="56323"/>
    <n v="50019"/>
    <n v="48094"/>
    <n v="2457"/>
    <n v="2761"/>
    <n v="4437"/>
    <m/>
    <m/>
    <n v="5468"/>
    <n v="0"/>
    <n v="0"/>
    <m/>
    <m/>
    <n v="0"/>
    <n v="0"/>
    <n v="0"/>
    <m/>
    <n v="0"/>
    <m/>
    <m/>
    <m/>
    <m/>
    <m/>
    <m/>
    <m/>
    <m/>
    <m/>
  </r>
  <r>
    <x v="1"/>
    <s v="Ozarka College "/>
    <m/>
    <n v="107549"/>
    <x v="8"/>
    <n v="33890"/>
    <n v="38954"/>
    <n v="21744"/>
    <n v="23560"/>
    <n v="1824"/>
    <n v="1633"/>
    <n v="8263"/>
    <n v="2059"/>
    <m/>
    <n v="12321"/>
    <n v="1440"/>
    <n v="0"/>
    <m/>
    <m/>
    <n v="0"/>
    <n v="0"/>
    <n v="0"/>
    <m/>
    <n v="0"/>
    <m/>
    <m/>
    <m/>
    <m/>
    <m/>
    <m/>
    <m/>
    <m/>
    <m/>
  </r>
  <r>
    <x v="1"/>
    <s v="Phillips Community College of the Univ of Arkansas"/>
    <m/>
    <n v="107619"/>
    <x v="8"/>
    <n v="41430"/>
    <n v="40016"/>
    <n v="36982"/>
    <n v="35892"/>
    <n v="0"/>
    <n v="0"/>
    <n v="2932"/>
    <n v="1428"/>
    <n v="88"/>
    <n v="2877"/>
    <n v="1011"/>
    <n v="236"/>
    <m/>
    <m/>
    <n v="0"/>
    <n v="0"/>
    <n v="0"/>
    <m/>
    <n v="0"/>
    <m/>
    <m/>
    <m/>
    <m/>
    <m/>
    <m/>
    <m/>
    <m/>
    <m/>
  </r>
  <r>
    <x v="1"/>
    <s v="Rich Mountain Community College "/>
    <m/>
    <n v="107743"/>
    <x v="8"/>
    <n v="20112"/>
    <n v="20833"/>
    <n v="13667"/>
    <n v="11925"/>
    <n v="4577"/>
    <n v="5078"/>
    <n v="1478"/>
    <n v="126"/>
    <n v="264"/>
    <n v="3623"/>
    <n v="207"/>
    <n v="0"/>
    <m/>
    <m/>
    <n v="0"/>
    <n v="0"/>
    <n v="0"/>
    <m/>
    <n v="0"/>
    <m/>
    <m/>
    <m/>
    <m/>
    <m/>
    <m/>
    <m/>
    <m/>
    <m/>
  </r>
  <r>
    <x v="1"/>
    <s v="South Arkansas Community College"/>
    <m/>
    <n v="107974"/>
    <x v="8"/>
    <n v="40831"/>
    <n v="41745"/>
    <n v="33339"/>
    <n v="33028"/>
    <n v="180"/>
    <n v="807"/>
    <n v="7312"/>
    <m/>
    <m/>
    <n v="7859"/>
    <n v="0"/>
    <n v="0"/>
    <m/>
    <n v="51"/>
    <n v="0"/>
    <n v="0"/>
    <n v="0"/>
    <m/>
    <n v="0"/>
    <m/>
    <m/>
    <m/>
    <m/>
    <m/>
    <m/>
    <m/>
    <m/>
    <m/>
  </r>
  <r>
    <x v="1"/>
    <s v="Southeast Arkansas College"/>
    <m/>
    <n v="107637"/>
    <x v="8"/>
    <n v="49137"/>
    <n v="46869"/>
    <n v="42484"/>
    <n v="39854"/>
    <n v="2381"/>
    <n v="2808"/>
    <n v="4272"/>
    <m/>
    <m/>
    <n v="4207"/>
    <n v="0"/>
    <n v="0"/>
    <m/>
    <m/>
    <n v="0"/>
    <n v="0"/>
    <n v="0"/>
    <m/>
    <n v="0"/>
    <m/>
    <m/>
    <m/>
    <m/>
    <m/>
    <m/>
    <m/>
    <m/>
    <m/>
  </r>
  <r>
    <x v="1"/>
    <s v="Southern Arkansas University Tech"/>
    <m/>
    <n v="107992"/>
    <x v="8"/>
    <n v="39285"/>
    <n v="42257"/>
    <n v="17445"/>
    <n v="18096"/>
    <n v="11619"/>
    <n v="14516"/>
    <m/>
    <n v="10221"/>
    <m/>
    <n v="9645"/>
    <n v="0"/>
    <n v="0"/>
    <m/>
    <m/>
    <n v="0"/>
    <n v="0"/>
    <n v="0"/>
    <m/>
    <n v="0"/>
    <m/>
    <m/>
    <m/>
    <m/>
    <m/>
    <m/>
    <m/>
    <m/>
    <m/>
  </r>
  <r>
    <x v="1"/>
    <s v="University of Arkansas Community College at Batesville"/>
    <m/>
    <n v="106999"/>
    <x v="8"/>
    <n v="41477"/>
    <n v="38625"/>
    <n v="34434"/>
    <n v="30402"/>
    <n v="534"/>
    <n v="1310"/>
    <n v="6509"/>
    <m/>
    <m/>
    <n v="6913"/>
    <n v="0"/>
    <n v="0"/>
    <m/>
    <m/>
    <n v="0"/>
    <n v="0"/>
    <n v="0"/>
    <m/>
    <n v="0"/>
    <m/>
    <m/>
    <m/>
    <m/>
    <m/>
    <m/>
    <m/>
    <m/>
    <m/>
  </r>
  <r>
    <x v="1"/>
    <s v="University of Arkansas Community College at Hope"/>
    <m/>
    <n v="107725"/>
    <x v="8"/>
    <n v="34577"/>
    <n v="31481"/>
    <n v="34556"/>
    <n v="31220"/>
    <n v="0"/>
    <n v="0"/>
    <n v="3"/>
    <n v="18"/>
    <m/>
    <n v="9"/>
    <n v="252"/>
    <n v="0"/>
    <m/>
    <m/>
    <n v="0"/>
    <n v="0"/>
    <n v="0"/>
    <m/>
    <n v="0"/>
    <m/>
    <m/>
    <m/>
    <m/>
    <m/>
    <m/>
    <m/>
    <m/>
    <m/>
  </r>
  <r>
    <x v="1"/>
    <s v="University of Arkansas Community College at Morrilton"/>
    <m/>
    <n v="107585"/>
    <x v="8"/>
    <n v="58656"/>
    <n v="57941"/>
    <n v="56063"/>
    <n v="55241"/>
    <n v="0"/>
    <n v="0"/>
    <n v="2593"/>
    <m/>
    <m/>
    <n v="2700"/>
    <n v="0"/>
    <n v="0"/>
    <m/>
    <m/>
    <n v="0"/>
    <n v="0"/>
    <n v="0"/>
    <m/>
    <n v="0"/>
    <m/>
    <m/>
    <m/>
    <m/>
    <m/>
    <m/>
    <m/>
    <m/>
    <m/>
  </r>
  <r>
    <x v="2"/>
    <s v="University of Delaware"/>
    <m/>
    <n v="130943"/>
    <x v="0"/>
    <n v="519545"/>
    <n v="525599"/>
    <n v="501354"/>
    <n v="509681"/>
    <m/>
    <m/>
    <n v="18191"/>
    <n v="0"/>
    <n v="0"/>
    <n v="15918"/>
    <n v="0"/>
    <n v="0"/>
    <n v="0"/>
    <n v="0"/>
    <n v="54654"/>
    <n v="51744"/>
    <n v="51222"/>
    <n v="48822"/>
    <m/>
    <m/>
    <n v="3303"/>
    <n v="129"/>
    <n v="0"/>
    <n v="2922"/>
    <n v="0"/>
    <n v="0"/>
    <n v="0"/>
    <n v="0"/>
  </r>
  <r>
    <x v="2"/>
    <s v="Delaware State University"/>
    <s v="Met the criteria for Four-Year 3 in 2010-11 and 2011-12."/>
    <n v="130934"/>
    <x v="3"/>
    <n v="105469"/>
    <n v="105618"/>
    <n v="105373"/>
    <n v="103887"/>
    <m/>
    <m/>
    <n v="96"/>
    <n v="0"/>
    <n v="0"/>
    <n v="1731"/>
    <n v="0"/>
    <n v="0"/>
    <m/>
    <m/>
    <n v="8878"/>
    <n v="11247"/>
    <n v="8851"/>
    <n v="7767"/>
    <m/>
    <m/>
    <n v="27"/>
    <m/>
    <m/>
    <n v="3480"/>
    <n v="0"/>
    <m/>
    <m/>
    <m/>
  </r>
  <r>
    <x v="2"/>
    <s v="Delaware Technical and Community College--Stanton-Wilmington"/>
    <s v="Reclassified: Met the criteria for Two-Year 1 in 2009-10, 2010-11 and 2011-12."/>
    <n v="130916"/>
    <x v="6"/>
    <n v="162690"/>
    <n v="157752"/>
    <n v="145885"/>
    <n v="136779"/>
    <m/>
    <m/>
    <n v="12639"/>
    <n v="189"/>
    <n v="3977"/>
    <n v="13550"/>
    <n v="276"/>
    <n v="7147"/>
    <m/>
    <m/>
    <n v="0"/>
    <n v="0"/>
    <m/>
    <m/>
    <m/>
    <m/>
    <m/>
    <m/>
    <m/>
    <m/>
    <m/>
    <m/>
    <m/>
    <m/>
  </r>
  <r>
    <x v="2"/>
    <s v="Delaware Technical and Community College--Owens"/>
    <m/>
    <n v="130891"/>
    <x v="7"/>
    <n v="106464"/>
    <n v="104175"/>
    <n v="90030"/>
    <n v="85980"/>
    <m/>
    <m/>
    <n v="14347"/>
    <n v="341"/>
    <n v="1746"/>
    <n v="14675"/>
    <n v="379"/>
    <n v="3141"/>
    <m/>
    <m/>
    <n v="0"/>
    <n v="0"/>
    <m/>
    <m/>
    <m/>
    <m/>
    <m/>
    <m/>
    <m/>
    <m/>
    <m/>
    <m/>
    <m/>
    <m/>
  </r>
  <r>
    <x v="2"/>
    <s v="Delaware Technical and Community College--Terry"/>
    <m/>
    <n v="130907"/>
    <x v="7"/>
    <n v="74345"/>
    <n v="74593"/>
    <n v="60156"/>
    <n v="58755"/>
    <m/>
    <m/>
    <n v="8114"/>
    <n v="97"/>
    <n v="5978"/>
    <n v="9412"/>
    <n v="131"/>
    <n v="6295"/>
    <m/>
    <m/>
    <n v="0"/>
    <n v="0"/>
    <m/>
    <m/>
    <m/>
    <m/>
    <m/>
    <m/>
    <m/>
    <m/>
    <m/>
    <m/>
    <m/>
    <m/>
  </r>
  <r>
    <x v="3"/>
    <s v="Florida International University"/>
    <m/>
    <n v="133951"/>
    <x v="0"/>
    <n v="897265"/>
    <n v="980018"/>
    <n v="591080"/>
    <n v="626050"/>
    <n v="154504"/>
    <n v="157723"/>
    <n v="150251"/>
    <m/>
    <n v="1430"/>
    <n v="193967"/>
    <m/>
    <n v="2278"/>
    <m/>
    <m/>
    <n v="174422"/>
    <n v="188255"/>
    <n v="120310"/>
    <n v="123627"/>
    <n v="34619"/>
    <n v="29986"/>
    <n v="18941"/>
    <m/>
    <n v="552"/>
    <n v="34159"/>
    <m/>
    <n v="483"/>
    <m/>
    <m/>
  </r>
  <r>
    <x v="3"/>
    <s v="Florida State University "/>
    <m/>
    <n v="134097"/>
    <x v="0"/>
    <n v="972297"/>
    <n v="1008210"/>
    <n v="827082"/>
    <n v="838335"/>
    <n v="64350"/>
    <n v="66443"/>
    <n v="31723"/>
    <m/>
    <n v="49142"/>
    <n v="40110"/>
    <m/>
    <n v="63322"/>
    <m/>
    <m/>
    <n v="184136"/>
    <n v="185434"/>
    <n v="147674"/>
    <n v="151416"/>
    <n v="9717"/>
    <n v="10318"/>
    <n v="25533"/>
    <m/>
    <n v="1212"/>
    <n v="22623"/>
    <m/>
    <n v="1077"/>
    <m/>
    <m/>
  </r>
  <r>
    <x v="3"/>
    <s v="University of Central Florida "/>
    <m/>
    <n v="132903"/>
    <x v="0"/>
    <n v="1281797"/>
    <n v="1343366"/>
    <n v="854188"/>
    <n v="827028"/>
    <n v="99536"/>
    <n v="101814"/>
    <n v="319467"/>
    <n v="1758"/>
    <n v="6848"/>
    <n v="414524"/>
    <m/>
    <m/>
    <m/>
    <m/>
    <n v="140449"/>
    <n v="142457"/>
    <n v="76050"/>
    <n v="73305.5"/>
    <n v="12844"/>
    <n v="12216.5"/>
    <n v="49893"/>
    <n v="156"/>
    <n v="1506"/>
    <n v="56935"/>
    <m/>
    <m/>
    <m/>
    <m/>
  </r>
  <r>
    <x v="3"/>
    <s v="University of Florida"/>
    <m/>
    <n v="134130"/>
    <x v="0"/>
    <n v="983555"/>
    <n v="953541"/>
    <n v="749194"/>
    <n v="815465"/>
    <m/>
    <m/>
    <n v="126058"/>
    <n v="346"/>
    <n v="101235"/>
    <n v="114854"/>
    <m/>
    <n v="17169"/>
    <n v="6722"/>
    <n v="6053"/>
    <n v="357500"/>
    <n v="317112"/>
    <n v="265398"/>
    <n v="265271"/>
    <n v="30"/>
    <m/>
    <n v="47167"/>
    <n v="505"/>
    <n v="44283"/>
    <n v="45713"/>
    <m/>
    <n v="6128"/>
    <n v="117"/>
    <m/>
  </r>
  <r>
    <x v="3"/>
    <s v="University of South Florida "/>
    <m/>
    <n v="137351"/>
    <x v="0"/>
    <n v="1011653"/>
    <n v="1017967"/>
    <n v="676590"/>
    <n v="668322"/>
    <n v="123581"/>
    <n v="122188"/>
    <n v="204478"/>
    <n v="337"/>
    <n v="6667"/>
    <n v="221485"/>
    <m/>
    <n v="5972"/>
    <m/>
    <m/>
    <n v="188864"/>
    <n v="185896"/>
    <n v="119238"/>
    <n v="127463"/>
    <n v="25920"/>
    <n v="16823"/>
    <n v="43673"/>
    <m/>
    <n v="33"/>
    <n v="41610"/>
    <m/>
    <m/>
    <m/>
    <m/>
  </r>
  <r>
    <x v="3"/>
    <s v="Florida Atlantic University "/>
    <m/>
    <n v="133669"/>
    <x v="1"/>
    <n v="570235"/>
    <n v="599677"/>
    <n v="425119"/>
    <n v="453166"/>
    <n v="108075"/>
    <n v="101742"/>
    <n v="32865"/>
    <n v="1870"/>
    <n v="2306"/>
    <n v="43380"/>
    <m/>
    <n v="1389"/>
    <m/>
    <m/>
    <n v="80819"/>
    <n v="78558"/>
    <n v="46326"/>
    <n v="47144"/>
    <n v="14834"/>
    <n v="12530"/>
    <n v="17682"/>
    <n v="789"/>
    <n v="1188"/>
    <n v="17717"/>
    <m/>
    <n v="1167"/>
    <m/>
    <m/>
  </r>
  <r>
    <x v="3"/>
    <s v="Florida Agricultural &amp; Mechanical University "/>
    <s v="Met the criteria for Four-Year 2 in 2011-12."/>
    <n v="133650"/>
    <x v="2"/>
    <n v="325761"/>
    <n v="324142"/>
    <n v="321906"/>
    <n v="321294"/>
    <n v="3796"/>
    <n v="2740"/>
    <m/>
    <m/>
    <n v="59"/>
    <n v="108"/>
    <m/>
    <m/>
    <m/>
    <m/>
    <n v="49743"/>
    <n v="50148"/>
    <n v="31978"/>
    <n v="30345"/>
    <n v="17765"/>
    <n v="19327"/>
    <m/>
    <m/>
    <m/>
    <n v="476"/>
    <m/>
    <m/>
    <m/>
    <m/>
  </r>
  <r>
    <x v="3"/>
    <s v="University of North Florida"/>
    <m/>
    <n v="136172"/>
    <x v="2"/>
    <n v="379860"/>
    <n v="382476"/>
    <n v="360615"/>
    <n v="358792"/>
    <n v="4476"/>
    <n v="3819"/>
    <n v="14769"/>
    <m/>
    <m/>
    <n v="19841"/>
    <m/>
    <n v="24"/>
    <m/>
    <m/>
    <n v="33015"/>
    <n v="32544"/>
    <n v="26686"/>
    <n v="27219"/>
    <n v="3236"/>
    <n v="2097"/>
    <n v="3093"/>
    <m/>
    <m/>
    <n v="3228"/>
    <m/>
    <m/>
    <m/>
    <m/>
  </r>
  <r>
    <x v="3"/>
    <s v="University of West Florida"/>
    <m/>
    <n v="138354"/>
    <x v="2"/>
    <n v="247942"/>
    <n v="255719.5"/>
    <n v="128685"/>
    <n v="130788.5"/>
    <n v="3288"/>
    <n v="2234"/>
    <n v="108181"/>
    <n v="452"/>
    <n v="7336"/>
    <n v="108087"/>
    <m/>
    <n v="14610"/>
    <m/>
    <m/>
    <n v="31484"/>
    <n v="31883.5"/>
    <n v="7934"/>
    <n v="8739.5"/>
    <n v="402"/>
    <n v="312"/>
    <n v="20592"/>
    <n v="231"/>
    <n v="2325"/>
    <n v="19723"/>
    <m/>
    <n v="3109"/>
    <m/>
    <m/>
  </r>
  <r>
    <x v="3"/>
    <s v="Florida Gulf Coast University"/>
    <m/>
    <n v="433660"/>
    <x v="3"/>
    <n v="268823"/>
    <n v="288563"/>
    <n v="211054"/>
    <n v="230793"/>
    <n v="5973"/>
    <n v="7617"/>
    <n v="51796"/>
    <m/>
    <m/>
    <n v="50153"/>
    <m/>
    <m/>
    <m/>
    <m/>
    <n v="24078"/>
    <n v="23963"/>
    <n v="12553"/>
    <n v="12943"/>
    <n v="1376"/>
    <n v="1639"/>
    <n v="10149"/>
    <m/>
    <m/>
    <n v="9381"/>
    <m/>
    <m/>
    <m/>
    <m/>
  </r>
  <r>
    <x v="3"/>
    <s v="New College of Florida"/>
    <m/>
    <n v="262129"/>
    <x v="5"/>
    <n v="27680"/>
    <n v="28208"/>
    <n v="27680"/>
    <n v="28208"/>
    <m/>
    <m/>
    <m/>
    <m/>
    <m/>
    <m/>
    <m/>
    <m/>
    <m/>
    <m/>
    <n v="0"/>
    <n v="0"/>
    <m/>
    <m/>
    <m/>
    <m/>
    <m/>
    <m/>
    <m/>
    <m/>
    <m/>
    <m/>
    <m/>
    <m/>
  </r>
  <r>
    <x v="3"/>
    <s v="Chipola College "/>
    <m/>
    <n v="133021"/>
    <x v="11"/>
    <n v="46218"/>
    <n v="46079"/>
    <n v="17236"/>
    <n v="10067"/>
    <n v="1150"/>
    <n v="1709"/>
    <n v="3576"/>
    <n v="0"/>
    <n v="15952"/>
    <n v="6298"/>
    <n v="0"/>
    <n v="28002"/>
    <n v="8304"/>
    <n v="3"/>
    <n v="0"/>
    <n v="0"/>
    <m/>
    <m/>
    <m/>
    <m/>
    <m/>
    <m/>
    <m/>
    <m/>
    <m/>
    <m/>
    <m/>
    <m/>
  </r>
  <r>
    <x v="3"/>
    <s v="Daytona State College "/>
    <m/>
    <n v="133386"/>
    <x v="11"/>
    <n v="403847"/>
    <n v="377587"/>
    <n v="318148"/>
    <n v="281729"/>
    <n v="7"/>
    <n v="0"/>
    <n v="85480"/>
    <n v="0"/>
    <n v="212"/>
    <n v="95837"/>
    <n v="0"/>
    <n v="21"/>
    <n v="0"/>
    <n v="0"/>
    <n v="0"/>
    <n v="0"/>
    <m/>
    <m/>
    <m/>
    <m/>
    <m/>
    <m/>
    <m/>
    <m/>
    <m/>
    <m/>
    <m/>
    <m/>
  </r>
  <r>
    <x v="3"/>
    <s v="Edison State College "/>
    <m/>
    <n v="133508"/>
    <x v="11"/>
    <n v="360927"/>
    <n v="365357"/>
    <n v="286589"/>
    <n v="282235"/>
    <n v="12937"/>
    <n v="12797"/>
    <n v="48140"/>
    <n v="30"/>
    <n v="5867"/>
    <n v="54151"/>
    <n v="108"/>
    <n v="9097"/>
    <n v="7364"/>
    <n v="6969"/>
    <n v="0"/>
    <n v="0"/>
    <m/>
    <m/>
    <m/>
    <m/>
    <m/>
    <m/>
    <m/>
    <m/>
    <m/>
    <m/>
    <m/>
    <m/>
  </r>
  <r>
    <x v="3"/>
    <s v="Florida State College at Jacksonville"/>
    <s v="Reclassified: met the criteria for Two-Year with Bachelor's in 2009-10, 2010-11 and 2011-12."/>
    <n v="133702"/>
    <x v="11"/>
    <n v="668206"/>
    <n v="682953"/>
    <n v="381648"/>
    <n v="377862"/>
    <n v="11706"/>
    <n v="8017"/>
    <n v="217457"/>
    <n v="0"/>
    <n v="57395"/>
    <n v="297074"/>
    <n v="0"/>
    <n v="0"/>
    <n v="0"/>
    <n v="0"/>
    <n v="0"/>
    <n v="0"/>
    <m/>
    <m/>
    <m/>
    <m/>
    <m/>
    <m/>
    <m/>
    <m/>
    <m/>
    <m/>
    <m/>
    <m/>
  </r>
  <r>
    <x v="3"/>
    <s v="Indian River State College "/>
    <s v="Reclassified: met the criteria for Two-Year with Bachelor's in 2009-10, 2010-11 and 2011-12."/>
    <n v="134608"/>
    <x v="11"/>
    <n v="335103"/>
    <n v="341318"/>
    <n v="246610"/>
    <n v="248045"/>
    <n v="11556"/>
    <n v="10489"/>
    <n v="57764"/>
    <n v="2805"/>
    <n v="16139"/>
    <n v="61964"/>
    <n v="0"/>
    <n v="20468"/>
    <n v="229"/>
    <n v="352"/>
    <n v="0"/>
    <n v="0"/>
    <m/>
    <m/>
    <m/>
    <m/>
    <m/>
    <m/>
    <m/>
    <m/>
    <m/>
    <m/>
    <m/>
    <m/>
  </r>
  <r>
    <x v="3"/>
    <s v="Miami Dade College "/>
    <m/>
    <n v="135717"/>
    <x v="11"/>
    <n v="1571735"/>
    <n v="1654124"/>
    <n v="1423962"/>
    <n v="1203140"/>
    <n v="16409"/>
    <n v="12930"/>
    <n v="103467"/>
    <n v="0"/>
    <n v="27897"/>
    <n v="397912"/>
    <n v="0"/>
    <n v="40142"/>
    <n v="0"/>
    <n v="0"/>
    <n v="0"/>
    <n v="0"/>
    <m/>
    <m/>
    <m/>
    <m/>
    <m/>
    <m/>
    <m/>
    <m/>
    <m/>
    <m/>
    <m/>
    <m/>
  </r>
  <r>
    <x v="3"/>
    <s v="Northwest Florida State College"/>
    <m/>
    <n v="136233"/>
    <x v="11"/>
    <n v="167455"/>
    <n v="162396"/>
    <n v="102950"/>
    <n v="97094"/>
    <n v="19156"/>
    <n v="17614"/>
    <n v="22421"/>
    <n v="0"/>
    <n v="11157"/>
    <n v="24364"/>
    <n v="0"/>
    <n v="13640"/>
    <n v="11771"/>
    <n v="9684"/>
    <n v="0"/>
    <n v="0"/>
    <m/>
    <m/>
    <m/>
    <m/>
    <m/>
    <m/>
    <m/>
    <m/>
    <m/>
    <m/>
    <m/>
    <m/>
  </r>
  <r>
    <x v="3"/>
    <s v="St. Petersburg College "/>
    <m/>
    <n v="137078"/>
    <x v="11"/>
    <n v="649907"/>
    <n v="679694"/>
    <n v="362169"/>
    <n v="365714"/>
    <n v="0"/>
    <n v="0"/>
    <n v="230083"/>
    <n v="540"/>
    <n v="54084"/>
    <n v="254204"/>
    <n v="426"/>
    <n v="54550"/>
    <n v="3031"/>
    <n v="4800"/>
    <n v="0"/>
    <n v="0"/>
    <m/>
    <m/>
    <m/>
    <m/>
    <m/>
    <m/>
    <m/>
    <m/>
    <m/>
    <m/>
    <m/>
    <m/>
  </r>
  <r>
    <x v="3"/>
    <s v="Brevard Community College "/>
    <m/>
    <n v="132693"/>
    <x v="6"/>
    <n v="360629"/>
    <n v="372944"/>
    <n v="226058"/>
    <n v="219853"/>
    <n v="9299"/>
    <n v="7202"/>
    <n v="110135"/>
    <n v="0"/>
    <n v="15137"/>
    <n v="111667"/>
    <n v="0"/>
    <n v="34222"/>
    <n v="0"/>
    <n v="0"/>
    <n v="0"/>
    <n v="0"/>
    <m/>
    <m/>
    <m/>
    <m/>
    <m/>
    <m/>
    <m/>
    <m/>
    <m/>
    <m/>
    <m/>
    <m/>
  </r>
  <r>
    <x v="3"/>
    <s v="Broward College "/>
    <s v="Met the criteria for Two-Year with Bachelor's in 2011-12."/>
    <n v="132709"/>
    <x v="6"/>
    <n v="870553"/>
    <n v="921681"/>
    <n v="684329"/>
    <n v="694714"/>
    <n v="51796"/>
    <n v="58276"/>
    <n v="77703"/>
    <n v="1084"/>
    <n v="53505"/>
    <n v="93235"/>
    <n v="1035"/>
    <n v="73014"/>
    <n v="2136"/>
    <n v="1407"/>
    <n v="0"/>
    <n v="0"/>
    <m/>
    <m/>
    <m/>
    <m/>
    <m/>
    <m/>
    <m/>
    <m/>
    <m/>
    <m/>
    <m/>
    <m/>
  </r>
  <r>
    <x v="3"/>
    <s v="College of Central Florida"/>
    <m/>
    <n v="132851"/>
    <x v="6"/>
    <n v="179067"/>
    <n v="184131"/>
    <n v="137662"/>
    <n v="129758"/>
    <n v="0"/>
    <n v="0"/>
    <n v="32997"/>
    <n v="0"/>
    <n v="8408"/>
    <n v="42119"/>
    <n v="0"/>
    <n v="12254"/>
    <n v="0"/>
    <n v="0"/>
    <n v="0"/>
    <n v="0"/>
    <m/>
    <m/>
    <m/>
    <m/>
    <m/>
    <m/>
    <m/>
    <m/>
    <m/>
    <m/>
    <m/>
    <m/>
  </r>
  <r>
    <x v="3"/>
    <s v="Hillsborough Community College "/>
    <m/>
    <n v="134495"/>
    <x v="6"/>
    <n v="591140"/>
    <n v="603772"/>
    <n v="491367"/>
    <n v="474178"/>
    <n v="14673"/>
    <n v="14273"/>
    <n v="61044"/>
    <n v="0"/>
    <n v="24056"/>
    <n v="69571"/>
    <n v="0"/>
    <n v="45750"/>
    <n v="0"/>
    <n v="0"/>
    <n v="0"/>
    <n v="0"/>
    <m/>
    <m/>
    <m/>
    <m/>
    <m/>
    <m/>
    <m/>
    <m/>
    <m/>
    <m/>
    <m/>
    <m/>
  </r>
  <r>
    <x v="3"/>
    <s v="Palm Beach State College "/>
    <s v="Met the criteria for Two-Year with Bachelor's in 2011-12."/>
    <n v="136358"/>
    <x v="6"/>
    <n v="566788"/>
    <n v="592459"/>
    <n v="445259"/>
    <n v="464781"/>
    <n v="11941"/>
    <n v="12088"/>
    <n v="79376"/>
    <n v="714"/>
    <n v="29498"/>
    <n v="100613"/>
    <n v="1947"/>
    <n v="13030"/>
    <n v="0"/>
    <n v="0"/>
    <n v="0"/>
    <n v="0"/>
    <m/>
    <m/>
    <m/>
    <m/>
    <m/>
    <m/>
    <m/>
    <m/>
    <m/>
    <m/>
    <m/>
    <m/>
  </r>
  <r>
    <x v="3"/>
    <s v="Pasco-Hernando Community College "/>
    <m/>
    <n v="136400"/>
    <x v="6"/>
    <n v="211011"/>
    <n v="222781"/>
    <n v="174539"/>
    <n v="179472"/>
    <n v="5466"/>
    <n v="7663"/>
    <n v="30401"/>
    <n v="0"/>
    <n v="605"/>
    <n v="35150"/>
    <n v="0"/>
    <n v="496"/>
    <n v="0"/>
    <n v="0"/>
    <n v="0"/>
    <n v="0"/>
    <m/>
    <m/>
    <m/>
    <m/>
    <m/>
    <m/>
    <m/>
    <m/>
    <m/>
    <m/>
    <m/>
    <m/>
  </r>
  <r>
    <x v="3"/>
    <s v="Pensacola State College "/>
    <m/>
    <n v="136473"/>
    <x v="6"/>
    <n v="245092"/>
    <n v="252635"/>
    <n v="196410"/>
    <n v="196934"/>
    <n v="10437"/>
    <n v="11484"/>
    <n v="34726"/>
    <n v="0"/>
    <n v="3519"/>
    <n v="37524"/>
    <n v="0"/>
    <n v="6693"/>
    <n v="0"/>
    <n v="0"/>
    <n v="0"/>
    <n v="0"/>
    <m/>
    <m/>
    <m/>
    <m/>
    <m/>
    <m/>
    <m/>
    <m/>
    <m/>
    <m/>
    <m/>
    <m/>
  </r>
  <r>
    <x v="3"/>
    <s v="Polk State College "/>
    <s v="Met the criteria for Two-Year with Bachelor's in 2011-12."/>
    <n v="136516"/>
    <x v="6"/>
    <n v="206465"/>
    <n v="219030"/>
    <n v="157717"/>
    <n v="156282"/>
    <n v="11291"/>
    <n v="13405"/>
    <n v="26838"/>
    <n v="0"/>
    <n v="10619"/>
    <n v="35600"/>
    <n v="0"/>
    <n v="13743"/>
    <n v="0"/>
    <n v="0"/>
    <n v="0"/>
    <n v="0"/>
    <m/>
    <m/>
    <m/>
    <m/>
    <m/>
    <m/>
    <m/>
    <m/>
    <m/>
    <m/>
    <m/>
    <m/>
  </r>
  <r>
    <x v="3"/>
    <s v="Santa Fe College "/>
    <m/>
    <n v="137096"/>
    <x v="6"/>
    <n v="359098"/>
    <n v="363960"/>
    <n v="276151"/>
    <n v="268875"/>
    <n v="3887"/>
    <n v="4423"/>
    <n v="58580"/>
    <n v="0"/>
    <n v="20480"/>
    <n v="65615"/>
    <n v="0"/>
    <n v="25047"/>
    <n v="0"/>
    <n v="0"/>
    <n v="0"/>
    <n v="0"/>
    <m/>
    <m/>
    <m/>
    <m/>
    <m/>
    <m/>
    <m/>
    <m/>
    <m/>
    <m/>
    <m/>
    <m/>
  </r>
  <r>
    <x v="3"/>
    <s v="Seminole State College of Florida"/>
    <m/>
    <n v="137209"/>
    <x v="6"/>
    <n v="398887"/>
    <n v="415156"/>
    <n v="319443"/>
    <n v="329072"/>
    <n v="0"/>
    <n v="0"/>
    <n v="74132"/>
    <n v="0"/>
    <n v="5312"/>
    <n v="81623"/>
    <n v="0"/>
    <n v="4461"/>
    <n v="0"/>
    <n v="0"/>
    <n v="0"/>
    <n v="0"/>
    <m/>
    <m/>
    <m/>
    <m/>
    <m/>
    <m/>
    <m/>
    <m/>
    <m/>
    <m/>
    <m/>
    <m/>
  </r>
  <r>
    <x v="3"/>
    <s v="State College of Florida, Manatee-Sarasota"/>
    <s v="Met the criteria for Two-Year with Bachelor's in 2011-12."/>
    <n v="135391"/>
    <x v="6"/>
    <n v="276380"/>
    <n v="258433"/>
    <n v="223582"/>
    <n v="193907"/>
    <n v="9372"/>
    <n v="9332"/>
    <n v="30775"/>
    <n v="1569"/>
    <n v="11082"/>
    <n v="38391"/>
    <n v="1416"/>
    <n v="15387"/>
    <n v="0"/>
    <n v="0"/>
    <n v="0"/>
    <n v="0"/>
    <m/>
    <m/>
    <m/>
    <m/>
    <m/>
    <m/>
    <m/>
    <m/>
    <m/>
    <m/>
    <m/>
    <m/>
  </r>
  <r>
    <x v="3"/>
    <s v="Tallahassee Community College "/>
    <m/>
    <n v="137759"/>
    <x v="6"/>
    <n v="342820"/>
    <n v="352517"/>
    <n v="165250"/>
    <n v="34131"/>
    <n v="3054"/>
    <n v="1753"/>
    <n v="18829"/>
    <n v="0"/>
    <n v="155687"/>
    <n v="32092"/>
    <n v="0"/>
    <n v="284541"/>
    <n v="0"/>
    <n v="0"/>
    <n v="0"/>
    <n v="0"/>
    <m/>
    <m/>
    <m/>
    <m/>
    <m/>
    <m/>
    <m/>
    <m/>
    <m/>
    <m/>
    <m/>
    <m/>
  </r>
  <r>
    <x v="3"/>
    <s v="Valencia Community College "/>
    <m/>
    <n v="138187"/>
    <x v="6"/>
    <n v="915042"/>
    <n v="943242"/>
    <n v="715709"/>
    <n v="711310"/>
    <n v="0"/>
    <n v="0"/>
    <n v="161499"/>
    <n v="0"/>
    <n v="37834"/>
    <n v="176569"/>
    <n v="0"/>
    <n v="55363"/>
    <n v="0"/>
    <n v="0"/>
    <n v="0"/>
    <n v="0"/>
    <m/>
    <m/>
    <m/>
    <m/>
    <m/>
    <m/>
    <m/>
    <m/>
    <m/>
    <m/>
    <m/>
    <m/>
  </r>
  <r>
    <x v="3"/>
    <s v="Gulf Coast Community College "/>
    <m/>
    <n v="134343"/>
    <x v="7"/>
    <n v="138911"/>
    <n v="138301"/>
    <n v="92440"/>
    <n v="90065"/>
    <n v="13282"/>
    <n v="12541"/>
    <n v="29336"/>
    <n v="2299"/>
    <n v="1554"/>
    <n v="31695"/>
    <n v="2224"/>
    <n v="1776"/>
    <n v="0"/>
    <n v="0"/>
    <n v="0"/>
    <n v="0"/>
    <m/>
    <m/>
    <m/>
    <m/>
    <m/>
    <m/>
    <m/>
    <m/>
    <m/>
    <m/>
    <m/>
    <m/>
  </r>
  <r>
    <x v="3"/>
    <s v="Lake City Community College "/>
    <m/>
    <n v="135160"/>
    <x v="7"/>
    <n v="58982"/>
    <n v="59830"/>
    <n v="32078"/>
    <n v="30588"/>
    <n v="1563"/>
    <n v="2137"/>
    <n v="22508"/>
    <n v="1313"/>
    <n v="1520"/>
    <n v="23566"/>
    <n v="1662"/>
    <n v="1877"/>
    <n v="0"/>
    <n v="0"/>
    <n v="0"/>
    <n v="0"/>
    <m/>
    <m/>
    <m/>
    <m/>
    <m/>
    <m/>
    <m/>
    <m/>
    <m/>
    <m/>
    <m/>
    <m/>
  </r>
  <r>
    <x v="3"/>
    <s v="Lake-Sumter Community College "/>
    <m/>
    <n v="135188"/>
    <x v="7"/>
    <n v="97432"/>
    <n v="97223"/>
    <n v="77814"/>
    <n v="78086"/>
    <n v="0"/>
    <n v="0"/>
    <n v="5680"/>
    <n v="0"/>
    <n v="13938"/>
    <n v="6341"/>
    <n v="0"/>
    <n v="12796"/>
    <n v="0"/>
    <n v="0"/>
    <n v="0"/>
    <n v="0"/>
    <m/>
    <m/>
    <m/>
    <m/>
    <m/>
    <m/>
    <m/>
    <m/>
    <m/>
    <m/>
    <m/>
    <m/>
  </r>
  <r>
    <x v="3"/>
    <s v="South Florida Community College "/>
    <m/>
    <n v="137315"/>
    <x v="7"/>
    <n v="49486"/>
    <n v="47356"/>
    <n v="15775"/>
    <n v="4870"/>
    <n v="7763"/>
    <n v="2284"/>
    <n v="6436"/>
    <n v="1248"/>
    <n v="17691"/>
    <n v="5590"/>
    <n v="1251"/>
    <n v="27204"/>
    <n v="573"/>
    <n v="6157"/>
    <n v="0"/>
    <n v="0"/>
    <m/>
    <m/>
    <m/>
    <m/>
    <m/>
    <m/>
    <m/>
    <m/>
    <m/>
    <m/>
    <m/>
    <m/>
  </r>
  <r>
    <x v="3"/>
    <s v="St. Johns River Community College "/>
    <s v="Met the criteria for Two-Year with Bachelor's in 2011-12."/>
    <n v="137281"/>
    <x v="7"/>
    <n v="139519"/>
    <n v="143030"/>
    <n v="98958"/>
    <n v="96680"/>
    <n v="7702"/>
    <n v="9314"/>
    <n v="30261"/>
    <n v="0"/>
    <n v="2598"/>
    <n v="31509"/>
    <n v="0"/>
    <n v="5527"/>
    <n v="0"/>
    <n v="0"/>
    <n v="0"/>
    <n v="0"/>
    <m/>
    <m/>
    <m/>
    <m/>
    <m/>
    <m/>
    <m/>
    <m/>
    <m/>
    <m/>
    <m/>
    <m/>
  </r>
  <r>
    <x v="3"/>
    <s v="Florida Keys Community College "/>
    <m/>
    <n v="133960"/>
    <x v="8"/>
    <n v="29899"/>
    <n v="27535"/>
    <n v="24788"/>
    <n v="20266"/>
    <n v="1298"/>
    <n v="1058"/>
    <n v="3191"/>
    <n v="110"/>
    <n v="512"/>
    <n v="3723"/>
    <n v="0"/>
    <n v="2488"/>
    <n v="0"/>
    <n v="0"/>
    <n v="0"/>
    <n v="0"/>
    <m/>
    <m/>
    <m/>
    <m/>
    <m/>
    <m/>
    <m/>
    <m/>
    <m/>
    <m/>
    <m/>
    <m/>
  </r>
  <r>
    <x v="3"/>
    <s v="North Florida Community College "/>
    <m/>
    <n v="136145"/>
    <x v="8"/>
    <n v="25936"/>
    <n v="26319"/>
    <n v="12168"/>
    <n v="1165"/>
    <n v="1755"/>
    <n v="358"/>
    <n v="4919"/>
    <n v="0"/>
    <n v="7094"/>
    <n v="5494"/>
    <n v="0"/>
    <n v="19302"/>
    <n v="0"/>
    <n v="0"/>
    <n v="0"/>
    <n v="0"/>
    <m/>
    <m/>
    <m/>
    <m/>
    <m/>
    <m/>
    <m/>
    <m/>
    <m/>
    <m/>
    <m/>
    <m/>
  </r>
  <r>
    <x v="4"/>
    <s v="Albany Technical College"/>
    <m/>
    <n v="138682"/>
    <x v="9"/>
    <n v="136345.48359999998"/>
    <n v="157927.70000000001"/>
    <n v="91883.927299999996"/>
    <n v="97891"/>
    <m/>
    <m/>
    <n v="44461.556299999997"/>
    <n v="0"/>
    <m/>
    <n v="60036.7"/>
    <n v="0"/>
    <m/>
    <m/>
    <m/>
    <n v="0"/>
    <n v="0"/>
    <m/>
    <m/>
    <m/>
    <m/>
    <m/>
    <m/>
    <m/>
    <m/>
    <m/>
    <m/>
    <m/>
    <m/>
  </r>
  <r>
    <x v="4"/>
    <s v="Altamaha Technical College"/>
    <m/>
    <n v="366447"/>
    <x v="9"/>
    <n v="42471.4568"/>
    <n v="37106.6"/>
    <n v="36934.513299999999"/>
    <n v="31070"/>
    <m/>
    <m/>
    <n v="5536.9434999999994"/>
    <n v="0"/>
    <m/>
    <n v="6036.6"/>
    <n v="0"/>
    <m/>
    <m/>
    <m/>
    <n v="0"/>
    <n v="0"/>
    <m/>
    <m/>
    <m/>
    <m/>
    <m/>
    <m/>
    <m/>
    <m/>
    <m/>
    <m/>
    <m/>
    <m/>
  </r>
  <r>
    <x v="4"/>
    <s v="Athens Technical College"/>
    <m/>
    <n v="246813"/>
    <x v="9"/>
    <n v="127314.36539999998"/>
    <n v="125489.7"/>
    <n v="113995.03279999999"/>
    <n v="110302.5"/>
    <m/>
    <m/>
    <n v="11915.929099999999"/>
    <n v="1403.4034999999999"/>
    <m/>
    <n v="14240.8"/>
    <n v="946.4"/>
    <m/>
    <m/>
    <m/>
    <n v="0"/>
    <n v="0"/>
    <m/>
    <m/>
    <m/>
    <m/>
    <m/>
    <m/>
    <m/>
    <m/>
    <m/>
    <m/>
    <m/>
    <m/>
  </r>
  <r>
    <x v="4"/>
    <s v="Atlanta Technical College"/>
    <m/>
    <n v="138840"/>
    <x v="9"/>
    <n v="146154.64069999999"/>
    <n v="139261.6"/>
    <n v="128519.75899999999"/>
    <n v="118905.2"/>
    <m/>
    <m/>
    <n v="17634.881699999998"/>
    <n v="0"/>
    <m/>
    <n v="20356.400000000001"/>
    <n v="0"/>
    <m/>
    <m/>
    <m/>
    <n v="0"/>
    <n v="0"/>
    <m/>
    <m/>
    <m/>
    <m/>
    <m/>
    <m/>
    <m/>
    <m/>
    <m/>
    <m/>
    <m/>
    <m/>
  </r>
  <r>
    <x v="4"/>
    <s v="Augusta Technical College"/>
    <m/>
    <n v="138956"/>
    <x v="9"/>
    <n v="129363.1345"/>
    <n v="119168.20000000001"/>
    <n v="112413.6204"/>
    <n v="103669.6"/>
    <m/>
    <m/>
    <n v="16949.5141"/>
    <n v="0"/>
    <m/>
    <n v="15498.6"/>
    <n v="0"/>
    <m/>
    <m/>
    <m/>
    <n v="0"/>
    <n v="0"/>
    <m/>
    <m/>
    <m/>
    <m/>
    <m/>
    <m/>
    <m/>
    <m/>
    <m/>
    <m/>
    <m/>
    <m/>
  </r>
  <r>
    <x v="4"/>
    <s v="Central Georgia Technical College"/>
    <m/>
    <n v="140304"/>
    <x v="9"/>
    <n v="205400.26949999999"/>
    <n v="185092.40000000002"/>
    <n v="149695.48439999999"/>
    <n v="129573.4"/>
    <m/>
    <m/>
    <n v="55090.754399999998"/>
    <n v="614.03069999999991"/>
    <m/>
    <n v="54868.3"/>
    <n v="650.70000000000005"/>
    <m/>
    <m/>
    <m/>
    <n v="0"/>
    <n v="0"/>
    <m/>
    <m/>
    <m/>
    <m/>
    <m/>
    <m/>
    <m/>
    <m/>
    <m/>
    <m/>
    <m/>
    <m/>
  </r>
  <r>
    <x v="4"/>
    <s v="Chattahoochee Technical College"/>
    <m/>
    <n v="140331"/>
    <x v="9"/>
    <n v="319217.96009999997"/>
    <n v="308698.5"/>
    <n v="263362.50079999998"/>
    <n v="244988.5"/>
    <m/>
    <m/>
    <n v="55855.459299999995"/>
    <n v="0"/>
    <m/>
    <n v="63710"/>
    <n v="0"/>
    <m/>
    <m/>
    <m/>
    <n v="0"/>
    <n v="0"/>
    <m/>
    <m/>
    <m/>
    <m/>
    <m/>
    <m/>
    <m/>
    <m/>
    <m/>
    <m/>
    <m/>
    <m/>
  </r>
  <r>
    <x v="4"/>
    <s v="Columbus Technical College"/>
    <m/>
    <n v="139357"/>
    <x v="9"/>
    <n v="102573.1284"/>
    <n v="95272.099999999991"/>
    <n v="87909.061900000001"/>
    <n v="79356.2"/>
    <m/>
    <m/>
    <n v="14664.066499999999"/>
    <n v="0"/>
    <m/>
    <n v="15915.9"/>
    <n v="0"/>
    <m/>
    <m/>
    <m/>
    <n v="0"/>
    <n v="0"/>
    <m/>
    <m/>
    <m/>
    <m/>
    <m/>
    <m/>
    <m/>
    <m/>
    <m/>
    <m/>
    <m/>
    <m/>
  </r>
  <r>
    <x v="4"/>
    <s v="Georgia Northwestern Technical College"/>
    <m/>
    <n v="139384"/>
    <x v="9"/>
    <n v="175068.75299999997"/>
    <n v="174431.8"/>
    <n v="130023.1675"/>
    <n v="128342.2"/>
    <m/>
    <m/>
    <n v="44584.895799999998"/>
    <n v="460.68969999999996"/>
    <m/>
    <n v="46089.599999999999"/>
    <n v="0"/>
    <m/>
    <m/>
    <m/>
    <n v="0"/>
    <n v="0"/>
    <m/>
    <m/>
    <m/>
    <m/>
    <m/>
    <m/>
    <m/>
    <m/>
    <m/>
    <m/>
    <m/>
    <m/>
  </r>
  <r>
    <x v="4"/>
    <s v="Georgia Piedmont Technical College"/>
    <s v="Formerly DeKalb Technical College."/>
    <n v="244446"/>
    <x v="9"/>
    <n v="133425.3376"/>
    <n v="119339.8"/>
    <n v="97686.217399999994"/>
    <n v="83241.5"/>
    <m/>
    <m/>
    <n v="35739.120199999998"/>
    <n v="0"/>
    <m/>
    <n v="36098.300000000003"/>
    <n v="0"/>
    <m/>
    <m/>
    <m/>
    <n v="0"/>
    <n v="0"/>
    <m/>
    <m/>
    <m/>
    <m/>
    <m/>
    <m/>
    <m/>
    <m/>
    <m/>
    <m/>
    <m/>
    <m/>
  </r>
  <r>
    <x v="4"/>
    <s v="Gwinnett Technical College"/>
    <m/>
    <n v="140012"/>
    <x v="9"/>
    <n v="178875.61"/>
    <n v="173572.7"/>
    <n v="136053.46899999998"/>
    <n v="130399.6"/>
    <m/>
    <m/>
    <n v="42822.140999999996"/>
    <n v="0"/>
    <m/>
    <n v="43173.1"/>
    <n v="0"/>
    <m/>
    <m/>
    <m/>
    <n v="0"/>
    <n v="0"/>
    <m/>
    <m/>
    <m/>
    <m/>
    <m/>
    <m/>
    <m/>
    <m/>
    <m/>
    <m/>
    <m/>
    <m/>
  </r>
  <r>
    <x v="4"/>
    <s v="Lanier Technical College"/>
    <m/>
    <n v="140243"/>
    <x v="9"/>
    <n v="109650.8156"/>
    <n v="92952.5"/>
    <n v="74143.706999999995"/>
    <n v="61222"/>
    <m/>
    <m/>
    <n v="35507.1086"/>
    <n v="0"/>
    <m/>
    <n v="31730.5"/>
    <n v="0"/>
    <m/>
    <m/>
    <m/>
    <n v="0"/>
    <n v="0"/>
    <m/>
    <m/>
    <m/>
    <m/>
    <m/>
    <m/>
    <m/>
    <m/>
    <m/>
    <m/>
    <m/>
    <m/>
  </r>
  <r>
    <x v="4"/>
    <s v="Middle Georgia Technical College"/>
    <m/>
    <n v="140085"/>
    <x v="9"/>
    <n v="117809.22349999999"/>
    <n v="110618"/>
    <n v="93651.348999999987"/>
    <n v="85972.5"/>
    <m/>
    <m/>
    <n v="24157.874499999998"/>
    <n v="0"/>
    <m/>
    <n v="24645.5"/>
    <n v="0"/>
    <m/>
    <m/>
    <m/>
    <n v="0"/>
    <n v="0"/>
    <m/>
    <m/>
    <m/>
    <m/>
    <m/>
    <m/>
    <m/>
    <m/>
    <m/>
    <m/>
    <m/>
    <m/>
  </r>
  <r>
    <x v="4"/>
    <s v="Moultrie Technical College"/>
    <m/>
    <n v="140599"/>
    <x v="9"/>
    <n v="70692.867799999993"/>
    <n v="64625.799999999996"/>
    <n v="59099.621499999994"/>
    <n v="51189.7"/>
    <m/>
    <m/>
    <n v="11593.246299999999"/>
    <n v="0"/>
    <m/>
    <n v="13436.1"/>
    <n v="0"/>
    <m/>
    <m/>
    <m/>
    <n v="0"/>
    <n v="0"/>
    <m/>
    <m/>
    <m/>
    <m/>
    <m/>
    <m/>
    <m/>
    <m/>
    <m/>
    <m/>
    <m/>
    <m/>
  </r>
  <r>
    <x v="4"/>
    <s v="North Georgia Technical College"/>
    <m/>
    <n v="140678"/>
    <x v="9"/>
    <n v="84423.554300000003"/>
    <n v="72260.299999999988"/>
    <n v="67452.705799999996"/>
    <n v="55573.4"/>
    <m/>
    <m/>
    <n v="14180.708999999999"/>
    <n v="2790.1394999999998"/>
    <m/>
    <n v="13700.5"/>
    <n v="2986.4"/>
    <m/>
    <m/>
    <m/>
    <n v="0"/>
    <n v="0"/>
    <m/>
    <m/>
    <m/>
    <m/>
    <m/>
    <m/>
    <m/>
    <m/>
    <m/>
    <m/>
    <m/>
    <m/>
  </r>
  <r>
    <x v="4"/>
    <s v="Ogeechee Technical College"/>
    <m/>
    <n v="366465"/>
    <x v="9"/>
    <n v="73528.342899999989"/>
    <n v="71441.200000000012"/>
    <n v="54188.042599999993"/>
    <n v="52442.8"/>
    <m/>
    <m/>
    <n v="19340.300299999999"/>
    <n v="0"/>
    <m/>
    <n v="18998.400000000001"/>
    <n v="0"/>
    <m/>
    <m/>
    <m/>
    <n v="0"/>
    <n v="0"/>
    <m/>
    <m/>
    <m/>
    <m/>
    <m/>
    <m/>
    <m/>
    <m/>
    <m/>
    <m/>
    <m/>
    <m/>
  </r>
  <r>
    <x v="4"/>
    <s v="Okefenokee Technical College"/>
    <m/>
    <n v="248776"/>
    <x v="9"/>
    <n v="42325.782849999996"/>
    <n v="35327.800000000003"/>
    <n v="38127.572949999994"/>
    <n v="31224.3"/>
    <m/>
    <m/>
    <n v="4198.2098999999998"/>
    <n v="0"/>
    <m/>
    <n v="4103.5"/>
    <n v="0"/>
    <m/>
    <m/>
    <m/>
    <n v="0"/>
    <n v="0"/>
    <m/>
    <m/>
    <m/>
    <m/>
    <m/>
    <m/>
    <m/>
    <m/>
    <m/>
    <m/>
    <m/>
    <m/>
  </r>
  <r>
    <x v="4"/>
    <s v="Savannah Technical College"/>
    <m/>
    <n v="140942"/>
    <x v="9"/>
    <n v="146168.64139999999"/>
    <n v="135656.69999999998"/>
    <n v="116991.1826"/>
    <n v="104294.9"/>
    <m/>
    <m/>
    <n v="29177.458799999997"/>
    <n v="0"/>
    <m/>
    <n v="31361.8"/>
    <n v="0"/>
    <m/>
    <m/>
    <m/>
    <n v="0"/>
    <n v="0"/>
    <m/>
    <m/>
    <m/>
    <m/>
    <m/>
    <m/>
    <m/>
    <m/>
    <m/>
    <m/>
    <m/>
    <m/>
  </r>
  <r>
    <x v="4"/>
    <s v="South Georgia Technical College"/>
    <m/>
    <n v="141006"/>
    <x v="9"/>
    <n v="81004.049999999988"/>
    <n v="73009.099999999991"/>
    <n v="69031.451399999991"/>
    <n v="60842.7"/>
    <m/>
    <m/>
    <n v="11972.598599999999"/>
    <n v="0"/>
    <m/>
    <n v="12166.4"/>
    <n v="0"/>
    <m/>
    <m/>
    <m/>
    <n v="0"/>
    <n v="0"/>
    <m/>
    <m/>
    <m/>
    <m/>
    <m/>
    <m/>
    <m/>
    <m/>
    <m/>
    <m/>
    <m/>
    <m/>
  </r>
  <r>
    <x v="4"/>
    <s v="Southeastern Technical College"/>
    <m/>
    <n v="368911"/>
    <x v="9"/>
    <n v="51828.5913"/>
    <n v="45997.2"/>
    <n v="41946.763899999998"/>
    <n v="36896.199999999997"/>
    <m/>
    <m/>
    <n v="9881.8274000000001"/>
    <n v="0"/>
    <m/>
    <n v="9101"/>
    <n v="0"/>
    <m/>
    <m/>
    <m/>
    <n v="0"/>
    <n v="0"/>
    <m/>
    <m/>
    <m/>
    <m/>
    <m/>
    <m/>
    <m/>
    <m/>
    <m/>
    <m/>
    <m/>
    <m/>
  </r>
  <r>
    <x v="4"/>
    <s v="Southern Crescent Technical College"/>
    <m/>
    <n v="139986"/>
    <x v="9"/>
    <n v="170829.67439"/>
    <n v="144060.79999999999"/>
    <n v="134654.53239000001"/>
    <n v="111574"/>
    <m/>
    <m/>
    <n v="36175.142"/>
    <n v="0"/>
    <m/>
    <n v="32486.799999999999"/>
    <n v="0"/>
    <m/>
    <m/>
    <m/>
    <n v="0"/>
    <n v="0"/>
    <m/>
    <m/>
    <m/>
    <m/>
    <m/>
    <m/>
    <m/>
    <m/>
    <m/>
    <m/>
    <m/>
    <m/>
  </r>
  <r>
    <x v="4"/>
    <s v="Southwest Georgia Technical College"/>
    <m/>
    <n v="141158"/>
    <x v="9"/>
    <n v="42051.102449999991"/>
    <n v="39895.300000000003"/>
    <n v="34411.387149999995"/>
    <n v="31703.7"/>
    <m/>
    <m/>
    <n v="7639.7152999999998"/>
    <n v="0"/>
    <m/>
    <n v="8191.6"/>
    <n v="0"/>
    <m/>
    <m/>
    <m/>
    <n v="0"/>
    <n v="0"/>
    <m/>
    <m/>
    <m/>
    <m/>
    <m/>
    <m/>
    <m/>
    <m/>
    <m/>
    <m/>
    <m/>
    <m/>
  </r>
  <r>
    <x v="4"/>
    <s v="West Georgia Technical College"/>
    <m/>
    <n v="139278"/>
    <x v="9"/>
    <n v="184845.24179999999"/>
    <n v="181609.9"/>
    <n v="153893.0276"/>
    <n v="149538.5"/>
    <m/>
    <m/>
    <n v="30952.214199999999"/>
    <n v="0"/>
    <m/>
    <n v="32071.4"/>
    <n v="0"/>
    <m/>
    <m/>
    <m/>
    <n v="0"/>
    <n v="0"/>
    <m/>
    <m/>
    <m/>
    <m/>
    <m/>
    <m/>
    <m/>
    <m/>
    <m/>
    <m/>
    <m/>
    <m/>
  </r>
  <r>
    <x v="4"/>
    <s v="Wiregrass Georgia Technical College"/>
    <m/>
    <n v="141255"/>
    <x v="9"/>
    <n v="149922.82909999997"/>
    <n v="137751.6"/>
    <n v="126133.63969999999"/>
    <n v="108685.3"/>
    <m/>
    <m/>
    <n v="23789.189399999999"/>
    <n v="0"/>
    <m/>
    <n v="29066.3"/>
    <n v="0"/>
    <m/>
    <m/>
    <m/>
    <n v="0"/>
    <n v="0"/>
    <m/>
    <m/>
    <m/>
    <m/>
    <m/>
    <m/>
    <m/>
    <m/>
    <m/>
    <m/>
    <m/>
    <m/>
  </r>
  <r>
    <x v="4"/>
    <s v="Oconee Fall Line Technical College"/>
    <s v="Is the merger of Heart of Georgia Tech and Sandersville Tech"/>
    <n v="420431"/>
    <x v="9"/>
    <n v="70259.512799999997"/>
    <n v="59677.2"/>
    <n v="61782.422299999998"/>
    <n v="50085.2"/>
    <m/>
    <m/>
    <n v="7553.7109999999993"/>
    <n v="923.37949999999989"/>
    <n v="0"/>
    <n v="9147.2999999999993"/>
    <n v="444.7"/>
    <n v="0"/>
    <n v="0"/>
    <n v="0"/>
    <n v="0"/>
    <n v="0"/>
    <n v="0"/>
    <n v="0"/>
    <n v="0"/>
    <n v="0"/>
    <n v="0"/>
    <n v="0"/>
    <n v="0"/>
    <n v="0"/>
    <n v="0"/>
    <n v="0"/>
    <n v="0"/>
    <n v="0"/>
  </r>
  <r>
    <x v="5"/>
    <s v="University of Kentucky"/>
    <m/>
    <n v="157085"/>
    <x v="0"/>
    <n v="539913"/>
    <n v="555786"/>
    <n v="521382"/>
    <n v="530749"/>
    <n v="2828"/>
    <n v="2209"/>
    <n v="13218"/>
    <n v="1309"/>
    <n v="1176"/>
    <n v="20681"/>
    <n v="2144"/>
    <n v="3"/>
    <m/>
    <m/>
    <n v="80488"/>
    <n v="84631"/>
    <n v="69004"/>
    <n v="71470"/>
    <n v="2949"/>
    <n v="1628"/>
    <n v="7841"/>
    <n v="340"/>
    <n v="354"/>
    <n v="10068"/>
    <n v="1459"/>
    <n v="6"/>
    <m/>
    <m/>
  </r>
  <r>
    <x v="5"/>
    <s v="University of Louisville"/>
    <m/>
    <n v="157289"/>
    <x v="0"/>
    <n v="393895"/>
    <n v="397187.5"/>
    <n v="360400"/>
    <n v="360351"/>
    <n v="9053"/>
    <n v="10081.5"/>
    <n v="24442"/>
    <m/>
    <m/>
    <n v="26755"/>
    <m/>
    <m/>
    <m/>
    <m/>
    <n v="78088"/>
    <n v="79200"/>
    <n v="69917"/>
    <n v="70359.5"/>
    <n v="4189"/>
    <n v="4384.5"/>
    <n v="3982"/>
    <m/>
    <m/>
    <n v="4456"/>
    <m/>
    <m/>
    <m/>
    <m/>
  </r>
  <r>
    <x v="5"/>
    <s v="Eastern Kentucky University "/>
    <m/>
    <n v="156620"/>
    <x v="2"/>
    <n v="381237"/>
    <n v="366498"/>
    <n v="300117"/>
    <n v="291063"/>
    <n v="28339"/>
    <n v="24080"/>
    <n v="44099"/>
    <n v="8682"/>
    <m/>
    <n v="42081"/>
    <n v="9274"/>
    <m/>
    <m/>
    <m/>
    <n v="33745"/>
    <n v="37637"/>
    <n v="18517"/>
    <n v="21407"/>
    <n v="1363"/>
    <n v="1157"/>
    <n v="12521"/>
    <n v="1344"/>
    <m/>
    <n v="14044"/>
    <n v="1029"/>
    <m/>
    <m/>
    <m/>
  </r>
  <r>
    <x v="5"/>
    <s v="Morehead State University "/>
    <m/>
    <n v="157386"/>
    <x v="2"/>
    <n v="182291"/>
    <n v="188450"/>
    <n v="129758"/>
    <n v="127125"/>
    <n v="13378"/>
    <n v="18007"/>
    <n v="30372"/>
    <n v="8783"/>
    <m/>
    <n v="33647"/>
    <n v="9671"/>
    <m/>
    <m/>
    <m/>
    <n v="19998"/>
    <n v="22629"/>
    <n v="5255"/>
    <n v="5429"/>
    <n v="378"/>
    <n v="354"/>
    <n v="13378"/>
    <n v="987"/>
    <m/>
    <n v="15850"/>
    <n v="996"/>
    <m/>
    <m/>
    <m/>
  </r>
  <r>
    <x v="5"/>
    <s v="Murray State University "/>
    <m/>
    <n v="157401"/>
    <x v="2"/>
    <n v="220191"/>
    <n v="222642"/>
    <n v="193285"/>
    <n v="193484"/>
    <n v="8199"/>
    <n v="8053"/>
    <n v="12583"/>
    <n v="6124"/>
    <m/>
    <n v="14749"/>
    <n v="6356"/>
    <m/>
    <m/>
    <m/>
    <n v="29144"/>
    <n v="31159"/>
    <n v="16036"/>
    <n v="16352"/>
    <n v="3778"/>
    <n v="3231"/>
    <n v="7401"/>
    <n v="1929"/>
    <m/>
    <n v="9433"/>
    <n v="2143"/>
    <m/>
    <m/>
    <m/>
  </r>
  <r>
    <x v="5"/>
    <s v="Western Kentucky University "/>
    <m/>
    <n v="157951"/>
    <x v="2"/>
    <n v="464035"/>
    <n v="459602"/>
    <n v="351307"/>
    <n v="344823.5"/>
    <n v="43182"/>
    <n v="44604"/>
    <n v="58991"/>
    <n v="9208"/>
    <n v="1347"/>
    <n v="59447"/>
    <n v="8812.5"/>
    <n v="1915"/>
    <m/>
    <m/>
    <n v="44392"/>
    <n v="50140.5"/>
    <n v="20075"/>
    <n v="21614"/>
    <n v="2496"/>
    <n v="2352"/>
    <n v="21169"/>
    <n v="636"/>
    <n v="16"/>
    <n v="25442.5"/>
    <n v="693"/>
    <n v="39"/>
    <m/>
    <m/>
  </r>
  <r>
    <x v="5"/>
    <s v="Kentucky State University "/>
    <m/>
    <n v="157058"/>
    <x v="3"/>
    <n v="66536"/>
    <n v="63778"/>
    <n v="57442"/>
    <n v="53254"/>
    <m/>
    <n v="98"/>
    <n v="9085"/>
    <m/>
    <n v="9"/>
    <n v="10417"/>
    <m/>
    <n v="9"/>
    <m/>
    <m/>
    <n v="3518"/>
    <n v="3997"/>
    <n v="1808"/>
    <n v="2101"/>
    <m/>
    <m/>
    <n v="1710"/>
    <m/>
    <m/>
    <n v="1896"/>
    <m/>
    <m/>
    <m/>
    <m/>
  </r>
  <r>
    <x v="5"/>
    <s v="Northern Kentucky University "/>
    <m/>
    <n v="157447"/>
    <x v="3"/>
    <n v="331893"/>
    <n v="334722"/>
    <n v="286917"/>
    <n v="281387"/>
    <n v="13733"/>
    <n v="12633"/>
    <n v="31243"/>
    <m/>
    <m/>
    <n v="40702"/>
    <m/>
    <m/>
    <m/>
    <m/>
    <n v="37581"/>
    <n v="41331"/>
    <n v="29269"/>
    <n v="30967"/>
    <n v="1026"/>
    <n v="1184"/>
    <n v="7286"/>
    <m/>
    <m/>
    <n v="9180"/>
    <m/>
    <m/>
    <m/>
    <m/>
  </r>
  <r>
    <x v="5"/>
    <s v="Bluegrass Community and Technical College"/>
    <m/>
    <n v="157173"/>
    <x v="6"/>
    <n v="279169"/>
    <n v="286292"/>
    <n v="179183"/>
    <n v="175488"/>
    <n v="28605"/>
    <n v="28505"/>
    <n v="70516"/>
    <n v="865"/>
    <m/>
    <n v="82251"/>
    <n v="48"/>
    <m/>
    <m/>
    <m/>
    <n v="0"/>
    <n v="0"/>
    <m/>
    <m/>
    <m/>
    <m/>
    <m/>
    <m/>
    <m/>
    <m/>
    <m/>
    <m/>
    <m/>
    <m/>
  </r>
  <r>
    <x v="5"/>
    <s v="Jefferson Community and Technical College "/>
    <m/>
    <n v="156921"/>
    <x v="6"/>
    <n v="274026"/>
    <n v="266410"/>
    <n v="212295"/>
    <n v="201553"/>
    <n v="14192"/>
    <n v="14359"/>
    <n v="46980"/>
    <n v="559"/>
    <m/>
    <n v="49659"/>
    <n v="839"/>
    <m/>
    <m/>
    <m/>
    <n v="0"/>
    <n v="0"/>
    <m/>
    <m/>
    <m/>
    <m/>
    <m/>
    <m/>
    <m/>
    <m/>
    <m/>
    <m/>
    <m/>
    <m/>
  </r>
  <r>
    <x v="5"/>
    <s v="Ashland Community and Technical College"/>
    <m/>
    <n v="156231"/>
    <x v="7"/>
    <n v="86918"/>
    <n v="86732"/>
    <n v="59880"/>
    <n v="57455"/>
    <n v="9337"/>
    <n v="9567"/>
    <n v="17701"/>
    <m/>
    <m/>
    <n v="19710"/>
    <m/>
    <m/>
    <m/>
    <m/>
    <n v="0"/>
    <n v="0"/>
    <m/>
    <m/>
    <m/>
    <m/>
    <m/>
    <m/>
    <m/>
    <m/>
    <m/>
    <m/>
    <m/>
    <m/>
  </r>
  <r>
    <x v="5"/>
    <s v="Big Sandy Community and Technical College "/>
    <m/>
    <n v="157553"/>
    <x v="7"/>
    <n v="93039"/>
    <n v="87803"/>
    <n v="41460"/>
    <n v="40278"/>
    <n v="11014"/>
    <n v="10727"/>
    <n v="40023"/>
    <n v="542"/>
    <m/>
    <n v="36272"/>
    <n v="526"/>
    <m/>
    <m/>
    <m/>
    <n v="0"/>
    <n v="0"/>
    <m/>
    <m/>
    <m/>
    <m/>
    <m/>
    <m/>
    <m/>
    <m/>
    <m/>
    <m/>
    <m/>
    <m/>
  </r>
  <r>
    <x v="5"/>
    <s v="Elizabethtown Community and Technical College "/>
    <m/>
    <n v="156648"/>
    <x v="7"/>
    <n v="129073"/>
    <n v="127667"/>
    <n v="98838"/>
    <n v="92546"/>
    <n v="2322"/>
    <n v="2157"/>
    <n v="27913"/>
    <m/>
    <m/>
    <n v="32848"/>
    <n v="116"/>
    <m/>
    <m/>
    <m/>
    <n v="0"/>
    <n v="0"/>
    <m/>
    <m/>
    <m/>
    <m/>
    <m/>
    <m/>
    <m/>
    <m/>
    <m/>
    <m/>
    <m/>
    <m/>
  </r>
  <r>
    <x v="5"/>
    <s v="Hopkinsville Community College "/>
    <s v="Reclassified: Met the criteria for Two-Year 2 in 2009-10, 2010-11 and 2011-12."/>
    <n v="156860"/>
    <x v="7"/>
    <n v="75637"/>
    <n v="78930"/>
    <n v="55330"/>
    <n v="56762"/>
    <n v="2945"/>
    <n v="2034"/>
    <n v="17362"/>
    <m/>
    <m/>
    <n v="20134"/>
    <m/>
    <m/>
    <m/>
    <m/>
    <n v="0"/>
    <n v="0"/>
    <m/>
    <m/>
    <m/>
    <m/>
    <m/>
    <m/>
    <m/>
    <m/>
    <m/>
    <m/>
    <m/>
    <m/>
  </r>
  <r>
    <x v="5"/>
    <s v="Madisonville Community College"/>
    <m/>
    <n v="157304"/>
    <x v="7"/>
    <n v="64799"/>
    <n v="62671"/>
    <n v="53693"/>
    <n v="49346"/>
    <n v="483"/>
    <n v="157"/>
    <n v="10623"/>
    <m/>
    <m/>
    <n v="13168"/>
    <m/>
    <m/>
    <m/>
    <m/>
    <n v="0"/>
    <n v="0"/>
    <m/>
    <m/>
    <m/>
    <m/>
    <m/>
    <m/>
    <m/>
    <m/>
    <m/>
    <m/>
    <m/>
    <m/>
  </r>
  <r>
    <x v="5"/>
    <s v="Maysville Community and Technical College "/>
    <m/>
    <n v="157331"/>
    <x v="7"/>
    <n v="101898"/>
    <n v="103971"/>
    <n v="35727"/>
    <n v="32774"/>
    <n v="15957"/>
    <n v="15945"/>
    <n v="47911"/>
    <n v="2303"/>
    <m/>
    <n v="52856"/>
    <n v="2396"/>
    <m/>
    <m/>
    <m/>
    <n v="0"/>
    <n v="0"/>
    <m/>
    <m/>
    <m/>
    <m/>
    <m/>
    <m/>
    <m/>
    <m/>
    <m/>
    <m/>
    <m/>
    <m/>
  </r>
  <r>
    <x v="5"/>
    <s v="Owensboro Community and Technical College "/>
    <m/>
    <n v="247940"/>
    <x v="7"/>
    <n v="98974"/>
    <n v="96873"/>
    <n v="88307"/>
    <n v="84098"/>
    <n v="820"/>
    <n v="534"/>
    <n v="9847"/>
    <m/>
    <m/>
    <n v="12241"/>
    <m/>
    <m/>
    <m/>
    <m/>
    <n v="0"/>
    <n v="0"/>
    <m/>
    <m/>
    <m/>
    <m/>
    <m/>
    <m/>
    <m/>
    <m/>
    <m/>
    <m/>
    <m/>
    <m/>
  </r>
  <r>
    <x v="5"/>
    <s v="Somerset Community and Technical College "/>
    <s v="Met the criteria for classification as a Two-Year 1 in 2011-12."/>
    <n v="157711"/>
    <x v="7"/>
    <n v="164331"/>
    <n v="173310"/>
    <n v="102798"/>
    <n v="100379"/>
    <n v="5810"/>
    <n v="6808"/>
    <n v="48956"/>
    <n v="6767"/>
    <m/>
    <n v="60329"/>
    <n v="5794"/>
    <m/>
    <m/>
    <m/>
    <n v="0"/>
    <n v="0"/>
    <m/>
    <m/>
    <m/>
    <m/>
    <m/>
    <m/>
    <m/>
    <m/>
    <m/>
    <m/>
    <m/>
    <m/>
  </r>
  <r>
    <x v="5"/>
    <s v="Southeast Kentucky Community and Technical College"/>
    <m/>
    <n v="157739"/>
    <x v="7"/>
    <n v="76086"/>
    <n v="72001"/>
    <n v="26164"/>
    <n v="23373"/>
    <n v="28175"/>
    <n v="26834"/>
    <n v="18930"/>
    <n v="2817"/>
    <m/>
    <n v="19281"/>
    <n v="2513"/>
    <m/>
    <m/>
    <m/>
    <n v="0"/>
    <n v="0"/>
    <m/>
    <m/>
    <m/>
    <m/>
    <m/>
    <m/>
    <m/>
    <m/>
    <m/>
    <m/>
    <m/>
    <m/>
  </r>
  <r>
    <x v="5"/>
    <s v="West Kentucky Community and Technical College"/>
    <m/>
    <n v="157483"/>
    <x v="7"/>
    <n v="122445"/>
    <n v="128318"/>
    <n v="81396"/>
    <n v="84238"/>
    <n v="2607"/>
    <n v="1248"/>
    <n v="38046"/>
    <n v="396"/>
    <m/>
    <n v="42350"/>
    <n v="482"/>
    <m/>
    <m/>
    <m/>
    <n v="0"/>
    <n v="0"/>
    <m/>
    <m/>
    <m/>
    <m/>
    <m/>
    <m/>
    <m/>
    <m/>
    <m/>
    <m/>
    <m/>
    <m/>
  </r>
  <r>
    <x v="5"/>
    <s v="Hazard Community and Technical College"/>
    <s v="Met the criteria for classification as a Two-Year 2 in 2010-11 and 2011-12."/>
    <n v="156790"/>
    <x v="8"/>
    <n v="69676"/>
    <n v="68363"/>
    <n v="50684"/>
    <n v="45057"/>
    <n v="336"/>
    <n v="452"/>
    <n v="16928"/>
    <n v="1728"/>
    <m/>
    <n v="21049"/>
    <n v="1805"/>
    <m/>
    <m/>
    <m/>
    <n v="0"/>
    <n v="0"/>
    <m/>
    <m/>
    <m/>
    <m/>
    <m/>
    <m/>
    <m/>
    <m/>
    <m/>
    <m/>
    <m/>
    <m/>
  </r>
  <r>
    <x v="5"/>
    <s v="Henderson Community College "/>
    <m/>
    <n v="156851"/>
    <x v="8"/>
    <n v="45194"/>
    <n v="43236"/>
    <n v="26790"/>
    <n v="24502"/>
    <n v="939"/>
    <n v="477"/>
    <n v="17071"/>
    <n v="394"/>
    <m/>
    <n v="17896"/>
    <n v="361"/>
    <m/>
    <m/>
    <m/>
    <n v="0"/>
    <n v="0"/>
    <m/>
    <m/>
    <m/>
    <m/>
    <m/>
    <m/>
    <m/>
    <m/>
    <m/>
    <m/>
    <m/>
    <m/>
  </r>
  <r>
    <x v="5"/>
    <s v="Bowling Green Technical College"/>
    <m/>
    <n v="156338"/>
    <x v="9"/>
    <n v="67511"/>
    <n v="69358"/>
    <n v="59290"/>
    <n v="58870"/>
    <n v="810"/>
    <n v="693"/>
    <n v="7411"/>
    <m/>
    <m/>
    <n v="9795"/>
    <m/>
    <m/>
    <m/>
    <m/>
    <n v="0"/>
    <n v="0"/>
    <m/>
    <m/>
    <m/>
    <m/>
    <m/>
    <m/>
    <m/>
    <m/>
    <m/>
    <m/>
    <m/>
    <m/>
  </r>
  <r>
    <x v="5"/>
    <s v="Gateway Community and Technical College"/>
    <m/>
    <n v="157438"/>
    <x v="9"/>
    <n v="70022"/>
    <n v="75156"/>
    <n v="67062"/>
    <n v="70221"/>
    <m/>
    <m/>
    <n v="2960"/>
    <m/>
    <m/>
    <n v="4935"/>
    <m/>
    <m/>
    <m/>
    <m/>
    <n v="0"/>
    <n v="0"/>
    <m/>
    <m/>
    <m/>
    <m/>
    <m/>
    <m/>
    <m/>
    <m/>
    <m/>
    <m/>
    <m/>
    <m/>
  </r>
  <r>
    <x v="6"/>
    <m/>
    <m/>
    <m/>
    <x v="0"/>
    <m/>
    <m/>
    <m/>
    <m/>
    <m/>
    <m/>
    <m/>
    <m/>
    <m/>
    <m/>
    <m/>
    <m/>
    <m/>
    <m/>
    <m/>
    <m/>
    <m/>
    <m/>
    <m/>
    <m/>
    <m/>
    <m/>
    <m/>
    <m/>
    <m/>
    <m/>
    <m/>
    <m/>
  </r>
  <r>
    <x v="7"/>
    <s v="University of Maryland College Park"/>
    <m/>
    <n v="163286"/>
    <x v="0"/>
    <n v="799218"/>
    <n v="799551"/>
    <n v="771256"/>
    <n v="766563"/>
    <n v="16898"/>
    <n v="18027"/>
    <n v="10719"/>
    <n v="345"/>
    <m/>
    <n v="14961"/>
    <n v="0"/>
    <n v="0"/>
    <m/>
    <n v="0"/>
    <n v="156544.5"/>
    <n v="158873"/>
    <n v="115130.5"/>
    <n v="114938"/>
    <n v="35031"/>
    <n v="37212"/>
    <n v="5393"/>
    <n v="990"/>
    <m/>
    <n v="5774"/>
    <n v="949"/>
    <n v="0"/>
    <m/>
    <n v="0"/>
  </r>
  <r>
    <x v="7"/>
    <s v="Morgan State University"/>
    <s v="Reclassified: Met the criteria for  Four-Year 2 in 2009-10, 2010-11 and 2011-12."/>
    <n v="163453"/>
    <x v="1"/>
    <n v="181220"/>
    <n v="191053"/>
    <n v="180110"/>
    <n v="188521"/>
    <n v="408"/>
    <n v="404"/>
    <n v="702"/>
    <m/>
    <m/>
    <n v="2128"/>
    <n v="0"/>
    <n v="0"/>
    <m/>
    <n v="0"/>
    <n v="17903"/>
    <n v="20593"/>
    <n v="16748"/>
    <n v="18313"/>
    <n v="585"/>
    <n v="583"/>
    <n v="570"/>
    <m/>
    <m/>
    <n v="1697"/>
    <n v="0"/>
    <n v="0"/>
    <m/>
    <n v="0"/>
  </r>
  <r>
    <x v="7"/>
    <s v="University of Maryland, Baltimore County"/>
    <m/>
    <n v="163268"/>
    <x v="1"/>
    <n v="290420.5"/>
    <n v="297770"/>
    <n v="262511.5"/>
    <n v="266582"/>
    <n v="5732"/>
    <n v="5529"/>
    <n v="22177"/>
    <m/>
    <m/>
    <n v="25659"/>
    <n v="0"/>
    <n v="0"/>
    <m/>
    <n v="0"/>
    <n v="35406"/>
    <n v="33838"/>
    <n v="26415"/>
    <n v="26158"/>
    <n v="2985"/>
    <n v="2146"/>
    <n v="5494"/>
    <n v="444"/>
    <n v="68"/>
    <n v="5534"/>
    <n v="0"/>
    <n v="0"/>
    <m/>
    <n v="0"/>
  </r>
  <r>
    <x v="7"/>
    <s v="Towson University "/>
    <m/>
    <n v="164076"/>
    <x v="2"/>
    <n v="506715.5"/>
    <n v="506306.5"/>
    <n v="471904.5"/>
    <n v="470902.5"/>
    <n v="9687"/>
    <n v="9374"/>
    <n v="25124"/>
    <m/>
    <m/>
    <n v="25793"/>
    <n v="237"/>
    <n v="0"/>
    <m/>
    <n v="0"/>
    <n v="58131.5"/>
    <n v="57519"/>
    <n v="35962.5"/>
    <n v="36863"/>
    <n v="15930"/>
    <n v="12597"/>
    <n v="6098"/>
    <n v="141"/>
    <m/>
    <n v="7732"/>
    <n v="327"/>
    <n v="0"/>
    <m/>
    <n v="0"/>
  </r>
  <r>
    <x v="7"/>
    <s v="Bowie State University "/>
    <m/>
    <n v="162007"/>
    <x v="3"/>
    <n v="121720"/>
    <n v="122617"/>
    <n v="112688"/>
    <n v="111003"/>
    <n v="905"/>
    <n v="1017"/>
    <n v="8127"/>
    <m/>
    <m/>
    <n v="10597"/>
    <n v="0"/>
    <n v="0"/>
    <m/>
    <n v="0"/>
    <n v="16332"/>
    <n v="15966"/>
    <n v="15461"/>
    <n v="15050"/>
    <n v="340"/>
    <n v="236"/>
    <n v="531"/>
    <m/>
    <m/>
    <n v="680"/>
    <n v="0"/>
    <n v="0"/>
    <m/>
    <n v="0"/>
  </r>
  <r>
    <x v="7"/>
    <s v="Coppin State University"/>
    <s v="Met the criteria for Four-Year 5 in 2010-11 and 2011-12."/>
    <n v="162283"/>
    <x v="3"/>
    <n v="93467"/>
    <n v="90877"/>
    <n v="85096"/>
    <n v="81079"/>
    <n v="0"/>
    <n v="0"/>
    <n v="8371"/>
    <m/>
    <m/>
    <n v="9798"/>
    <n v="0"/>
    <n v="0"/>
    <m/>
    <n v="0"/>
    <n v="7544"/>
    <n v="6866"/>
    <n v="5601"/>
    <n v="5747"/>
    <n v="1035"/>
    <n v="336"/>
    <n v="908"/>
    <m/>
    <m/>
    <n v="783"/>
    <n v="0"/>
    <n v="0"/>
    <m/>
    <n v="0"/>
  </r>
  <r>
    <x v="7"/>
    <s v="Frostburg State University "/>
    <m/>
    <n v="162584"/>
    <x v="3"/>
    <n v="137084"/>
    <n v="136980"/>
    <n v="122380"/>
    <n v="120267"/>
    <n v="1978"/>
    <n v="2334"/>
    <n v="12660"/>
    <n v="66"/>
    <m/>
    <n v="14298"/>
    <n v="81"/>
    <n v="0"/>
    <m/>
    <n v="0"/>
    <n v="11123"/>
    <n v="10914.5"/>
    <n v="4607"/>
    <n v="4152.5"/>
    <n v="2741"/>
    <n v="1894"/>
    <n v="3646"/>
    <n v="129"/>
    <m/>
    <n v="4868"/>
    <n v="0"/>
    <n v="0"/>
    <m/>
    <n v="0"/>
  </r>
  <r>
    <x v="7"/>
    <s v="Salisbury University "/>
    <m/>
    <n v="163851"/>
    <x v="3"/>
    <n v="226113"/>
    <n v="231853"/>
    <n v="209991"/>
    <n v="211326"/>
    <n v="1472"/>
    <n v="1391"/>
    <n v="13671"/>
    <n v="979"/>
    <m/>
    <n v="16697"/>
    <n v="2439"/>
    <n v="0"/>
    <m/>
    <n v="0"/>
    <n v="9829"/>
    <n v="11568"/>
    <n v="6259"/>
    <n v="5917"/>
    <n v="174"/>
    <n v="159"/>
    <n v="2091"/>
    <n v="1305"/>
    <m/>
    <n v="2702"/>
    <n v="2790"/>
    <n v="0"/>
    <m/>
    <n v="0"/>
  </r>
  <r>
    <x v="7"/>
    <s v="University of Baltimore"/>
    <m/>
    <n v="161873"/>
    <x v="3"/>
    <n v="69333"/>
    <n v="71004"/>
    <n v="55373"/>
    <n v="57496"/>
    <n v="1359"/>
    <n v="967"/>
    <n v="12601"/>
    <m/>
    <m/>
    <n v="12541"/>
    <n v="0"/>
    <n v="0"/>
    <m/>
    <n v="0"/>
    <n v="137530"/>
    <n v="56542"/>
    <n v="46305"/>
    <n v="46274"/>
    <n v="2255"/>
    <n v="1754"/>
    <n v="88970"/>
    <m/>
    <m/>
    <n v="8514"/>
    <n v="0"/>
    <n v="0"/>
    <m/>
    <n v="0"/>
  </r>
  <r>
    <x v="7"/>
    <s v="University of Maryland Eastern Shore "/>
    <m/>
    <n v="163338"/>
    <x v="3"/>
    <n v="117477"/>
    <n v="114098.5"/>
    <n v="111235"/>
    <n v="106429.5"/>
    <n v="2276"/>
    <n v="2637"/>
    <n v="3966"/>
    <m/>
    <m/>
    <n v="5032"/>
    <n v="0"/>
    <n v="0"/>
    <m/>
    <n v="0"/>
    <n v="9092"/>
    <n v="14028.5"/>
    <n v="8756"/>
    <n v="13716.5"/>
    <n v="192"/>
    <n v="99"/>
    <n v="144"/>
    <m/>
    <m/>
    <n v="213"/>
    <n v="0"/>
    <n v="0"/>
    <m/>
    <n v="0"/>
  </r>
  <r>
    <x v="7"/>
    <s v="Saint Mary's College of Maryland"/>
    <s v="Met the criteria for Four-Year 5 in 2010-11 and 2011-12."/>
    <n v="163912"/>
    <x v="5"/>
    <n v="62834.5"/>
    <n v="65152.5"/>
    <n v="62834.5"/>
    <n v="65152.5"/>
    <n v="0"/>
    <n v="0"/>
    <m/>
    <m/>
    <m/>
    <n v="0"/>
    <n v="0"/>
    <n v="0"/>
    <m/>
    <n v="0"/>
    <n v="1937"/>
    <n v="1577"/>
    <n v="1937"/>
    <n v="1577"/>
    <m/>
    <m/>
    <m/>
    <m/>
    <m/>
    <n v="0"/>
    <n v="0"/>
    <n v="0"/>
    <m/>
    <n v="0"/>
  </r>
  <r>
    <x v="7"/>
    <s v="Anne Arundel Community College "/>
    <m/>
    <n v="161767"/>
    <x v="6"/>
    <n v="329974.5"/>
    <n v="331724"/>
    <n v="251912.5"/>
    <n v="247819"/>
    <n v="4804"/>
    <n v="4294"/>
    <n v="72439"/>
    <n v="297"/>
    <n v="522"/>
    <n v="79373"/>
    <n v="238"/>
    <n v="0"/>
    <m/>
    <n v="0"/>
    <n v="0"/>
    <n v="0"/>
    <m/>
    <m/>
    <m/>
    <m/>
    <m/>
    <m/>
    <m/>
    <m/>
    <m/>
    <m/>
    <m/>
    <m/>
  </r>
  <r>
    <x v="7"/>
    <s v="College of Southern Maryland"/>
    <s v="Reclassified: Met the criteria for Two-Year 1 in 2009-10, 2010-11, and 2011-12."/>
    <n v="162122"/>
    <x v="6"/>
    <n v="164066"/>
    <n v="169607"/>
    <n v="112750"/>
    <n v="112709"/>
    <n v="3789"/>
    <n v="4684"/>
    <n v="45293"/>
    <n v="1342"/>
    <n v="892"/>
    <n v="50522"/>
    <n v="832"/>
    <n v="860"/>
    <m/>
    <n v="0"/>
    <n v="0"/>
    <n v="0"/>
    <m/>
    <m/>
    <m/>
    <m/>
    <m/>
    <m/>
    <m/>
    <m/>
    <m/>
    <m/>
    <m/>
    <m/>
  </r>
  <r>
    <x v="7"/>
    <s v="Community College of Baltimore County (all campuses)"/>
    <m/>
    <n v="434672"/>
    <x v="6"/>
    <n v="477384"/>
    <n v="483407.5"/>
    <n v="389931.5"/>
    <n v="390798"/>
    <n v="34196"/>
    <n v="36171.5"/>
    <n v="52725.5"/>
    <n v="531"/>
    <m/>
    <n v="56039"/>
    <n v="399"/>
    <n v="0"/>
    <m/>
    <n v="0"/>
    <n v="0"/>
    <n v="0"/>
    <m/>
    <m/>
    <m/>
    <m/>
    <m/>
    <m/>
    <m/>
    <m/>
    <m/>
    <m/>
    <m/>
    <m/>
  </r>
  <r>
    <x v="7"/>
    <s v="Howard Community College "/>
    <s v="Reclassified: Met the criteria for Two-Year 1 in 2009-10, 2010-11, and 2011-12."/>
    <n v="162779"/>
    <x v="6"/>
    <n v="177846"/>
    <n v="191227"/>
    <n v="156256"/>
    <n v="165234"/>
    <n v="7255"/>
    <n v="7512"/>
    <n v="13747"/>
    <n v="9"/>
    <n v="579"/>
    <n v="18362"/>
    <n v="0"/>
    <n v="119"/>
    <m/>
    <n v="0"/>
    <n v="0"/>
    <n v="0"/>
    <m/>
    <m/>
    <m/>
    <m/>
    <m/>
    <m/>
    <m/>
    <m/>
    <m/>
    <m/>
    <m/>
    <m/>
  </r>
  <r>
    <x v="7"/>
    <s v="Montgomery College (all campuses)"/>
    <m/>
    <n v="163426"/>
    <x v="6"/>
    <n v="561477.19999999995"/>
    <n v="538774"/>
    <n v="506365"/>
    <n v="485280"/>
    <n v="23862.2"/>
    <n v="3237"/>
    <n v="31250"/>
    <m/>
    <m/>
    <n v="50257"/>
    <n v="0"/>
    <n v="0"/>
    <m/>
    <n v="0"/>
    <n v="0"/>
    <n v="0"/>
    <m/>
    <m/>
    <m/>
    <m/>
    <m/>
    <m/>
    <m/>
    <m/>
    <m/>
    <m/>
    <m/>
    <m/>
  </r>
  <r>
    <x v="7"/>
    <s v="Prince George's Community College "/>
    <m/>
    <n v="163657"/>
    <x v="6"/>
    <n v="388272"/>
    <n v="391184"/>
    <n v="228085"/>
    <n v="221513"/>
    <n v="121383"/>
    <n v="124659"/>
    <n v="38804"/>
    <m/>
    <m/>
    <n v="45012"/>
    <n v="0"/>
    <n v="0"/>
    <m/>
    <n v="0"/>
    <n v="0"/>
    <n v="0"/>
    <m/>
    <m/>
    <m/>
    <m/>
    <m/>
    <m/>
    <m/>
    <m/>
    <m/>
    <m/>
    <m/>
    <m/>
  </r>
  <r>
    <x v="7"/>
    <s v="Allegany College of Maryland"/>
    <m/>
    <n v="161688"/>
    <x v="7"/>
    <n v="75761"/>
    <n v="79998"/>
    <n v="55090"/>
    <n v="54308"/>
    <n v="15078"/>
    <n v="13184"/>
    <n v="3523"/>
    <n v="2070"/>
    <m/>
    <n v="10469"/>
    <n v="2037"/>
    <n v="0"/>
    <m/>
    <n v="0"/>
    <n v="0"/>
    <n v="0"/>
    <m/>
    <m/>
    <m/>
    <m/>
    <m/>
    <m/>
    <m/>
    <m/>
    <m/>
    <m/>
    <m/>
    <m/>
  </r>
  <r>
    <x v="7"/>
    <s v="Baltimore City Community College"/>
    <s v="Met the criteria for Two-Year 1 in 2011-12."/>
    <n v="161864"/>
    <x v="7"/>
    <n v="147566"/>
    <n v="151159"/>
    <n v="117477"/>
    <n v="119734"/>
    <n v="4072"/>
    <n v="3374"/>
    <n v="26017"/>
    <m/>
    <m/>
    <n v="28051"/>
    <n v="0"/>
    <n v="0"/>
    <m/>
    <n v="0"/>
    <n v="0"/>
    <n v="0"/>
    <m/>
    <m/>
    <m/>
    <m/>
    <m/>
    <m/>
    <m/>
    <m/>
    <m/>
    <m/>
    <m/>
    <m/>
  </r>
  <r>
    <x v="7"/>
    <s v="Carroll Community College"/>
    <m/>
    <n v="405872"/>
    <x v="7"/>
    <n v="79864"/>
    <n v="81913.5"/>
    <n v="71008"/>
    <n v="72208.5"/>
    <n v="0"/>
    <n v="8"/>
    <n v="8727"/>
    <n v="129"/>
    <m/>
    <n v="9568"/>
    <n v="129"/>
    <n v="0"/>
    <m/>
    <n v="0"/>
    <n v="0"/>
    <n v="0"/>
    <m/>
    <m/>
    <m/>
    <m/>
    <m/>
    <m/>
    <m/>
    <m/>
    <m/>
    <m/>
    <m/>
    <m/>
  </r>
  <r>
    <x v="7"/>
    <s v="Frederick Community College "/>
    <m/>
    <n v="162557"/>
    <x v="7"/>
    <n v="122265"/>
    <n v="124210"/>
    <n v="104884"/>
    <n v="105611"/>
    <n v="2237"/>
    <n v="3061"/>
    <n v="15144"/>
    <m/>
    <m/>
    <n v="15538"/>
    <n v="0"/>
    <n v="0"/>
    <m/>
    <n v="0"/>
    <n v="0"/>
    <n v="0"/>
    <m/>
    <m/>
    <m/>
    <m/>
    <m/>
    <m/>
    <m/>
    <m/>
    <m/>
    <m/>
    <m/>
    <m/>
  </r>
  <r>
    <x v="7"/>
    <s v="Hagerstown Community College "/>
    <m/>
    <n v="162690"/>
    <x v="7"/>
    <n v="92895"/>
    <n v="95008"/>
    <n v="74662"/>
    <n v="74544"/>
    <n v="5942"/>
    <n v="6491"/>
    <n v="12039"/>
    <m/>
    <n v="147"/>
    <n v="13860"/>
    <n v="0"/>
    <n v="0"/>
    <n v="105"/>
    <n v="113"/>
    <n v="0"/>
    <n v="0"/>
    <m/>
    <m/>
    <m/>
    <m/>
    <m/>
    <m/>
    <m/>
    <m/>
    <m/>
    <m/>
    <m/>
    <m/>
  </r>
  <r>
    <x v="7"/>
    <s v="Harford Community College "/>
    <m/>
    <n v="162706"/>
    <x v="7"/>
    <n v="133500.5"/>
    <n v="134794"/>
    <n v="106584"/>
    <n v="103584"/>
    <n v="1777"/>
    <n v="1907"/>
    <n v="25139.5"/>
    <m/>
    <m/>
    <n v="29303"/>
    <n v="0"/>
    <n v="0"/>
    <m/>
    <n v="0"/>
    <n v="0"/>
    <n v="0"/>
    <m/>
    <m/>
    <m/>
    <m/>
    <m/>
    <m/>
    <m/>
    <m/>
    <m/>
    <m/>
    <m/>
    <m/>
  </r>
  <r>
    <x v="7"/>
    <s v="Wor-Wic Community College "/>
    <m/>
    <n v="164313"/>
    <x v="7"/>
    <n v="77350"/>
    <n v="76900"/>
    <n v="67409"/>
    <n v="66734"/>
    <n v="1211"/>
    <n v="1564"/>
    <n v="8658"/>
    <n v="72"/>
    <m/>
    <n v="8503"/>
    <n v="99"/>
    <n v="0"/>
    <m/>
    <n v="0"/>
    <n v="0"/>
    <n v="0"/>
    <m/>
    <m/>
    <m/>
    <m/>
    <m/>
    <m/>
    <m/>
    <m/>
    <m/>
    <m/>
    <m/>
    <m/>
  </r>
  <r>
    <x v="7"/>
    <s v="Cecil Community College "/>
    <m/>
    <n v="162104"/>
    <x v="8"/>
    <n v="48917.5"/>
    <n v="49051"/>
    <n v="40188.5"/>
    <n v="38745"/>
    <n v="1130"/>
    <n v="665"/>
    <n v="7599"/>
    <m/>
    <m/>
    <n v="9641"/>
    <n v="0"/>
    <n v="0"/>
    <m/>
    <n v="0"/>
    <n v="0"/>
    <n v="0"/>
    <m/>
    <m/>
    <m/>
    <m/>
    <m/>
    <m/>
    <m/>
    <m/>
    <m/>
    <m/>
    <m/>
    <m/>
  </r>
  <r>
    <x v="7"/>
    <s v="Chesapeake College "/>
    <m/>
    <n v="162168"/>
    <x v="8"/>
    <n v="54337"/>
    <n v="52932"/>
    <n v="37715"/>
    <n v="34103"/>
    <n v="9220"/>
    <n v="8976"/>
    <n v="6329"/>
    <n v="1043"/>
    <m/>
    <n v="8911"/>
    <n v="942"/>
    <n v="0"/>
    <n v="30"/>
    <n v="0"/>
    <n v="0"/>
    <n v="0"/>
    <m/>
    <m/>
    <m/>
    <m/>
    <m/>
    <m/>
    <m/>
    <m/>
    <m/>
    <m/>
    <m/>
    <m/>
  </r>
  <r>
    <x v="7"/>
    <s v="Garrett College "/>
    <m/>
    <n v="162609"/>
    <x v="8"/>
    <n v="20422.75"/>
    <n v="23845.75"/>
    <n v="16790.75"/>
    <n v="20284.75"/>
    <n v="1276"/>
    <n v="837"/>
    <n v="2125"/>
    <n v="231"/>
    <m/>
    <n v="2511"/>
    <n v="213"/>
    <n v="0"/>
    <m/>
    <n v="0"/>
    <n v="0"/>
    <n v="0"/>
    <m/>
    <m/>
    <m/>
    <m/>
    <m/>
    <m/>
    <m/>
    <m/>
    <m/>
    <m/>
    <m/>
    <m/>
  </r>
  <r>
    <x v="7"/>
    <s v="University of Maryland University College"/>
    <m/>
    <n v="163204"/>
    <x v="12"/>
    <n v="422643"/>
    <n v="467863"/>
    <n v="0"/>
    <n v="0"/>
    <n v="57209"/>
    <n v="42577"/>
    <n v="365434"/>
    <m/>
    <m/>
    <n v="425286"/>
    <n v="0"/>
    <n v="0"/>
    <m/>
    <n v="0"/>
    <n v="173875"/>
    <n v="189917"/>
    <m/>
    <m/>
    <m/>
    <m/>
    <n v="173875"/>
    <m/>
    <m/>
    <n v="189917"/>
    <n v="0"/>
    <n v="0"/>
    <m/>
    <n v="0"/>
  </r>
  <r>
    <x v="8"/>
    <s v="Mississippi State University"/>
    <m/>
    <n v="176080"/>
    <x v="0"/>
    <n v="418441"/>
    <n v="442000"/>
    <n v="384596"/>
    <n v="406119"/>
    <n v="11858"/>
    <n v="11862"/>
    <n v="21750"/>
    <n v="159"/>
    <n v="78"/>
    <n v="23828"/>
    <n v="189"/>
    <n v="0"/>
    <m/>
    <n v="2"/>
    <n v="64561"/>
    <n v="64674"/>
    <n v="48053"/>
    <n v="46886"/>
    <n v="2945"/>
    <n v="2721"/>
    <n v="13172"/>
    <n v="388"/>
    <n v="3"/>
    <n v="14596"/>
    <n v="450"/>
    <n v="21"/>
    <m/>
    <m/>
  </r>
  <r>
    <x v="8"/>
    <s v="University of Southern Mississippi"/>
    <m/>
    <n v="176372"/>
    <x v="0"/>
    <n v="342644"/>
    <n v="348323"/>
    <n v="271156"/>
    <n v="274414"/>
    <n v="37295"/>
    <n v="38610"/>
    <n v="31314"/>
    <n v="317"/>
    <n v="2562"/>
    <n v="34886"/>
    <n v="413"/>
    <n v="0"/>
    <m/>
    <n v="0"/>
    <n v="59544"/>
    <n v="58574"/>
    <n v="37332"/>
    <n v="36161"/>
    <n v="5629"/>
    <n v="5089"/>
    <n v="16379"/>
    <n v="201"/>
    <n v="3"/>
    <n v="17161"/>
    <n v="157"/>
    <n v="6"/>
    <m/>
    <m/>
  </r>
  <r>
    <x v="8"/>
    <s v="Jackson State University "/>
    <m/>
    <n v="175856"/>
    <x v="1"/>
    <n v="162509.5"/>
    <n v="171406"/>
    <n v="147783.5"/>
    <n v="155157"/>
    <n v="11221"/>
    <n v="7941"/>
    <n v="3505"/>
    <m/>
    <m/>
    <n v="8308"/>
    <m/>
    <m/>
    <m/>
    <m/>
    <n v="30916.5"/>
    <n v="34161"/>
    <n v="20721.5"/>
    <n v="27375"/>
    <n v="9569"/>
    <n v="5704"/>
    <n v="626"/>
    <m/>
    <m/>
    <n v="1082"/>
    <m/>
    <m/>
    <m/>
    <m/>
  </r>
  <r>
    <x v="8"/>
    <s v="University of Mississippi"/>
    <s v="Met the criteria for Four-Year 1 in 2011-12."/>
    <n v="176017"/>
    <x v="1"/>
    <n v="414725"/>
    <n v="442900"/>
    <n v="372564"/>
    <n v="398995"/>
    <n v="24938"/>
    <n v="25715"/>
    <n v="8951"/>
    <n v="8266"/>
    <m/>
    <n v="9905"/>
    <n v="8285"/>
    <m/>
    <n v="6"/>
    <m/>
    <n v="56846"/>
    <n v="58767"/>
    <n v="51344"/>
    <n v="52323"/>
    <n v="2643"/>
    <n v="1863"/>
    <n v="1812"/>
    <n v="1044"/>
    <m/>
    <n v="2910"/>
    <n v="1671"/>
    <m/>
    <n v="3"/>
    <m/>
  </r>
  <r>
    <x v="8"/>
    <s v="Alcorn State University"/>
    <m/>
    <n v="175342"/>
    <x v="3"/>
    <n v="84461"/>
    <n v="94366"/>
    <n v="72596"/>
    <n v="77881"/>
    <m/>
    <m/>
    <n v="11651"/>
    <s v=" "/>
    <n v="192"/>
    <n v="16381"/>
    <m/>
    <n v="104"/>
    <n v="22"/>
    <n v="0"/>
    <n v="12210"/>
    <n v="12887"/>
    <n v="7084"/>
    <n v="5531"/>
    <m/>
    <m/>
    <n v="5087"/>
    <m/>
    <n v="39"/>
    <n v="7346"/>
    <m/>
    <n v="10"/>
    <m/>
    <n v="0"/>
  </r>
  <r>
    <x v="8"/>
    <s v="Delta State University"/>
    <m/>
    <n v="175616"/>
    <x v="3"/>
    <n v="77725"/>
    <n v="75114"/>
    <n v="62670.5"/>
    <n v="59051"/>
    <n v="2610"/>
    <n v="1666"/>
    <n v="12435.5"/>
    <m/>
    <m/>
    <n v="14388"/>
    <m/>
    <m/>
    <n v="9"/>
    <n v="9"/>
    <n v="19448"/>
    <n v="22851"/>
    <n v="10402"/>
    <n v="13929"/>
    <n v="291"/>
    <n v="324"/>
    <n v="8755"/>
    <m/>
    <m/>
    <n v="8598"/>
    <m/>
    <m/>
    <m/>
    <m/>
  </r>
  <r>
    <x v="8"/>
    <s v="Mississippi Valley State University"/>
    <m/>
    <n v="176044"/>
    <x v="3"/>
    <n v="66168"/>
    <n v="62282"/>
    <n v="57652"/>
    <n v="51226"/>
    <n v="2091"/>
    <n v="1338"/>
    <n v="5042"/>
    <m/>
    <n v="372"/>
    <n v="8592"/>
    <m/>
    <n v="301"/>
    <n v="1011"/>
    <n v="825"/>
    <n v="6652"/>
    <n v="10419"/>
    <n v="5006"/>
    <n v="8217"/>
    <n v="408"/>
    <n v="138"/>
    <n v="1061"/>
    <m/>
    <n v="177"/>
    <n v="1860"/>
    <m/>
    <n v="204"/>
    <m/>
    <n v="0"/>
  </r>
  <r>
    <x v="8"/>
    <s v="Mississippi University for Women"/>
    <m/>
    <n v="176035"/>
    <x v="4"/>
    <n v="63024"/>
    <n v="67624"/>
    <n v="43855"/>
    <n v="39952"/>
    <m/>
    <m/>
    <n v="19169"/>
    <m/>
    <m/>
    <n v="27672"/>
    <m/>
    <m/>
    <m/>
    <m/>
    <n v="4501"/>
    <n v="4260"/>
    <n v="2986"/>
    <n v="2743"/>
    <n v="276"/>
    <n v="328"/>
    <n v="1239"/>
    <m/>
    <m/>
    <n v="1189"/>
    <m/>
    <m/>
    <m/>
    <m/>
  </r>
  <r>
    <x v="8"/>
    <s v="Hinds Community College "/>
    <m/>
    <n v="175786"/>
    <x v="6"/>
    <n v="340377"/>
    <n v="338896"/>
    <n v="291407"/>
    <n v="287701"/>
    <m/>
    <m/>
    <n v="48970"/>
    <m/>
    <m/>
    <n v="51195"/>
    <m/>
    <m/>
    <m/>
    <m/>
    <n v="0"/>
    <n v="0"/>
    <m/>
    <m/>
    <m/>
    <m/>
    <m/>
    <m/>
    <m/>
    <m/>
    <m/>
    <m/>
    <m/>
    <m/>
  </r>
  <r>
    <x v="8"/>
    <s v="Itawamba Community College "/>
    <s v="Met criteria for Two-Year 2 2011-12."/>
    <n v="175829"/>
    <x v="6"/>
    <n v="226292"/>
    <n v="204086"/>
    <n v="138709"/>
    <n v="124506"/>
    <m/>
    <m/>
    <n v="87583"/>
    <m/>
    <m/>
    <n v="79580"/>
    <m/>
    <m/>
    <m/>
    <m/>
    <n v="0"/>
    <n v="0"/>
    <m/>
    <m/>
    <m/>
    <m/>
    <m/>
    <m/>
    <m/>
    <m/>
    <m/>
    <m/>
    <m/>
    <m/>
  </r>
  <r>
    <x v="8"/>
    <s v="Mississippi Gulf Coast Community College "/>
    <s v="Met criteria for Two-Year 2 2011-12."/>
    <n v="176071"/>
    <x v="6"/>
    <n v="260228"/>
    <n v="254461"/>
    <n v="217283"/>
    <n v="204991"/>
    <m/>
    <m/>
    <n v="42945"/>
    <m/>
    <m/>
    <n v="49470"/>
    <m/>
    <m/>
    <m/>
    <m/>
    <n v="0"/>
    <n v="0"/>
    <m/>
    <m/>
    <m/>
    <m/>
    <m/>
    <m/>
    <m/>
    <m/>
    <m/>
    <m/>
    <m/>
    <m/>
  </r>
  <r>
    <x v="8"/>
    <s v="Northwest Mississippi Community College "/>
    <s v="Met criteria for Two-Year 2 2011-12."/>
    <n v="176178"/>
    <x v="6"/>
    <n v="219847"/>
    <n v="215284"/>
    <n v="183910"/>
    <n v="178486"/>
    <m/>
    <m/>
    <n v="35937"/>
    <m/>
    <m/>
    <n v="36798"/>
    <m/>
    <m/>
    <m/>
    <m/>
    <n v="0"/>
    <n v="0"/>
    <m/>
    <m/>
    <m/>
    <m/>
    <m/>
    <m/>
    <m/>
    <m/>
    <m/>
    <m/>
    <m/>
    <m/>
  </r>
  <r>
    <x v="8"/>
    <s v="Copiah-Lincoln Community College "/>
    <s v="Met criteria for Two-Year 3 2011-12."/>
    <n v="175573"/>
    <x v="7"/>
    <n v="105575"/>
    <n v="99639"/>
    <n v="85329"/>
    <n v="78979"/>
    <m/>
    <m/>
    <n v="20246"/>
    <m/>
    <m/>
    <n v="20660"/>
    <m/>
    <m/>
    <m/>
    <m/>
    <n v="0"/>
    <n v="0"/>
    <m/>
    <m/>
    <m/>
    <m/>
    <m/>
    <m/>
    <m/>
    <m/>
    <m/>
    <m/>
    <m/>
    <m/>
  </r>
  <r>
    <x v="8"/>
    <s v="East Central Community College "/>
    <s v="Met criteria for Two-Year 3 2011-12."/>
    <n v="175643"/>
    <x v="7"/>
    <n v="72447"/>
    <n v="70659"/>
    <n v="60992"/>
    <n v="59097"/>
    <m/>
    <m/>
    <n v="11455"/>
    <m/>
    <m/>
    <n v="11562"/>
    <m/>
    <m/>
    <m/>
    <m/>
    <n v="0"/>
    <n v="0"/>
    <m/>
    <m/>
    <m/>
    <m/>
    <m/>
    <m/>
    <m/>
    <m/>
    <m/>
    <m/>
    <m/>
    <m/>
  </r>
  <r>
    <x v="8"/>
    <s v="East Mississippi Community College "/>
    <m/>
    <n v="175652"/>
    <x v="7"/>
    <n v="134386"/>
    <n v="129678"/>
    <n v="95985"/>
    <n v="87110"/>
    <m/>
    <m/>
    <n v="38401"/>
    <m/>
    <m/>
    <n v="42568"/>
    <m/>
    <m/>
    <m/>
    <m/>
    <n v="0"/>
    <n v="0"/>
    <m/>
    <m/>
    <m/>
    <m/>
    <m/>
    <m/>
    <m/>
    <m/>
    <m/>
    <m/>
    <m/>
    <m/>
  </r>
  <r>
    <x v="8"/>
    <s v="Holmes Community College "/>
    <m/>
    <n v="175810"/>
    <x v="7"/>
    <n v="161641"/>
    <n v="164122"/>
    <n v="141652"/>
    <n v="135843"/>
    <m/>
    <m/>
    <n v="19989"/>
    <m/>
    <m/>
    <n v="28279"/>
    <m/>
    <m/>
    <m/>
    <m/>
    <n v="0"/>
    <n v="0"/>
    <m/>
    <m/>
    <m/>
    <m/>
    <m/>
    <m/>
    <m/>
    <m/>
    <m/>
    <m/>
    <m/>
    <m/>
  </r>
  <r>
    <x v="8"/>
    <s v="Jones County Junior College "/>
    <m/>
    <n v="175883"/>
    <x v="7"/>
    <n v="151640"/>
    <n v="139066"/>
    <n v="125810"/>
    <n v="117067"/>
    <m/>
    <m/>
    <n v="25830"/>
    <m/>
    <m/>
    <n v="21999"/>
    <m/>
    <m/>
    <m/>
    <m/>
    <n v="0"/>
    <n v="0"/>
    <m/>
    <m/>
    <m/>
    <m/>
    <m/>
    <m/>
    <m/>
    <m/>
    <m/>
    <m/>
    <m/>
    <m/>
  </r>
  <r>
    <x v="8"/>
    <s v="Meridian Community College "/>
    <s v="Met criteria for Two-Year 3 2011-12."/>
    <n v="175935"/>
    <x v="7"/>
    <n v="102621"/>
    <n v="101121.5"/>
    <n v="88973"/>
    <n v="86567.5"/>
    <m/>
    <m/>
    <n v="13648"/>
    <m/>
    <m/>
    <n v="14554"/>
    <m/>
    <m/>
    <m/>
    <m/>
    <n v="0"/>
    <n v="0"/>
    <m/>
    <m/>
    <m/>
    <m/>
    <m/>
    <m/>
    <m/>
    <m/>
    <m/>
    <m/>
    <m/>
    <m/>
  </r>
  <r>
    <x v="8"/>
    <s v="Mississippi Delta Community College "/>
    <s v="Met criteria for Two-Year 3 2011-12."/>
    <n v="176008"/>
    <x v="7"/>
    <n v="95578"/>
    <n v="88891"/>
    <n v="80457"/>
    <n v="74233"/>
    <m/>
    <m/>
    <n v="15121"/>
    <m/>
    <m/>
    <n v="14658"/>
    <m/>
    <m/>
    <m/>
    <m/>
    <n v="0"/>
    <n v="0"/>
    <m/>
    <m/>
    <m/>
    <m/>
    <m/>
    <m/>
    <m/>
    <m/>
    <m/>
    <m/>
    <m/>
    <m/>
  </r>
  <r>
    <x v="8"/>
    <s v="Northeast Mississippi Community College "/>
    <s v="Met criteria for Two-Year 3 2011-12."/>
    <n v="176169"/>
    <x v="7"/>
    <n v="98780"/>
    <n v="98233"/>
    <n v="86696"/>
    <n v="82970"/>
    <m/>
    <m/>
    <n v="12084"/>
    <m/>
    <m/>
    <n v="15263"/>
    <m/>
    <m/>
    <m/>
    <m/>
    <n v="0"/>
    <n v="0"/>
    <m/>
    <m/>
    <m/>
    <m/>
    <m/>
    <m/>
    <m/>
    <m/>
    <m/>
    <m/>
    <m/>
    <m/>
  </r>
  <r>
    <x v="8"/>
    <s v="Pearl River Community College "/>
    <m/>
    <n v="176239"/>
    <x v="7"/>
    <n v="129439"/>
    <n v="129908"/>
    <n v="113535"/>
    <n v="110906"/>
    <m/>
    <m/>
    <n v="15904"/>
    <m/>
    <m/>
    <n v="19002"/>
    <m/>
    <m/>
    <m/>
    <m/>
    <n v="0"/>
    <n v="0"/>
    <m/>
    <m/>
    <m/>
    <m/>
    <m/>
    <m/>
    <m/>
    <m/>
    <m/>
    <m/>
    <m/>
    <m/>
  </r>
  <r>
    <x v="8"/>
    <s v="Coahoma Community College "/>
    <m/>
    <n v="175519"/>
    <x v="8"/>
    <n v="63546"/>
    <n v="72371"/>
    <n v="59568"/>
    <n v="66559"/>
    <m/>
    <m/>
    <n v="3978"/>
    <m/>
    <m/>
    <n v="5812"/>
    <m/>
    <m/>
    <m/>
    <m/>
    <n v="0"/>
    <n v="0"/>
    <m/>
    <m/>
    <m/>
    <m/>
    <m/>
    <m/>
    <m/>
    <m/>
    <m/>
    <m/>
    <m/>
    <m/>
  </r>
  <r>
    <x v="8"/>
    <s v="Southwest Mississippi Community College"/>
    <m/>
    <n v="176354"/>
    <x v="8"/>
    <n v="56549"/>
    <n v="57111"/>
    <n v="48821"/>
    <n v="47205"/>
    <m/>
    <m/>
    <n v="7728"/>
    <m/>
    <m/>
    <n v="9906"/>
    <m/>
    <m/>
    <m/>
    <m/>
    <n v="0"/>
    <n v="0"/>
    <m/>
    <m/>
    <m/>
    <m/>
    <m/>
    <m/>
    <m/>
    <m/>
    <m/>
    <m/>
    <m/>
    <m/>
  </r>
  <r>
    <x v="9"/>
    <s v="North Carolina State University "/>
    <m/>
    <n v="199193"/>
    <x v="0"/>
    <n v="725990"/>
    <n v="730688"/>
    <n v="652424"/>
    <n v="651413"/>
    <n v="2684"/>
    <n v="2287"/>
    <n v="70435"/>
    <n v="0"/>
    <n v="447"/>
    <n v="76769"/>
    <n v="0"/>
    <n v="219"/>
    <m/>
    <m/>
    <n v="134169"/>
    <n v="141726"/>
    <n v="110680"/>
    <n v="115456"/>
    <n v="6029"/>
    <n v="5786"/>
    <n v="16980"/>
    <n v="0"/>
    <n v="480"/>
    <n v="20283"/>
    <n v="0"/>
    <n v="201"/>
    <m/>
    <m/>
  </r>
  <r>
    <x v="9"/>
    <s v="University of North Carolina at Chapel Hill "/>
    <m/>
    <n v="199120"/>
    <x v="0"/>
    <n v="508742"/>
    <n v="512048"/>
    <n v="493196"/>
    <n v="497036"/>
    <n v="509"/>
    <n v="427"/>
    <n v="15037"/>
    <n v="0"/>
    <n v="0"/>
    <n v="14582"/>
    <n v="3"/>
    <n v="0"/>
    <m/>
    <m/>
    <n v="194086"/>
    <n v="187268"/>
    <n v="163862"/>
    <n v="161566"/>
    <n v="15695"/>
    <n v="14426"/>
    <n v="14092"/>
    <n v="437"/>
    <m/>
    <n v="11177"/>
    <n v="90"/>
    <n v="9"/>
    <m/>
    <m/>
  </r>
  <r>
    <x v="9"/>
    <s v="University of North Carolina at Greensboro"/>
    <s v="Reclassified: met the criteria for Four-Year 1 in 2009-10, 2010-11 and 2011-12."/>
    <n v="199148"/>
    <x v="0"/>
    <n v="414299"/>
    <n v="420880"/>
    <n v="350322"/>
    <n v="351372"/>
    <n v="336"/>
    <n v="350"/>
    <n v="63569"/>
    <n v="72"/>
    <n v="0"/>
    <n v="69074"/>
    <n v="84"/>
    <n v="0"/>
    <m/>
    <m/>
    <n v="70539"/>
    <n v="71544"/>
    <n v="55355"/>
    <n v="55256"/>
    <n v="2232"/>
    <n v="2850"/>
    <n v="12633"/>
    <n v="319"/>
    <m/>
    <n v="13159"/>
    <n v="279"/>
    <n v="0"/>
    <m/>
    <m/>
  </r>
  <r>
    <x v="9"/>
    <s v="University of North Carolina at Charlotte"/>
    <m/>
    <n v="199139"/>
    <x v="1"/>
    <n v="550912"/>
    <n v="566448"/>
    <n v="530225"/>
    <n v="543221"/>
    <n v="561"/>
    <n v="240"/>
    <n v="20126"/>
    <n v="0"/>
    <n v="0"/>
    <n v="22975"/>
    <n v="12"/>
    <n v="0"/>
    <m/>
    <m/>
    <n v="74936"/>
    <n v="71816"/>
    <n v="61026"/>
    <n v="59266"/>
    <n v="3771"/>
    <n v="2424"/>
    <n v="10115"/>
    <n v="24"/>
    <m/>
    <n v="10099"/>
    <n v="27"/>
    <n v="0"/>
    <m/>
    <m/>
  </r>
  <r>
    <x v="9"/>
    <s v="Appalachian State University "/>
    <m/>
    <n v="197869"/>
    <x v="2"/>
    <n v="453030"/>
    <n v="465831"/>
    <n v="435465"/>
    <n v="447444"/>
    <n v="9418"/>
    <n v="8773"/>
    <n v="8147"/>
    <n v="0"/>
    <n v="0"/>
    <n v="9614"/>
    <n v="0"/>
    <n v="0"/>
    <m/>
    <m/>
    <n v="38084"/>
    <n v="37025"/>
    <n v="22203"/>
    <n v="22532"/>
    <n v="11882"/>
    <n v="9215"/>
    <n v="3999"/>
    <n v="0"/>
    <m/>
    <n v="5278"/>
    <n v="0"/>
    <n v="0"/>
    <m/>
    <m/>
  </r>
  <r>
    <x v="9"/>
    <s v="East Carolina University "/>
    <s v="Met the criteria for Four-Year 2 in 2010-11 and 2011-12."/>
    <n v="198464"/>
    <x v="2"/>
    <n v="595157"/>
    <n v="597340"/>
    <n v="504109"/>
    <n v="502635"/>
    <n v="11952"/>
    <n v="7662"/>
    <n v="79096"/>
    <n v="0"/>
    <n v="0"/>
    <n v="87043"/>
    <n v="0"/>
    <n v="0"/>
    <m/>
    <m/>
    <n v="108620"/>
    <n v="103726"/>
    <n v="55748"/>
    <n v="54865"/>
    <n v="8351"/>
    <n v="7099"/>
    <n v="44521"/>
    <n v="0"/>
    <m/>
    <n v="41762"/>
    <n v="0"/>
    <n v="0"/>
    <m/>
    <m/>
  </r>
  <r>
    <x v="9"/>
    <s v="North Carolina A&amp;T State University"/>
    <m/>
    <n v="199102"/>
    <x v="2"/>
    <n v="270371"/>
    <n v="269574"/>
    <n v="248969"/>
    <n v="246539"/>
    <n v="2167"/>
    <n v="1866"/>
    <n v="19235"/>
    <n v="0"/>
    <n v="0"/>
    <n v="21065"/>
    <n v="104"/>
    <n v="0"/>
    <m/>
    <m/>
    <n v="33492"/>
    <n v="32637"/>
    <n v="24393"/>
    <n v="23326"/>
    <n v="1932"/>
    <n v="2553"/>
    <n v="7167"/>
    <n v="0"/>
    <m/>
    <n v="6758"/>
    <n v="0"/>
    <n v="0"/>
    <m/>
    <m/>
  </r>
  <r>
    <x v="9"/>
    <s v="North Carolina Central University "/>
    <m/>
    <n v="199157"/>
    <x v="2"/>
    <n v="192314"/>
    <n v="191123"/>
    <n v="179702"/>
    <n v="170621"/>
    <n v="195"/>
    <n v="165"/>
    <n v="12417"/>
    <n v="0"/>
    <n v="0"/>
    <n v="20337"/>
    <n v="0"/>
    <n v="0"/>
    <m/>
    <m/>
    <n v="43255"/>
    <n v="41457"/>
    <n v="34879"/>
    <n v="33173"/>
    <n v="1433"/>
    <n v="1059"/>
    <n v="6943"/>
    <n v="0"/>
    <m/>
    <n v="7225"/>
    <n v="0"/>
    <n v="0"/>
    <m/>
    <m/>
  </r>
  <r>
    <x v="9"/>
    <s v="University of North Carolina at Wilmington"/>
    <m/>
    <n v="199218"/>
    <x v="2"/>
    <n v="343061"/>
    <n v="349604"/>
    <n v="311729"/>
    <n v="316370"/>
    <n v="4085"/>
    <n v="11371"/>
    <n v="27157"/>
    <n v="90"/>
    <n v="0"/>
    <n v="21466"/>
    <n v="42"/>
    <n v="355"/>
    <m/>
    <m/>
    <n v="21548"/>
    <n v="20233"/>
    <n v="17764"/>
    <n v="16250"/>
    <n v="441"/>
    <n v="1181"/>
    <n v="3157"/>
    <n v="186"/>
    <m/>
    <n v="2662"/>
    <n v="105"/>
    <n v="35"/>
    <m/>
    <m/>
  </r>
  <r>
    <x v="9"/>
    <s v="Western Carolina University "/>
    <m/>
    <n v="200004"/>
    <x v="2"/>
    <n v="210642"/>
    <n v="215841"/>
    <n v="187349"/>
    <n v="192524"/>
    <n v="4540"/>
    <n v="2882"/>
    <n v="18597"/>
    <n v="156"/>
    <n v="0"/>
    <n v="20423"/>
    <n v="12"/>
    <n v="0"/>
    <m/>
    <m/>
    <n v="33816"/>
    <n v="31213"/>
    <n v="18560"/>
    <n v="17721"/>
    <n v="860"/>
    <n v="644"/>
    <n v="14066"/>
    <n v="330"/>
    <m/>
    <n v="12740"/>
    <n v="108"/>
    <n v="0"/>
    <m/>
    <m/>
  </r>
  <r>
    <x v="9"/>
    <s v="Fayetteville State University "/>
    <m/>
    <n v="198543"/>
    <x v="3"/>
    <n v="144829"/>
    <n v="148382"/>
    <n v="119447"/>
    <n v="121779"/>
    <n v="3310"/>
    <n v="2976"/>
    <n v="21922"/>
    <n v="150"/>
    <n v="0"/>
    <n v="23525"/>
    <n v="99"/>
    <n v="3"/>
    <m/>
    <m/>
    <n v="9471"/>
    <n v="10848"/>
    <n v="5492"/>
    <n v="6176"/>
    <n v="1681"/>
    <n v="1996"/>
    <n v="2298"/>
    <n v="0"/>
    <m/>
    <n v="2676"/>
    <n v="0"/>
    <n v="0"/>
    <m/>
    <m/>
  </r>
  <r>
    <x v="9"/>
    <s v="University of North Carolina at Pembroke"/>
    <m/>
    <n v="199281"/>
    <x v="4"/>
    <n v="169136"/>
    <n v="158452"/>
    <n v="131400"/>
    <n v="121438"/>
    <n v="4021"/>
    <n v="4301"/>
    <n v="33015"/>
    <n v="700"/>
    <n v="0"/>
    <n v="32199"/>
    <n v="514"/>
    <n v="0"/>
    <m/>
    <m/>
    <n v="11092"/>
    <n v="11674"/>
    <n v="4830"/>
    <n v="3950"/>
    <n v="859"/>
    <n v="1325"/>
    <n v="5349"/>
    <n v="54"/>
    <m/>
    <n v="6222"/>
    <n v="177"/>
    <n v="0"/>
    <m/>
    <m/>
  </r>
  <r>
    <x v="9"/>
    <s v="Winston-Salem State University "/>
    <m/>
    <n v="199999"/>
    <x v="4"/>
    <n v="173712"/>
    <n v="170464"/>
    <n v="140047"/>
    <n v="137482"/>
    <n v="15543"/>
    <n v="12639"/>
    <n v="18122"/>
    <n v="0"/>
    <n v="0"/>
    <n v="20343"/>
    <n v="0"/>
    <n v="0"/>
    <m/>
    <m/>
    <n v="10784"/>
    <n v="11354"/>
    <n v="9159"/>
    <n v="9579"/>
    <n v="483"/>
    <n v="235"/>
    <n v="1058"/>
    <n v="84"/>
    <m/>
    <n v="1534"/>
    <n v="6"/>
    <n v="0"/>
    <m/>
    <m/>
  </r>
  <r>
    <x v="9"/>
    <s v="Elizabeth City State University "/>
    <m/>
    <n v="198507"/>
    <x v="5"/>
    <n v="100051"/>
    <n v="95275"/>
    <n v="83505"/>
    <n v="76745"/>
    <n v="1500"/>
    <n v="1580"/>
    <n v="15046"/>
    <n v="0"/>
    <n v="0"/>
    <n v="16950"/>
    <n v="0"/>
    <n v="0"/>
    <m/>
    <m/>
    <n v="1076"/>
    <n v="1530"/>
    <n v="629"/>
    <n v="815"/>
    <n v="82"/>
    <n v="33"/>
    <n v="365"/>
    <n v="0"/>
    <m/>
    <n v="682"/>
    <n v="0"/>
    <n v="0"/>
    <m/>
    <m/>
  </r>
  <r>
    <x v="9"/>
    <s v="University of North Carolina at Asheville"/>
    <m/>
    <n v="199111"/>
    <x v="5"/>
    <n v="102465"/>
    <n v="101367"/>
    <n v="100823"/>
    <n v="99229"/>
    <n v="1642"/>
    <n v="1566"/>
    <n v="0"/>
    <n v="0"/>
    <n v="0"/>
    <n v="102"/>
    <n v="470"/>
    <n v="0"/>
    <m/>
    <m/>
    <n v="443"/>
    <n v="542"/>
    <n v="398"/>
    <n v="479"/>
    <n v="45"/>
    <n v="63"/>
    <n v="0"/>
    <n v="0"/>
    <m/>
    <n v="0"/>
    <n v="0"/>
    <n v="0"/>
    <m/>
    <m/>
  </r>
  <r>
    <x v="9"/>
    <s v="Asheville-Buncombe Technical Community College"/>
    <m/>
    <n v="197887"/>
    <x v="6"/>
    <n v="159416"/>
    <n v="168292"/>
    <n v="124856"/>
    <n v="110114"/>
    <n v="10150"/>
    <n v="9320"/>
    <n v="24410"/>
    <n v="0"/>
    <n v="0"/>
    <n v="48858"/>
    <n v="0"/>
    <n v="0"/>
    <m/>
    <m/>
    <n v="0"/>
    <n v="0"/>
    <m/>
    <m/>
    <m/>
    <m/>
    <m/>
    <m/>
    <m/>
    <m/>
    <m/>
    <m/>
    <m/>
    <m/>
  </r>
  <r>
    <x v="9"/>
    <s v="Cape Fear Community College"/>
    <m/>
    <n v="198154"/>
    <x v="6"/>
    <n v="212549"/>
    <n v="218565"/>
    <n v="175771"/>
    <n v="156583"/>
    <n v="3277"/>
    <n v="2755"/>
    <n v="33501"/>
    <n v="0"/>
    <n v="0"/>
    <n v="59227"/>
    <n v="0"/>
    <n v="0"/>
    <m/>
    <m/>
    <n v="0"/>
    <n v="0"/>
    <m/>
    <m/>
    <m/>
    <m/>
    <m/>
    <m/>
    <m/>
    <m/>
    <m/>
    <m/>
    <m/>
    <m/>
  </r>
  <r>
    <x v="9"/>
    <s v="Central Piedmont Community College "/>
    <m/>
    <n v="198260"/>
    <x v="6"/>
    <n v="409543"/>
    <n v="422728"/>
    <n v="302706"/>
    <n v="299626"/>
    <n v="15033"/>
    <n v="2879"/>
    <n v="87274"/>
    <n v="0"/>
    <n v="4530"/>
    <n v="116007"/>
    <n v="0"/>
    <n v="4216"/>
    <m/>
    <m/>
    <n v="0"/>
    <n v="0"/>
    <m/>
    <m/>
    <m/>
    <m/>
    <m/>
    <m/>
    <m/>
    <m/>
    <m/>
    <m/>
    <m/>
    <m/>
  </r>
  <r>
    <x v="9"/>
    <s v="Fayetteville Technical Community College"/>
    <m/>
    <n v="198534"/>
    <x v="6"/>
    <n v="242342"/>
    <n v="238322"/>
    <n v="151556"/>
    <n v="139964"/>
    <n v="5748"/>
    <n v="4393"/>
    <n v="83874"/>
    <n v="1164"/>
    <n v="0"/>
    <n v="92827"/>
    <n v="1138"/>
    <n v="0"/>
    <m/>
    <m/>
    <n v="0"/>
    <n v="0"/>
    <m/>
    <m/>
    <m/>
    <m/>
    <m/>
    <m/>
    <m/>
    <m/>
    <m/>
    <m/>
    <m/>
    <m/>
  </r>
  <r>
    <x v="9"/>
    <s v="Forsyth Technical Community College"/>
    <m/>
    <n v="198552"/>
    <x v="6"/>
    <n v="215071"/>
    <n v="224439"/>
    <n v="150541"/>
    <n v="138959"/>
    <n v="12413"/>
    <n v="12256"/>
    <n v="50600"/>
    <n v="1517"/>
    <n v="0"/>
    <n v="72493"/>
    <n v="731"/>
    <n v="0"/>
    <m/>
    <m/>
    <n v="0"/>
    <n v="0"/>
    <m/>
    <m/>
    <m/>
    <m/>
    <m/>
    <m/>
    <m/>
    <m/>
    <m/>
    <m/>
    <m/>
    <m/>
  </r>
  <r>
    <x v="9"/>
    <s v="Gaston College "/>
    <s v="Met criteria for Two-Year 2 in 2011-12."/>
    <n v="198570"/>
    <x v="6"/>
    <n v="151327"/>
    <n v="139553"/>
    <n v="110795"/>
    <n v="89820"/>
    <n v="5218"/>
    <n v="4600"/>
    <n v="34114"/>
    <n v="1200"/>
    <n v="0"/>
    <n v="44287"/>
    <n v="846"/>
    <n v="0"/>
    <m/>
    <m/>
    <n v="0"/>
    <n v="0"/>
    <m/>
    <m/>
    <m/>
    <m/>
    <m/>
    <m/>
    <m/>
    <m/>
    <m/>
    <m/>
    <m/>
    <m/>
  </r>
  <r>
    <x v="9"/>
    <s v="Guilford Technical Community College"/>
    <m/>
    <n v="198622"/>
    <x v="6"/>
    <n v="333447"/>
    <n v="357323"/>
    <n v="282592"/>
    <n v="234950"/>
    <n v="2805"/>
    <n v="2744"/>
    <n v="48050"/>
    <n v="0"/>
    <n v="0"/>
    <n v="119629"/>
    <n v="0"/>
    <n v="0"/>
    <m/>
    <m/>
    <n v="0"/>
    <n v="0"/>
    <m/>
    <m/>
    <m/>
    <m/>
    <m/>
    <m/>
    <m/>
    <m/>
    <m/>
    <m/>
    <m/>
    <m/>
  </r>
  <r>
    <x v="9"/>
    <s v="Pitt Community College"/>
    <m/>
    <n v="199333"/>
    <x v="6"/>
    <n v="188059"/>
    <n v="198801"/>
    <n v="136184"/>
    <n v="120569"/>
    <n v="8983"/>
    <n v="8948"/>
    <n v="42892"/>
    <n v="0"/>
    <n v="0"/>
    <n v="69284"/>
    <n v="0"/>
    <n v="0"/>
    <m/>
    <m/>
    <n v="0"/>
    <n v="0"/>
    <m/>
    <m/>
    <m/>
    <m/>
    <m/>
    <m/>
    <m/>
    <m/>
    <m/>
    <m/>
    <m/>
    <m/>
  </r>
  <r>
    <x v="9"/>
    <s v="Rowan-Cabarrus Community College"/>
    <m/>
    <n v="199494"/>
    <x v="6"/>
    <n v="166263"/>
    <n v="161032"/>
    <n v="132266"/>
    <n v="119812"/>
    <n v="3687"/>
    <n v="4957"/>
    <n v="27427"/>
    <n v="756"/>
    <n v="2127"/>
    <n v="35129"/>
    <n v="0"/>
    <n v="1134"/>
    <m/>
    <m/>
    <n v="0"/>
    <n v="0"/>
    <m/>
    <m/>
    <m/>
    <m/>
    <m/>
    <m/>
    <m/>
    <m/>
    <m/>
    <m/>
    <m/>
    <m/>
  </r>
  <r>
    <x v="9"/>
    <s v="Wake Technical Community College"/>
    <m/>
    <n v="199856"/>
    <x v="6"/>
    <n v="348159"/>
    <n v="382605"/>
    <n v="269320"/>
    <n v="272150"/>
    <n v="6433"/>
    <n v="5318"/>
    <n v="72406"/>
    <n v="0"/>
    <n v="0"/>
    <n v="105032"/>
    <n v="105"/>
    <n v="0"/>
    <m/>
    <m/>
    <n v="0"/>
    <n v="0"/>
    <m/>
    <m/>
    <m/>
    <m/>
    <m/>
    <m/>
    <m/>
    <m/>
    <m/>
    <m/>
    <m/>
    <m/>
  </r>
  <r>
    <x v="9"/>
    <s v="Alamance Community College"/>
    <m/>
    <n v="199786"/>
    <x v="7"/>
    <n v="117494"/>
    <n v="112301"/>
    <n v="99284"/>
    <n v="87417"/>
    <n v="5672"/>
    <n v="5115"/>
    <n v="12538"/>
    <n v="0"/>
    <n v="0"/>
    <n v="19769"/>
    <n v="0"/>
    <n v="0"/>
    <m/>
    <m/>
    <n v="0"/>
    <n v="0"/>
    <m/>
    <m/>
    <m/>
    <m/>
    <m/>
    <m/>
    <m/>
    <m/>
    <m/>
    <m/>
    <m/>
    <m/>
  </r>
  <r>
    <x v="9"/>
    <s v="Caldwell Community College &amp; Technical Institute"/>
    <m/>
    <n v="198118"/>
    <x v="7"/>
    <n v="107584"/>
    <n v="106665"/>
    <n v="79669"/>
    <n v="62627"/>
    <n v="7532"/>
    <n v="5073"/>
    <n v="16853"/>
    <n v="3205"/>
    <n v="325"/>
    <n v="34199"/>
    <n v="4685"/>
    <n v="81"/>
    <m/>
    <m/>
    <n v="0"/>
    <n v="0"/>
    <m/>
    <m/>
    <m/>
    <m/>
    <m/>
    <m/>
    <m/>
    <m/>
    <m/>
    <m/>
    <m/>
    <m/>
  </r>
  <r>
    <x v="9"/>
    <s v="Catawba Valley Community College"/>
    <m/>
    <n v="198233"/>
    <x v="7"/>
    <n v="125873"/>
    <n v="118488"/>
    <n v="92143"/>
    <n v="74240"/>
    <n v="4186"/>
    <n v="3252"/>
    <n v="28694"/>
    <n v="123"/>
    <n v="727"/>
    <n v="40117"/>
    <n v="0"/>
    <n v="879"/>
    <m/>
    <m/>
    <n v="0"/>
    <n v="0"/>
    <m/>
    <m/>
    <m/>
    <m/>
    <m/>
    <m/>
    <m/>
    <m/>
    <m/>
    <m/>
    <m/>
    <m/>
  </r>
  <r>
    <x v="9"/>
    <s v="Central Carolina Commuity College"/>
    <m/>
    <n v="198251"/>
    <x v="7"/>
    <n v="104167"/>
    <n v="96500"/>
    <n v="65438"/>
    <n v="55626"/>
    <n v="10252"/>
    <n v="7243"/>
    <n v="27852"/>
    <n v="0"/>
    <n v="625"/>
    <n v="33631"/>
    <n v="0"/>
    <n v="0"/>
    <m/>
    <m/>
    <n v="0"/>
    <n v="0"/>
    <m/>
    <m/>
    <m/>
    <m/>
    <m/>
    <m/>
    <m/>
    <m/>
    <m/>
    <m/>
    <m/>
    <m/>
  </r>
  <r>
    <x v="9"/>
    <s v="Cleveland Community College"/>
    <m/>
    <n v="198321"/>
    <x v="7"/>
    <n v="93159"/>
    <n v="78197"/>
    <n v="60360"/>
    <n v="41524"/>
    <n v="11099"/>
    <n v="6675"/>
    <n v="21445"/>
    <n v="225"/>
    <n v="30"/>
    <n v="29868"/>
    <n v="130"/>
    <n v="0"/>
    <m/>
    <m/>
    <n v="0"/>
    <n v="0"/>
    <m/>
    <m/>
    <m/>
    <m/>
    <m/>
    <m/>
    <m/>
    <m/>
    <m/>
    <m/>
    <m/>
    <m/>
  </r>
  <r>
    <x v="9"/>
    <s v="Coastal Carolina Community College "/>
    <m/>
    <n v="198330"/>
    <x v="7"/>
    <n v="115927"/>
    <n v="109745"/>
    <n v="80478"/>
    <n v="75833"/>
    <n v="10109"/>
    <n v="8990"/>
    <n v="25340"/>
    <n v="0"/>
    <n v="0"/>
    <n v="24922"/>
    <n v="0"/>
    <n v="0"/>
    <m/>
    <m/>
    <n v="0"/>
    <n v="0"/>
    <m/>
    <m/>
    <m/>
    <m/>
    <m/>
    <m/>
    <m/>
    <m/>
    <m/>
    <m/>
    <m/>
    <m/>
  </r>
  <r>
    <x v="9"/>
    <s v="Craven Community College "/>
    <m/>
    <n v="198367"/>
    <x v="7"/>
    <n v="78830"/>
    <n v="78714"/>
    <n v="51547"/>
    <n v="43141"/>
    <n v="704"/>
    <n v="886"/>
    <n v="25751"/>
    <n v="0"/>
    <n v="828"/>
    <n v="34585"/>
    <n v="0"/>
    <n v="102"/>
    <m/>
    <m/>
    <n v="0"/>
    <n v="0"/>
    <m/>
    <m/>
    <m/>
    <m/>
    <m/>
    <m/>
    <m/>
    <m/>
    <m/>
    <m/>
    <m/>
    <m/>
  </r>
  <r>
    <x v="9"/>
    <s v="Davidson County Community College "/>
    <m/>
    <n v="198376"/>
    <x v="7"/>
    <n v="96011"/>
    <n v="97150"/>
    <n v="72398"/>
    <n v="41428"/>
    <n v="22"/>
    <n v="38"/>
    <n v="22204"/>
    <n v="1387"/>
    <n v="0"/>
    <n v="54518"/>
    <n v="1166"/>
    <n v="0"/>
    <m/>
    <m/>
    <n v="0"/>
    <n v="0"/>
    <m/>
    <m/>
    <m/>
    <m/>
    <m/>
    <m/>
    <m/>
    <m/>
    <m/>
    <m/>
    <m/>
    <m/>
  </r>
  <r>
    <x v="9"/>
    <s v="Durham Technical Community College"/>
    <m/>
    <n v="198455"/>
    <x v="7"/>
    <n v="105294"/>
    <n v="105233"/>
    <n v="88388"/>
    <n v="82479"/>
    <n v="3297"/>
    <n v="2056"/>
    <n v="13609"/>
    <n v="0"/>
    <n v="0"/>
    <n v="20698"/>
    <n v="0"/>
    <n v="0"/>
    <m/>
    <m/>
    <n v="0"/>
    <n v="0"/>
    <m/>
    <m/>
    <m/>
    <m/>
    <m/>
    <m/>
    <m/>
    <m/>
    <m/>
    <m/>
    <m/>
    <m/>
  </r>
  <r>
    <x v="9"/>
    <s v="Edgecombe Community College"/>
    <m/>
    <n v="198491"/>
    <x v="7"/>
    <n v="75491"/>
    <n v="73933"/>
    <n v="52105"/>
    <n v="42766"/>
    <n v="1891"/>
    <n v="1681"/>
    <n v="21495"/>
    <n v="0"/>
    <n v="0"/>
    <n v="29486"/>
    <n v="0"/>
    <n v="0"/>
    <m/>
    <m/>
    <n v="0"/>
    <n v="0"/>
    <m/>
    <m/>
    <m/>
    <m/>
    <m/>
    <m/>
    <m/>
    <m/>
    <m/>
    <m/>
    <m/>
    <m/>
  </r>
  <r>
    <x v="9"/>
    <s v="Haywood Community College"/>
    <s v="Met criteria for Two-Year 3 in 2011-12."/>
    <n v="198668"/>
    <x v="7"/>
    <n v="49510"/>
    <n v="48368"/>
    <n v="29794"/>
    <n v="24779"/>
    <n v="2345"/>
    <n v="2496"/>
    <n v="17263"/>
    <n v="108"/>
    <n v="0"/>
    <n v="21042"/>
    <n v="51"/>
    <n v="0"/>
    <m/>
    <m/>
    <n v="0"/>
    <n v="0"/>
    <m/>
    <m/>
    <m/>
    <m/>
    <m/>
    <m/>
    <m/>
    <m/>
    <m/>
    <m/>
    <m/>
    <m/>
  </r>
  <r>
    <x v="9"/>
    <s v="Isothermal Community College "/>
    <m/>
    <n v="198710"/>
    <x v="7"/>
    <n v="66414"/>
    <n v="60564"/>
    <n v="50927"/>
    <n v="41423"/>
    <n v="3626"/>
    <n v="3570"/>
    <n v="11846"/>
    <n v="15"/>
    <n v="0"/>
    <n v="15571"/>
    <n v="0"/>
    <n v="0"/>
    <m/>
    <m/>
    <n v="0"/>
    <n v="0"/>
    <m/>
    <m/>
    <m/>
    <m/>
    <m/>
    <m/>
    <m/>
    <m/>
    <m/>
    <m/>
    <m/>
    <m/>
  </r>
  <r>
    <x v="9"/>
    <s v="Johnston Community College"/>
    <m/>
    <n v="198774"/>
    <x v="7"/>
    <n v="92041"/>
    <n v="92584"/>
    <n v="61527"/>
    <n v="60532"/>
    <n v="7635"/>
    <n v="2802"/>
    <n v="22423"/>
    <n v="186"/>
    <n v="270"/>
    <n v="28940"/>
    <n v="310"/>
    <n v="0"/>
    <m/>
    <m/>
    <n v="0"/>
    <n v="0"/>
    <m/>
    <m/>
    <m/>
    <m/>
    <m/>
    <m/>
    <m/>
    <m/>
    <m/>
    <m/>
    <m/>
    <m/>
  </r>
  <r>
    <x v="9"/>
    <s v="Lenoir Community College "/>
    <m/>
    <n v="198817"/>
    <x v="7"/>
    <n v="81761"/>
    <n v="77239"/>
    <n v="49592"/>
    <n v="40899"/>
    <n v="3223"/>
    <n v="2317"/>
    <n v="28946"/>
    <n v="0"/>
    <n v="0"/>
    <n v="33999"/>
    <n v="24"/>
    <n v="0"/>
    <m/>
    <m/>
    <n v="0"/>
    <n v="0"/>
    <m/>
    <m/>
    <m/>
    <m/>
    <m/>
    <m/>
    <m/>
    <m/>
    <m/>
    <m/>
    <m/>
    <m/>
  </r>
  <r>
    <x v="9"/>
    <s v="Mitchell Community College "/>
    <m/>
    <n v="198987"/>
    <x v="7"/>
    <n v="76056"/>
    <n v="78564"/>
    <n v="61231"/>
    <n v="50617"/>
    <n v="2971"/>
    <n v="1745"/>
    <n v="11854"/>
    <n v="0"/>
    <n v="0"/>
    <n v="26196"/>
    <n v="6"/>
    <n v="0"/>
    <m/>
    <m/>
    <n v="0"/>
    <n v="0"/>
    <m/>
    <m/>
    <m/>
    <m/>
    <m/>
    <m/>
    <m/>
    <m/>
    <m/>
    <m/>
    <m/>
    <m/>
  </r>
  <r>
    <x v="9"/>
    <s v="Nash Community College"/>
    <m/>
    <n v="199087"/>
    <x v="7"/>
    <n v="61946"/>
    <n v="64698"/>
    <n v="49717"/>
    <n v="47265"/>
    <n v="2690"/>
    <n v="2282"/>
    <n v="9302"/>
    <n v="237"/>
    <n v="0"/>
    <n v="14803"/>
    <n v="330"/>
    <n v="18"/>
    <m/>
    <m/>
    <n v="0"/>
    <n v="0"/>
    <m/>
    <m/>
    <m/>
    <m/>
    <m/>
    <m/>
    <m/>
    <m/>
    <m/>
    <m/>
    <m/>
    <m/>
  </r>
  <r>
    <x v="9"/>
    <s v="Randolph Community College"/>
    <m/>
    <n v="199421"/>
    <x v="7"/>
    <n v="63901"/>
    <n v="63481"/>
    <n v="45587"/>
    <n v="45122"/>
    <n v="3474"/>
    <n v="2078"/>
    <n v="12979"/>
    <n v="1475"/>
    <n v="386"/>
    <n v="15402"/>
    <n v="573"/>
    <n v="306"/>
    <m/>
    <m/>
    <n v="0"/>
    <n v="0"/>
    <m/>
    <m/>
    <m/>
    <m/>
    <m/>
    <m/>
    <m/>
    <m/>
    <m/>
    <m/>
    <m/>
    <m/>
  </r>
  <r>
    <x v="9"/>
    <s v="Robeson Community College"/>
    <m/>
    <n v="199476"/>
    <x v="7"/>
    <n v="62535"/>
    <n v="63554"/>
    <n v="49529"/>
    <n v="50254"/>
    <n v="2788"/>
    <n v="1384"/>
    <n v="10218"/>
    <n v="0"/>
    <n v="0"/>
    <n v="11907"/>
    <n v="9"/>
    <n v="0"/>
    <m/>
    <m/>
    <n v="0"/>
    <n v="0"/>
    <m/>
    <m/>
    <m/>
    <m/>
    <m/>
    <m/>
    <m/>
    <m/>
    <m/>
    <m/>
    <m/>
    <m/>
  </r>
  <r>
    <x v="9"/>
    <s v="Sandhills Community College "/>
    <m/>
    <n v="199634"/>
    <x v="7"/>
    <n v="89719"/>
    <n v="91407"/>
    <n v="69781"/>
    <n v="56430"/>
    <n v="1517"/>
    <n v="1453"/>
    <n v="18421"/>
    <n v="0"/>
    <n v="0"/>
    <n v="33470"/>
    <n v="0"/>
    <n v="54"/>
    <m/>
    <m/>
    <n v="0"/>
    <n v="0"/>
    <m/>
    <m/>
    <m/>
    <m/>
    <m/>
    <m/>
    <m/>
    <m/>
    <m/>
    <m/>
    <m/>
    <m/>
  </r>
  <r>
    <x v="9"/>
    <s v="Stanly Community College"/>
    <m/>
    <n v="199740"/>
    <x v="7"/>
    <n v="69443"/>
    <n v="69019"/>
    <n v="30382"/>
    <n v="24510"/>
    <n v="3903"/>
    <n v="2011"/>
    <n v="32392"/>
    <n v="2766"/>
    <n v="0"/>
    <n v="40861"/>
    <n v="1637"/>
    <n v="0"/>
    <m/>
    <m/>
    <n v="0"/>
    <n v="0"/>
    <m/>
    <m/>
    <m/>
    <m/>
    <m/>
    <m/>
    <m/>
    <m/>
    <m/>
    <m/>
    <m/>
    <m/>
  </r>
  <r>
    <x v="9"/>
    <s v="Surry Community College "/>
    <m/>
    <n v="199768"/>
    <x v="7"/>
    <n v="76882"/>
    <n v="74394"/>
    <n v="58143"/>
    <n v="51507"/>
    <n v="150"/>
    <n v="543"/>
    <n v="17523"/>
    <n v="1066"/>
    <n v="0"/>
    <n v="21022"/>
    <n v="1322"/>
    <n v="0"/>
    <m/>
    <m/>
    <n v="0"/>
    <n v="0"/>
    <m/>
    <m/>
    <m/>
    <m/>
    <m/>
    <m/>
    <m/>
    <m/>
    <m/>
    <m/>
    <m/>
    <m/>
  </r>
  <r>
    <x v="9"/>
    <s v="Vance-Granville Community College "/>
    <m/>
    <n v="199838"/>
    <x v="7"/>
    <n v="87227"/>
    <n v="83738"/>
    <n v="59223"/>
    <n v="52336"/>
    <n v="6129"/>
    <n v="2082"/>
    <n v="20533"/>
    <n v="1342"/>
    <n v="0"/>
    <n v="27490"/>
    <n v="1830"/>
    <n v="0"/>
    <m/>
    <m/>
    <n v="0"/>
    <n v="0"/>
    <m/>
    <m/>
    <m/>
    <m/>
    <m/>
    <m/>
    <m/>
    <m/>
    <m/>
    <m/>
    <m/>
    <m/>
  </r>
  <r>
    <x v="9"/>
    <s v="Wayne Community College"/>
    <m/>
    <n v="199892"/>
    <x v="7"/>
    <n v="83747"/>
    <n v="84341"/>
    <n v="58184"/>
    <n v="44373"/>
    <n v="3936"/>
    <n v="3198"/>
    <n v="21492"/>
    <n v="0"/>
    <n v="135"/>
    <n v="36605"/>
    <n v="0"/>
    <n v="165"/>
    <m/>
    <m/>
    <n v="0"/>
    <n v="0"/>
    <m/>
    <m/>
    <m/>
    <m/>
    <m/>
    <m/>
    <m/>
    <m/>
    <m/>
    <m/>
    <m/>
    <m/>
  </r>
  <r>
    <x v="9"/>
    <s v="Western Piedmont Community College "/>
    <m/>
    <n v="199908"/>
    <x v="7"/>
    <n v="81492"/>
    <n v="76240"/>
    <n v="59509"/>
    <n v="45622"/>
    <n v="2812"/>
    <n v="424"/>
    <n v="19171"/>
    <n v="0"/>
    <n v="0"/>
    <n v="30194"/>
    <n v="0"/>
    <n v="0"/>
    <m/>
    <m/>
    <n v="0"/>
    <n v="0"/>
    <m/>
    <m/>
    <m/>
    <m/>
    <m/>
    <m/>
    <m/>
    <m/>
    <m/>
    <m/>
    <m/>
    <m/>
  </r>
  <r>
    <x v="9"/>
    <s v="Wilkes Community College "/>
    <m/>
    <n v="199926"/>
    <x v="7"/>
    <n v="65818"/>
    <n v="62280"/>
    <n v="52622"/>
    <n v="44679"/>
    <n v="644"/>
    <n v="731"/>
    <n v="8618"/>
    <n v="3934"/>
    <n v="0"/>
    <n v="14409"/>
    <n v="2461"/>
    <n v="0"/>
    <m/>
    <m/>
    <n v="0"/>
    <n v="0"/>
    <m/>
    <m/>
    <m/>
    <m/>
    <m/>
    <m/>
    <m/>
    <m/>
    <m/>
    <m/>
    <m/>
    <m/>
  </r>
  <r>
    <x v="9"/>
    <s v="Beaufort County Community College "/>
    <m/>
    <n v="197966"/>
    <x v="8"/>
    <n v="40002"/>
    <n v="40315"/>
    <n v="30884"/>
    <n v="23585"/>
    <n v="1987"/>
    <n v="1153"/>
    <n v="6788"/>
    <n v="0"/>
    <n v="343"/>
    <n v="15081"/>
    <n v="0"/>
    <n v="496"/>
    <m/>
    <m/>
    <n v="0"/>
    <n v="0"/>
    <m/>
    <m/>
    <m/>
    <m/>
    <m/>
    <m/>
    <m/>
    <m/>
    <m/>
    <m/>
    <m/>
    <m/>
  </r>
  <r>
    <x v="9"/>
    <s v="Bladen Community College"/>
    <m/>
    <n v="198011"/>
    <x v="8"/>
    <n v="42382"/>
    <n v="38059"/>
    <n v="24167"/>
    <n v="20151"/>
    <n v="511"/>
    <n v="149"/>
    <n v="12674"/>
    <n v="2495"/>
    <n v="2535"/>
    <n v="13465"/>
    <n v="2174"/>
    <n v="2120"/>
    <m/>
    <m/>
    <n v="0"/>
    <n v="0"/>
    <m/>
    <m/>
    <m/>
    <m/>
    <m/>
    <m/>
    <m/>
    <m/>
    <m/>
    <m/>
    <m/>
    <m/>
  </r>
  <r>
    <x v="9"/>
    <s v="Blue Ridge Community College"/>
    <m/>
    <n v="198039"/>
    <x v="8"/>
    <n v="50471"/>
    <n v="49694"/>
    <n v="39555"/>
    <n v="32692"/>
    <n v="1239"/>
    <n v="1120"/>
    <n v="7826"/>
    <n v="173"/>
    <n v="1678"/>
    <n v="15655"/>
    <n v="173"/>
    <n v="54"/>
    <m/>
    <m/>
    <n v="0"/>
    <n v="0"/>
    <m/>
    <m/>
    <m/>
    <m/>
    <m/>
    <m/>
    <m/>
    <m/>
    <m/>
    <m/>
    <m/>
    <m/>
  </r>
  <r>
    <x v="9"/>
    <s v="Brunswick Community College"/>
    <m/>
    <n v="198084"/>
    <x v="8"/>
    <n v="30834"/>
    <n v="33061"/>
    <n v="24442"/>
    <n v="21365"/>
    <n v="108"/>
    <n v="159"/>
    <n v="6131"/>
    <n v="153"/>
    <n v="0"/>
    <n v="11389"/>
    <n v="148"/>
    <n v="0"/>
    <m/>
    <m/>
    <n v="0"/>
    <n v="0"/>
    <m/>
    <m/>
    <m/>
    <m/>
    <m/>
    <m/>
    <m/>
    <m/>
    <m/>
    <m/>
    <m/>
    <m/>
  </r>
  <r>
    <x v="9"/>
    <s v="Carteret Community College"/>
    <m/>
    <n v="198206"/>
    <x v="8"/>
    <n v="39825"/>
    <n v="39517"/>
    <n v="28394"/>
    <n v="22831"/>
    <n v="1273"/>
    <n v="1432"/>
    <n v="10158"/>
    <n v="0"/>
    <n v="0"/>
    <n v="15254"/>
    <n v="0"/>
    <n v="0"/>
    <m/>
    <m/>
    <n v="0"/>
    <n v="0"/>
    <m/>
    <m/>
    <m/>
    <m/>
    <m/>
    <m/>
    <m/>
    <m/>
    <m/>
    <m/>
    <m/>
    <m/>
  </r>
  <r>
    <x v="9"/>
    <s v="College of the Albemarle"/>
    <m/>
    <n v="197814"/>
    <x v="8"/>
    <n v="53862"/>
    <n v="56421"/>
    <n v="32302"/>
    <n v="31812"/>
    <n v="3647"/>
    <n v="1254"/>
    <n v="17862"/>
    <n v="51"/>
    <n v="0"/>
    <n v="23295"/>
    <n v="60"/>
    <n v="0"/>
    <m/>
    <m/>
    <n v="0"/>
    <n v="0"/>
    <m/>
    <m/>
    <m/>
    <m/>
    <m/>
    <m/>
    <m/>
    <m/>
    <m/>
    <m/>
    <m/>
    <m/>
  </r>
  <r>
    <x v="9"/>
    <s v="Halifax Community College "/>
    <m/>
    <n v="198640"/>
    <x v="8"/>
    <n v="40188"/>
    <n v="37285"/>
    <n v="28115"/>
    <n v="22449"/>
    <n v="3750"/>
    <n v="1957"/>
    <n v="7897"/>
    <n v="426"/>
    <n v="0"/>
    <n v="12696"/>
    <n v="183"/>
    <n v="0"/>
    <m/>
    <m/>
    <n v="0"/>
    <n v="0"/>
    <m/>
    <m/>
    <m/>
    <m/>
    <m/>
    <m/>
    <m/>
    <m/>
    <m/>
    <m/>
    <m/>
    <m/>
  </r>
  <r>
    <x v="9"/>
    <s v="James Sprunt Community College"/>
    <m/>
    <n v="198729"/>
    <x v="8"/>
    <n v="32854"/>
    <n v="32371"/>
    <n v="23526"/>
    <n v="21547"/>
    <n v="2277"/>
    <n v="1337"/>
    <n v="6502"/>
    <n v="549"/>
    <n v="0"/>
    <n v="8671"/>
    <n v="816"/>
    <n v="0"/>
    <m/>
    <m/>
    <n v="0"/>
    <n v="0"/>
    <m/>
    <m/>
    <m/>
    <m/>
    <m/>
    <m/>
    <m/>
    <m/>
    <m/>
    <m/>
    <m/>
    <m/>
  </r>
  <r>
    <x v="9"/>
    <s v="Martin Community College "/>
    <m/>
    <n v="198905"/>
    <x v="8"/>
    <n v="16268"/>
    <n v="17085"/>
    <n v="12016"/>
    <n v="7935"/>
    <n v="725"/>
    <n v="550"/>
    <n v="3395"/>
    <n v="132"/>
    <n v="0"/>
    <n v="8435"/>
    <n v="165"/>
    <n v="0"/>
    <m/>
    <m/>
    <n v="0"/>
    <n v="0"/>
    <m/>
    <m/>
    <m/>
    <m/>
    <m/>
    <m/>
    <m/>
    <m/>
    <m/>
    <m/>
    <m/>
    <m/>
  </r>
  <r>
    <x v="9"/>
    <s v="Mayland Community College"/>
    <m/>
    <n v="198914"/>
    <x v="8"/>
    <n v="28835"/>
    <n v="21968"/>
    <n v="17890"/>
    <n v="14707"/>
    <n v="7548"/>
    <n v="3645"/>
    <n v="3234"/>
    <n v="163"/>
    <n v="0"/>
    <n v="3616"/>
    <n v="0"/>
    <n v="0"/>
    <m/>
    <m/>
    <n v="0"/>
    <n v="0"/>
    <m/>
    <m/>
    <m/>
    <m/>
    <m/>
    <m/>
    <m/>
    <m/>
    <m/>
    <m/>
    <m/>
    <m/>
  </r>
  <r>
    <x v="9"/>
    <s v="McDowell Technical Community College"/>
    <m/>
    <n v="198923"/>
    <x v="8"/>
    <n v="36927"/>
    <n v="30880"/>
    <n v="31461"/>
    <n v="23708"/>
    <n v="1841"/>
    <n v="979"/>
    <n v="3262"/>
    <n v="105"/>
    <n v="258"/>
    <n v="6019"/>
    <n v="117"/>
    <n v="57"/>
    <m/>
    <m/>
    <n v="0"/>
    <n v="0"/>
    <m/>
    <m/>
    <m/>
    <m/>
    <m/>
    <m/>
    <m/>
    <m/>
    <m/>
    <m/>
    <m/>
    <m/>
  </r>
  <r>
    <x v="9"/>
    <s v="Montgomery Community College"/>
    <m/>
    <n v="199023"/>
    <x v="8"/>
    <n v="19795"/>
    <n v="18505"/>
    <n v="12895"/>
    <n v="10507"/>
    <n v="1514"/>
    <n v="779"/>
    <n v="5053"/>
    <n v="333"/>
    <n v="0"/>
    <n v="7138"/>
    <n v="81"/>
    <n v="0"/>
    <m/>
    <m/>
    <n v="0"/>
    <n v="0"/>
    <m/>
    <m/>
    <m/>
    <m/>
    <m/>
    <m/>
    <m/>
    <m/>
    <m/>
    <m/>
    <m/>
    <m/>
  </r>
  <r>
    <x v="9"/>
    <s v="Pamlico Community College"/>
    <m/>
    <n v="199263"/>
    <x v="8"/>
    <n v="12703"/>
    <n v="11223"/>
    <n v="4921"/>
    <n v="3768"/>
    <n v="2957"/>
    <n v="1639"/>
    <n v="4780"/>
    <n v="33"/>
    <n v="12"/>
    <n v="5771"/>
    <n v="45"/>
    <n v="0"/>
    <m/>
    <m/>
    <n v="0"/>
    <n v="0"/>
    <m/>
    <m/>
    <m/>
    <m/>
    <m/>
    <m/>
    <m/>
    <m/>
    <m/>
    <m/>
    <m/>
    <m/>
  </r>
  <r>
    <x v="9"/>
    <s v="Piedmont Community College"/>
    <m/>
    <n v="199324"/>
    <x v="8"/>
    <n v="55522"/>
    <n v="45986"/>
    <n v="35368"/>
    <n v="26779"/>
    <n v="4487"/>
    <n v="1536"/>
    <n v="12729"/>
    <n v="2908"/>
    <n v="30"/>
    <n v="14677"/>
    <n v="2994"/>
    <n v="0"/>
    <m/>
    <m/>
    <n v="0"/>
    <n v="0"/>
    <m/>
    <m/>
    <m/>
    <m/>
    <m/>
    <m/>
    <m/>
    <m/>
    <m/>
    <m/>
    <m/>
    <m/>
  </r>
  <r>
    <x v="9"/>
    <s v="Richmond Community College"/>
    <m/>
    <n v="199449"/>
    <x v="8"/>
    <n v="40043"/>
    <n v="51284"/>
    <n v="34416"/>
    <n v="37511"/>
    <n v="527"/>
    <n v="1340"/>
    <n v="5049"/>
    <n v="51"/>
    <n v="0"/>
    <n v="12433"/>
    <n v="0"/>
    <n v="0"/>
    <m/>
    <m/>
    <n v="0"/>
    <n v="0"/>
    <m/>
    <m/>
    <m/>
    <m/>
    <m/>
    <m/>
    <m/>
    <m/>
    <m/>
    <m/>
    <m/>
    <m/>
  </r>
  <r>
    <x v="9"/>
    <s v="Roanoke-Chowan Community College"/>
    <m/>
    <n v="199467"/>
    <x v="8"/>
    <n v="17878"/>
    <n v="18730"/>
    <n v="12966"/>
    <n v="12581"/>
    <n v="1544"/>
    <n v="715"/>
    <n v="3290"/>
    <n v="78"/>
    <n v="0"/>
    <n v="5344"/>
    <n v="90"/>
    <n v="0"/>
    <m/>
    <m/>
    <n v="0"/>
    <n v="0"/>
    <m/>
    <m/>
    <m/>
    <m/>
    <m/>
    <m/>
    <m/>
    <m/>
    <m/>
    <m/>
    <m/>
    <m/>
  </r>
  <r>
    <x v="9"/>
    <s v="Rockingham Community College "/>
    <m/>
    <n v="199485"/>
    <x v="8"/>
    <n v="53407"/>
    <n v="51175"/>
    <n v="48837"/>
    <n v="40964"/>
    <n v="0"/>
    <n v="0"/>
    <n v="4441"/>
    <n v="60"/>
    <n v="69"/>
    <n v="10052"/>
    <n v="111"/>
    <n v="48"/>
    <m/>
    <m/>
    <n v="0"/>
    <n v="0"/>
    <m/>
    <m/>
    <m/>
    <m/>
    <m/>
    <m/>
    <m/>
    <m/>
    <m/>
    <m/>
    <m/>
    <m/>
  </r>
  <r>
    <x v="9"/>
    <s v="Sampson Community College"/>
    <m/>
    <n v="199625"/>
    <x v="8"/>
    <n v="33561"/>
    <n v="32146"/>
    <n v="29268"/>
    <n v="25333"/>
    <n v="599"/>
    <n v="433"/>
    <n v="3043"/>
    <n v="651"/>
    <n v="0"/>
    <n v="5673"/>
    <n v="707"/>
    <n v="0"/>
    <m/>
    <m/>
    <n v="0"/>
    <n v="0"/>
    <m/>
    <m/>
    <m/>
    <m/>
    <m/>
    <m/>
    <m/>
    <m/>
    <m/>
    <m/>
    <m/>
    <m/>
  </r>
  <r>
    <x v="9"/>
    <s v="South Piedmont Community College"/>
    <m/>
    <n v="197850"/>
    <x v="8"/>
    <n v="53273"/>
    <n v="48972"/>
    <n v="31275"/>
    <n v="25398"/>
    <n v="2967"/>
    <n v="1999"/>
    <n v="18532"/>
    <n v="499"/>
    <n v="0"/>
    <n v="21224"/>
    <n v="351"/>
    <n v="0"/>
    <m/>
    <m/>
    <n v="0"/>
    <n v="0"/>
    <m/>
    <m/>
    <m/>
    <m/>
    <m/>
    <m/>
    <m/>
    <m/>
    <m/>
    <m/>
    <m/>
    <m/>
  </r>
  <r>
    <x v="9"/>
    <s v="Southeastern Community College "/>
    <m/>
    <n v="199722"/>
    <x v="8"/>
    <n v="49508"/>
    <n v="46421"/>
    <n v="31608"/>
    <n v="29510"/>
    <n v="720"/>
    <n v="763"/>
    <n v="16788"/>
    <n v="392"/>
    <n v="0"/>
    <n v="15806"/>
    <n v="342"/>
    <n v="0"/>
    <m/>
    <m/>
    <n v="0"/>
    <n v="0"/>
    <m/>
    <m/>
    <m/>
    <m/>
    <m/>
    <m/>
    <m/>
    <m/>
    <m/>
    <m/>
    <m/>
    <m/>
  </r>
  <r>
    <x v="9"/>
    <s v="Southwestern Community College "/>
    <m/>
    <n v="199731"/>
    <x v="8"/>
    <n v="55269"/>
    <n v="54032"/>
    <n v="35483"/>
    <n v="27254"/>
    <n v="3177"/>
    <n v="2940"/>
    <n v="14435"/>
    <n v="2174"/>
    <n v="0"/>
    <n v="21948"/>
    <n v="1890"/>
    <n v="0"/>
    <m/>
    <m/>
    <n v="0"/>
    <n v="0"/>
    <m/>
    <m/>
    <m/>
    <m/>
    <m/>
    <m/>
    <m/>
    <m/>
    <m/>
    <m/>
    <m/>
    <m/>
  </r>
  <r>
    <x v="9"/>
    <s v="Tri-County Community College "/>
    <m/>
    <n v="199795"/>
    <x v="8"/>
    <n v="29859"/>
    <n v="29974"/>
    <n v="18499"/>
    <n v="13360"/>
    <n v="1081"/>
    <n v="755"/>
    <n v="9760"/>
    <n v="519"/>
    <n v="0"/>
    <n v="15287"/>
    <n v="572"/>
    <n v="0"/>
    <m/>
    <m/>
    <n v="0"/>
    <n v="0"/>
    <m/>
    <m/>
    <m/>
    <m/>
    <m/>
    <m/>
    <m/>
    <m/>
    <m/>
    <m/>
    <m/>
    <m/>
  </r>
  <r>
    <x v="9"/>
    <s v="Wilson Community College"/>
    <m/>
    <n v="199953"/>
    <x v="8"/>
    <n v="51984"/>
    <n v="47421"/>
    <n v="33436"/>
    <n v="22913"/>
    <n v="1400"/>
    <n v="705"/>
    <n v="14148"/>
    <n v="0"/>
    <n v="3000"/>
    <n v="20949"/>
    <n v="0"/>
    <n v="2854"/>
    <m/>
    <m/>
    <n v="0"/>
    <n v="0"/>
    <m/>
    <m/>
    <m/>
    <m/>
    <m/>
    <m/>
    <m/>
    <m/>
    <m/>
    <m/>
    <m/>
    <m/>
  </r>
  <r>
    <x v="10"/>
    <s v="University of Oklahoma Norman Campus"/>
    <m/>
    <n v="207500"/>
    <x v="0"/>
    <n v="527383"/>
    <n v="542963"/>
    <n v="473507"/>
    <n v="474471"/>
    <n v="2987"/>
    <n v="6059"/>
    <n v="50077"/>
    <n v="156"/>
    <n v="656"/>
    <n v="60898"/>
    <n v="316"/>
    <n v="656"/>
    <m/>
    <n v="563"/>
    <n v="92405"/>
    <n v="94236"/>
    <n v="68036"/>
    <n v="57912"/>
    <n v="12572"/>
    <n v="19766"/>
    <n v="10279"/>
    <n v="225"/>
    <n v="1276"/>
    <n v="13679"/>
    <n v="570"/>
    <n v="2309"/>
    <n v="17"/>
    <m/>
  </r>
  <r>
    <x v="10"/>
    <s v="Northeastern State University"/>
    <m/>
    <n v="207263"/>
    <x v="2"/>
    <n v="209439"/>
    <n v="207096"/>
    <n v="179652"/>
    <n v="172794"/>
    <m/>
    <m/>
    <n v="28881"/>
    <n v="906"/>
    <m/>
    <n v="33255"/>
    <n v="1047"/>
    <m/>
    <m/>
    <m/>
    <n v="20480"/>
    <n v="20260"/>
    <n v="18998"/>
    <n v="18033"/>
    <m/>
    <m/>
    <n v="914"/>
    <n v="568"/>
    <m/>
    <n v="1831"/>
    <n v="396"/>
    <m/>
    <m/>
    <m/>
  </r>
  <r>
    <x v="10"/>
    <s v="University of Central Oklahoma"/>
    <m/>
    <n v="206941"/>
    <x v="2"/>
    <n v="361155"/>
    <n v="373521"/>
    <n v="342653"/>
    <n v="336270"/>
    <n v="1931"/>
    <n v="4355"/>
    <n v="14554"/>
    <n v="219"/>
    <n v="1798"/>
    <n v="29082"/>
    <n v="150"/>
    <n v="3664"/>
    <m/>
    <m/>
    <n v="27571"/>
    <n v="28239"/>
    <n v="23434"/>
    <n v="24735"/>
    <n v="1942"/>
    <n v="71"/>
    <n v="1002"/>
    <n v="104"/>
    <n v="1089"/>
    <n v="1391"/>
    <n v="90"/>
    <n v="1952"/>
    <m/>
    <m/>
  </r>
  <r>
    <x v="10"/>
    <s v="Cameron University "/>
    <m/>
    <n v="206914"/>
    <x v="4"/>
    <n v="138667"/>
    <n v="139044"/>
    <n v="110587"/>
    <n v="107420"/>
    <n v="1603"/>
    <n v="2911"/>
    <n v="17009"/>
    <n v="9468"/>
    <m/>
    <n v="19017"/>
    <n v="9696"/>
    <m/>
    <m/>
    <m/>
    <n v="6920"/>
    <n v="7449"/>
    <n v="3224"/>
    <n v="3567"/>
    <m/>
    <m/>
    <n v="2406"/>
    <n v="1290"/>
    <m/>
    <n v="2508"/>
    <n v="1374"/>
    <m/>
    <m/>
    <m/>
  </r>
  <r>
    <x v="10"/>
    <s v="East Central University "/>
    <m/>
    <n v="207041"/>
    <x v="4"/>
    <n v="106266"/>
    <n v="106761"/>
    <n v="89628"/>
    <n v="89844"/>
    <n v="71"/>
    <n v="426"/>
    <n v="7854"/>
    <n v="3563"/>
    <n v="5150"/>
    <n v="8521"/>
    <n v="3560"/>
    <n v="4410"/>
    <m/>
    <m/>
    <n v="15849"/>
    <n v="15756"/>
    <n v="5596"/>
    <n v="5779"/>
    <n v="504"/>
    <n v="462"/>
    <n v="7742"/>
    <n v="1410"/>
    <n v="597"/>
    <n v="7160"/>
    <n v="1641"/>
    <n v="714"/>
    <m/>
    <m/>
  </r>
  <r>
    <x v="10"/>
    <s v="Langston University"/>
    <m/>
    <n v="207209"/>
    <x v="4"/>
    <n v="62125"/>
    <n v="62132"/>
    <n v="61293"/>
    <n v="61185"/>
    <m/>
    <n v="162"/>
    <n v="322"/>
    <n v="510"/>
    <m/>
    <n v="520"/>
    <n v="265"/>
    <m/>
    <m/>
    <m/>
    <n v="8632"/>
    <n v="9995"/>
    <n v="7696"/>
    <n v="9032"/>
    <m/>
    <m/>
    <n v="786"/>
    <n v="150"/>
    <m/>
    <n v="882"/>
    <n v="81"/>
    <m/>
    <m/>
    <m/>
  </r>
  <r>
    <x v="10"/>
    <s v="Northwestern Oklahoma State University "/>
    <m/>
    <n v="207306"/>
    <x v="4"/>
    <n v="53520"/>
    <n v="52469"/>
    <n v="38882"/>
    <n v="39001"/>
    <n v="162"/>
    <n v="138"/>
    <n v="4947"/>
    <n v="9124"/>
    <n v="405"/>
    <n v="5053"/>
    <n v="8277"/>
    <m/>
    <m/>
    <m/>
    <n v="2648"/>
    <n v="2309"/>
    <n v="1443"/>
    <n v="1303"/>
    <n v="5"/>
    <n v="2"/>
    <n v="204"/>
    <n v="996"/>
    <m/>
    <n v="206"/>
    <n v="798"/>
    <m/>
    <m/>
    <m/>
  </r>
  <r>
    <x v="10"/>
    <s v="Southeastern Oklahoma State University "/>
    <s v="Met the criteria for Four-Year 4 in 2010-11 and 2011-12."/>
    <n v="207847"/>
    <x v="4"/>
    <n v="99728"/>
    <n v="97592"/>
    <n v="71663"/>
    <n v="67649"/>
    <n v="792"/>
    <m/>
    <n v="22514"/>
    <n v="1831"/>
    <n v="2928"/>
    <n v="24179"/>
    <n v="5764"/>
    <m/>
    <m/>
    <m/>
    <n v="5841"/>
    <n v="6177"/>
    <n v="3549"/>
    <n v="4550"/>
    <n v="219"/>
    <m/>
    <n v="1452"/>
    <n v="285"/>
    <n v="336"/>
    <n v="1390"/>
    <n v="237"/>
    <m/>
    <m/>
    <m/>
  </r>
  <r>
    <x v="10"/>
    <s v="Southwestern Oklahoma State University"/>
    <m/>
    <n v="207865"/>
    <x v="4"/>
    <n v="124302"/>
    <n v="124777"/>
    <n v="112608"/>
    <n v="110061"/>
    <n v="1283"/>
    <n v="1566"/>
    <n v="7054"/>
    <n v="1788"/>
    <n v="1569"/>
    <n v="10192"/>
    <n v="1707"/>
    <n v="1251"/>
    <m/>
    <m/>
    <n v="13777"/>
    <n v="14178"/>
    <n v="8852"/>
    <n v="8985"/>
    <m/>
    <n v="10"/>
    <n v="1415"/>
    <n v="3510"/>
    <m/>
    <n v="1292"/>
    <n v="3891"/>
    <m/>
    <m/>
    <m/>
  </r>
  <r>
    <x v="10"/>
    <s v="Oklahoma Panhandle State University "/>
    <m/>
    <n v="207351"/>
    <x v="5"/>
    <n v="37412"/>
    <n v="39218"/>
    <n v="31053"/>
    <n v="34003"/>
    <m/>
    <m/>
    <n v="6131"/>
    <n v="228"/>
    <m/>
    <n v="5050"/>
    <n v="165"/>
    <m/>
    <m/>
    <m/>
    <n v="0"/>
    <n v="0"/>
    <m/>
    <m/>
    <m/>
    <m/>
    <m/>
    <m/>
    <m/>
    <m/>
    <m/>
    <m/>
    <m/>
    <m/>
  </r>
  <r>
    <x v="10"/>
    <s v="Rogers State University"/>
    <m/>
    <n v="207661"/>
    <x v="5"/>
    <n v="100335"/>
    <n v="104846"/>
    <n v="68677"/>
    <n v="72813"/>
    <n v="2541"/>
    <n v="2951"/>
    <n v="26138"/>
    <n v="2979"/>
    <m/>
    <n v="26519"/>
    <n v="2563"/>
    <m/>
    <m/>
    <m/>
    <n v="0"/>
    <n v="0"/>
    <m/>
    <m/>
    <m/>
    <m/>
    <m/>
    <m/>
    <m/>
    <m/>
    <m/>
    <m/>
    <m/>
    <m/>
  </r>
  <r>
    <x v="10"/>
    <s v="University of Science and Arts of Oklahoma"/>
    <m/>
    <n v="207722"/>
    <x v="5"/>
    <n v="31198"/>
    <n v="30810"/>
    <n v="31086"/>
    <n v="30690"/>
    <n v="112"/>
    <n v="120"/>
    <m/>
    <m/>
    <m/>
    <m/>
    <m/>
    <m/>
    <m/>
    <m/>
    <n v="0"/>
    <n v="0"/>
    <m/>
    <m/>
    <m/>
    <m/>
    <m/>
    <m/>
    <m/>
    <m/>
    <m/>
    <m/>
    <m/>
    <m/>
  </r>
  <r>
    <x v="10"/>
    <s v="Oklahoma State University Technical Branch-Okmulgee "/>
    <m/>
    <n v="207564"/>
    <x v="11"/>
    <n v="96782"/>
    <n v="95815"/>
    <n v="78449"/>
    <n v="75353"/>
    <n v="12372"/>
    <n v="10254"/>
    <n v="5961"/>
    <m/>
    <m/>
    <n v="10208"/>
    <m/>
    <m/>
    <m/>
    <m/>
    <n v="0"/>
    <n v="0"/>
    <m/>
    <m/>
    <m/>
    <m/>
    <m/>
    <m/>
    <m/>
    <m/>
    <m/>
    <m/>
    <m/>
    <m/>
  </r>
  <r>
    <x v="10"/>
    <s v="Oklahoma State University-Oklahoma City "/>
    <s v="Reclassified: Met criteria for Two-Year with Bachelor's in 2009-10, 2010-11, and 2011-12."/>
    <n v="207397"/>
    <x v="11"/>
    <n v="159604"/>
    <n v="169257"/>
    <n v="108255"/>
    <n v="111532"/>
    <n v="1945"/>
    <n v="5012"/>
    <n v="43192"/>
    <n v="3256"/>
    <n v="2956"/>
    <n v="47470"/>
    <n v="5170"/>
    <m/>
    <m/>
    <n v="73"/>
    <n v="0"/>
    <n v="0"/>
    <m/>
    <m/>
    <m/>
    <m/>
    <m/>
    <m/>
    <m/>
    <m/>
    <m/>
    <m/>
    <m/>
    <m/>
  </r>
  <r>
    <x v="10"/>
    <s v="Oklahoma City Community College "/>
    <m/>
    <n v="207449"/>
    <x v="6"/>
    <n v="291030"/>
    <n v="323628"/>
    <n v="213599"/>
    <n v="189505"/>
    <n v="19210"/>
    <n v="20424"/>
    <n v="42507"/>
    <m/>
    <n v="96"/>
    <n v="52316"/>
    <m/>
    <n v="60962"/>
    <n v="15618"/>
    <n v="421"/>
    <n v="0"/>
    <n v="0"/>
    <m/>
    <m/>
    <m/>
    <m/>
    <m/>
    <m/>
    <m/>
    <m/>
    <m/>
    <m/>
    <m/>
    <m/>
  </r>
  <r>
    <x v="10"/>
    <s v="Rose State College "/>
    <s v="Reclassified: Met the criteria for Two-Year 1 institution in 2009-10, 2010-11, and 2011-12."/>
    <n v="207670"/>
    <x v="6"/>
    <n v="167587"/>
    <n v="162006"/>
    <n v="124708"/>
    <n v="121773"/>
    <n v="9862"/>
    <n v="5722"/>
    <n v="29544"/>
    <n v="404"/>
    <n v="3069"/>
    <n v="31677"/>
    <n v="169"/>
    <n v="2665"/>
    <m/>
    <m/>
    <n v="0"/>
    <n v="0"/>
    <m/>
    <m/>
    <m/>
    <m/>
    <m/>
    <m/>
    <m/>
    <m/>
    <m/>
    <m/>
    <m/>
    <m/>
  </r>
  <r>
    <x v="10"/>
    <s v="Tulsa Community College "/>
    <m/>
    <n v="207935"/>
    <x v="6"/>
    <n v="355979"/>
    <n v="397010"/>
    <n v="275136"/>
    <n v="290409"/>
    <n v="11756"/>
    <n v="18548"/>
    <n v="69087"/>
    <m/>
    <m/>
    <n v="88053"/>
    <m/>
    <m/>
    <m/>
    <m/>
    <n v="0"/>
    <n v="0"/>
    <m/>
    <m/>
    <m/>
    <m/>
    <m/>
    <m/>
    <m/>
    <m/>
    <m/>
    <m/>
    <m/>
    <m/>
  </r>
  <r>
    <x v="10"/>
    <s v="Northern Oklahoma College "/>
    <m/>
    <n v="207281"/>
    <x v="7"/>
    <n v="112504"/>
    <n v="120330"/>
    <n v="78870"/>
    <n v="82422"/>
    <n v="9044"/>
    <n v="9788"/>
    <n v="8935"/>
    <n v="15208"/>
    <n v="363"/>
    <n v="12089"/>
    <n v="15674"/>
    <n v="357"/>
    <n v="84"/>
    <m/>
    <n v="0"/>
    <n v="0"/>
    <m/>
    <m/>
    <m/>
    <m/>
    <m/>
    <m/>
    <m/>
    <m/>
    <m/>
    <m/>
    <m/>
    <m/>
  </r>
  <r>
    <x v="10"/>
    <s v="Carl Albert State College"/>
    <s v="Met the criteria for Two-Year 2 institution in 2010-11 and 2011-12."/>
    <n v="206923"/>
    <x v="8"/>
    <n v="65407"/>
    <n v="63341"/>
    <n v="25901"/>
    <n v="23647"/>
    <n v="31"/>
    <m/>
    <n v="14695"/>
    <n v="423"/>
    <n v="24357"/>
    <n v="14516"/>
    <n v="177"/>
    <n v="25001"/>
    <m/>
    <m/>
    <n v="0"/>
    <n v="0"/>
    <m/>
    <m/>
    <m/>
    <m/>
    <m/>
    <m/>
    <m/>
    <m/>
    <m/>
    <m/>
    <m/>
    <m/>
  </r>
  <r>
    <x v="10"/>
    <s v="Connors State College "/>
    <m/>
    <n v="206996"/>
    <x v="8"/>
    <n v="57524"/>
    <n v="58495"/>
    <n v="38883"/>
    <n v="37804"/>
    <n v="8563"/>
    <n v="9473"/>
    <n v="4308"/>
    <n v="5770"/>
    <m/>
    <n v="4895"/>
    <n v="6323"/>
    <m/>
    <m/>
    <m/>
    <n v="0"/>
    <n v="0"/>
    <m/>
    <m/>
    <m/>
    <m/>
    <m/>
    <m/>
    <m/>
    <m/>
    <m/>
    <m/>
    <m/>
    <m/>
  </r>
  <r>
    <x v="10"/>
    <s v="Eastern Oklahoma State College "/>
    <m/>
    <n v="207050"/>
    <x v="8"/>
    <n v="46267"/>
    <n v="45357"/>
    <n v="33941"/>
    <n v="33741"/>
    <n v="3516"/>
    <n v="2461"/>
    <n v="5352"/>
    <n v="3458"/>
    <m/>
    <n v="6102"/>
    <n v="3053"/>
    <m/>
    <m/>
    <m/>
    <n v="0"/>
    <n v="0"/>
    <m/>
    <m/>
    <m/>
    <m/>
    <m/>
    <m/>
    <m/>
    <m/>
    <m/>
    <m/>
    <m/>
    <m/>
  </r>
  <r>
    <x v="10"/>
    <s v="Murray State College "/>
    <m/>
    <n v="207236"/>
    <x v="8"/>
    <n v="60760"/>
    <n v="59204"/>
    <n v="40625"/>
    <n v="37440"/>
    <n v="2380"/>
    <n v="2772"/>
    <n v="10403"/>
    <n v="7352"/>
    <m/>
    <n v="11207"/>
    <n v="7749"/>
    <n v="36"/>
    <m/>
    <m/>
    <n v="0"/>
    <n v="0"/>
    <m/>
    <m/>
    <m/>
    <m/>
    <m/>
    <m/>
    <m/>
    <m/>
    <m/>
    <m/>
    <m/>
    <m/>
  </r>
  <r>
    <x v="10"/>
    <s v="Northeastern Oklahoma A &amp; M College "/>
    <s v="Met the criteria for Two-Year 2 institution in 2010-11 and 2011-12."/>
    <n v="207290"/>
    <x v="8"/>
    <n v="58870"/>
    <n v="63634"/>
    <n v="47185"/>
    <n v="49728"/>
    <n v="1383"/>
    <n v="1586"/>
    <n v="8689"/>
    <n v="1613"/>
    <m/>
    <n v="10937"/>
    <n v="1383"/>
    <m/>
    <m/>
    <m/>
    <n v="0"/>
    <n v="0"/>
    <m/>
    <m/>
    <m/>
    <m/>
    <m/>
    <m/>
    <m/>
    <m/>
    <m/>
    <m/>
    <m/>
    <m/>
  </r>
  <r>
    <x v="10"/>
    <s v="Redlands Community College"/>
    <m/>
    <n v="207069"/>
    <x v="8"/>
    <n v="49593"/>
    <n v="49031"/>
    <n v="27215"/>
    <n v="25983"/>
    <n v="7084"/>
    <n v="6878"/>
    <n v="13440"/>
    <n v="1854"/>
    <m/>
    <n v="14415"/>
    <n v="1755"/>
    <m/>
    <m/>
    <m/>
    <n v="0"/>
    <n v="0"/>
    <m/>
    <m/>
    <m/>
    <m/>
    <m/>
    <m/>
    <m/>
    <m/>
    <m/>
    <m/>
    <m/>
    <m/>
  </r>
  <r>
    <x v="10"/>
    <s v="Seminole State College "/>
    <m/>
    <n v="207740"/>
    <x v="8"/>
    <n v="48732"/>
    <n v="45684"/>
    <n v="34361"/>
    <n v="29558"/>
    <n v="7030"/>
    <n v="7727"/>
    <n v="7221"/>
    <n v="120"/>
    <m/>
    <n v="8288"/>
    <n v="111"/>
    <m/>
    <m/>
    <m/>
    <n v="0"/>
    <n v="0"/>
    <m/>
    <m/>
    <m/>
    <m/>
    <m/>
    <m/>
    <m/>
    <m/>
    <m/>
    <m/>
    <m/>
    <m/>
  </r>
  <r>
    <x v="10"/>
    <s v="Western Oklahoma State College "/>
    <s v="Met the criteria for Two-Year 2 institution in 2011-12."/>
    <n v="208035"/>
    <x v="8"/>
    <n v="58587"/>
    <n v="63048"/>
    <n v="21974"/>
    <n v="20713"/>
    <n v="5525"/>
    <n v="6022"/>
    <n v="28667"/>
    <n v="1911"/>
    <n v="510"/>
    <n v="34238"/>
    <n v="1715"/>
    <n v="360"/>
    <m/>
    <m/>
    <n v="0"/>
    <n v="0"/>
    <m/>
    <m/>
    <m/>
    <m/>
    <m/>
    <m/>
    <m/>
    <m/>
    <m/>
    <m/>
    <m/>
    <m/>
  </r>
  <r>
    <x v="11"/>
    <s v="Clemson University"/>
    <m/>
    <n v="217882"/>
    <x v="0"/>
    <n v="467392"/>
    <n v="491334"/>
    <n v="434260"/>
    <n v="451941"/>
    <n v="5322"/>
    <n v="15418"/>
    <n v="27810"/>
    <m/>
    <m/>
    <n v="23975"/>
    <m/>
    <m/>
    <m/>
    <m/>
    <n v="73789"/>
    <n v="77271"/>
    <n v="57420"/>
    <n v="57340"/>
    <n v="11411"/>
    <n v="15684"/>
    <n v="4958"/>
    <m/>
    <m/>
    <n v="4247"/>
    <m/>
    <m/>
    <m/>
    <m/>
  </r>
  <r>
    <x v="11"/>
    <s v="University of South Carolina-Columbia"/>
    <m/>
    <n v="218663"/>
    <x v="0"/>
    <n v="628870"/>
    <n v="674943"/>
    <n v="596746"/>
    <n v="637395"/>
    <n v="17350"/>
    <n v="15367"/>
    <n v="10183"/>
    <n v="3506"/>
    <n v="1085"/>
    <n v="17159"/>
    <n v="3833"/>
    <n v="1189"/>
    <m/>
    <m/>
    <n v="116559"/>
    <n v="118222"/>
    <n v="74601"/>
    <n v="73946"/>
    <n v="9276"/>
    <n v="9895"/>
    <n v="29956"/>
    <n v="474"/>
    <n v="2252"/>
    <n v="32293"/>
    <n v="174"/>
    <n v="1914"/>
    <m/>
    <m/>
  </r>
  <r>
    <x v="11"/>
    <s v="College of Charleston"/>
    <m/>
    <n v="217819"/>
    <x v="2"/>
    <n v="294793"/>
    <n v="302217"/>
    <n v="294499"/>
    <n v="299380"/>
    <n v="294"/>
    <n v="1795"/>
    <m/>
    <m/>
    <m/>
    <n v="1042"/>
    <m/>
    <m/>
    <m/>
    <m/>
    <n v="18228"/>
    <n v="19054"/>
    <n v="13057"/>
    <n v="10693"/>
    <n v="4911"/>
    <n v="7511"/>
    <n v="122"/>
    <m/>
    <n v="138"/>
    <n v="766"/>
    <m/>
    <n v="84"/>
    <m/>
    <m/>
  </r>
  <r>
    <x v="11"/>
    <s v="Winthrop University "/>
    <m/>
    <n v="218964"/>
    <x v="2"/>
    <n v="143274.5"/>
    <n v="143669"/>
    <n v="142629.5"/>
    <n v="139272"/>
    <n v="645"/>
    <n v="1273"/>
    <m/>
    <m/>
    <m/>
    <n v="3124"/>
    <m/>
    <m/>
    <m/>
    <m/>
    <n v="18159"/>
    <n v="18582"/>
    <n v="15896"/>
    <n v="14482"/>
    <n v="2032"/>
    <n v="2381"/>
    <n v="231"/>
    <m/>
    <m/>
    <n v="1719"/>
    <m/>
    <m/>
    <m/>
    <m/>
  </r>
  <r>
    <x v="11"/>
    <s v="The Citadel, the Military College of South Carolina "/>
    <s v="Met the criteria for Four-Year 3 in 2011-12."/>
    <n v="217864"/>
    <x v="3"/>
    <n v="85876"/>
    <n v="87469"/>
    <n v="85420"/>
    <n v="86618"/>
    <n v="237"/>
    <n v="231"/>
    <n v="219"/>
    <m/>
    <m/>
    <n v="620"/>
    <m/>
    <m/>
    <m/>
    <m/>
    <n v="15502"/>
    <n v="16062"/>
    <n v="14686"/>
    <n v="12780"/>
    <n v="579"/>
    <n v="1752"/>
    <n v="237"/>
    <m/>
    <m/>
    <n v="1530"/>
    <m/>
    <m/>
    <m/>
    <m/>
  </r>
  <r>
    <x v="11"/>
    <s v="Coastal Carolina University"/>
    <m/>
    <n v="218724"/>
    <x v="4"/>
    <n v="236506"/>
    <n v="249232"/>
    <n v="225585"/>
    <n v="233193"/>
    <n v="2531"/>
    <n v="1928"/>
    <n v="8390"/>
    <m/>
    <m/>
    <n v="14111"/>
    <m/>
    <m/>
    <m/>
    <m/>
    <n v="9490"/>
    <n v="9268"/>
    <n v="4434"/>
    <n v="5224"/>
    <n v="2725"/>
    <n v="1810"/>
    <n v="2331"/>
    <m/>
    <m/>
    <n v="2234"/>
    <m/>
    <m/>
    <m/>
    <m/>
  </r>
  <r>
    <x v="11"/>
    <s v="Francis Marion University "/>
    <m/>
    <n v="218061"/>
    <x v="4"/>
    <n v="103303"/>
    <n v="105516"/>
    <n v="103157"/>
    <n v="104723"/>
    <n v="140"/>
    <n v="517"/>
    <n v="6"/>
    <m/>
    <m/>
    <n v="276"/>
    <m/>
    <m/>
    <m/>
    <m/>
    <n v="4469"/>
    <n v="4967"/>
    <n v="2897"/>
    <n v="3461"/>
    <n v="1563"/>
    <n v="1425"/>
    <n v="9"/>
    <m/>
    <m/>
    <n v="81"/>
    <m/>
    <m/>
    <m/>
    <m/>
  </r>
  <r>
    <x v="11"/>
    <s v="South Carolina State University "/>
    <m/>
    <n v="218733"/>
    <x v="4"/>
    <n v="115174"/>
    <n v="112443"/>
    <n v="113401.53"/>
    <n v="108344"/>
    <n v="0"/>
    <n v="0"/>
    <n v="1483.47"/>
    <m/>
    <n v="289"/>
    <n v="3286"/>
    <m/>
    <n v="813"/>
    <m/>
    <m/>
    <n v="11075"/>
    <n v="10494"/>
    <n v="10358"/>
    <n v="8973"/>
    <m/>
    <m/>
    <n v="717"/>
    <m/>
    <m/>
    <n v="1359"/>
    <m/>
    <n v="162"/>
    <m/>
    <m/>
  </r>
  <r>
    <x v="11"/>
    <s v="Lander University"/>
    <m/>
    <n v="218229"/>
    <x v="5"/>
    <n v="82796.5"/>
    <n v="86311"/>
    <n v="77111.5"/>
    <n v="79212"/>
    <n v="310"/>
    <n v="906"/>
    <n v="5224"/>
    <n v="151"/>
    <m/>
    <n v="6133"/>
    <n v="60"/>
    <m/>
    <m/>
    <m/>
    <n v="1854"/>
    <n v="1674"/>
    <n v="1077"/>
    <n v="1137"/>
    <n v="306"/>
    <n v="255"/>
    <n v="471"/>
    <m/>
    <m/>
    <n v="282"/>
    <m/>
    <m/>
    <m/>
    <m/>
  </r>
  <r>
    <x v="11"/>
    <s v="University of South Carolina-Aiken"/>
    <m/>
    <n v="218645"/>
    <x v="5"/>
    <n v="84564"/>
    <n v="90109"/>
    <n v="77348"/>
    <n v="82281"/>
    <n v="3831"/>
    <n v="5702"/>
    <n v="3385"/>
    <m/>
    <m/>
    <n v="2126"/>
    <m/>
    <m/>
    <m/>
    <m/>
    <n v="1192"/>
    <n v="1222"/>
    <n v="565"/>
    <n v="602"/>
    <n v="198"/>
    <n v="272"/>
    <n v="429"/>
    <m/>
    <m/>
    <n v="348"/>
    <m/>
    <m/>
    <m/>
    <m/>
  </r>
  <r>
    <x v="11"/>
    <s v="University of South Carolina-Beaufort"/>
    <m/>
    <n v="218654"/>
    <x v="5"/>
    <n v="45714"/>
    <n v="53991"/>
    <n v="39739"/>
    <n v="48167"/>
    <n v="5975"/>
    <n v="5824"/>
    <m/>
    <m/>
    <m/>
    <m/>
    <m/>
    <m/>
    <m/>
    <m/>
    <n v="0"/>
    <n v="0"/>
    <m/>
    <m/>
    <m/>
    <m/>
    <m/>
    <m/>
    <m/>
    <m/>
    <m/>
    <m/>
    <m/>
    <m/>
  </r>
  <r>
    <x v="11"/>
    <s v="University of South Carolina-Upstate"/>
    <m/>
    <n v="218742"/>
    <x v="5"/>
    <n v="148590"/>
    <n v="161721"/>
    <n v="123088"/>
    <n v="134150"/>
    <n v="12990"/>
    <n v="11924"/>
    <n v="12344"/>
    <m/>
    <n v="168"/>
    <n v="15524"/>
    <n v="33"/>
    <n v="90"/>
    <m/>
    <m/>
    <n v="1351"/>
    <n v="1357"/>
    <n v="481"/>
    <n v="448"/>
    <n v="312"/>
    <n v="327"/>
    <n v="495"/>
    <n v="9"/>
    <n v="54"/>
    <n v="576"/>
    <m/>
    <n v="6"/>
    <m/>
    <m/>
  </r>
  <r>
    <x v="11"/>
    <s v="Greenville Technical College "/>
    <m/>
    <n v="218113"/>
    <x v="6"/>
    <n v="344968"/>
    <n v="374512.12"/>
    <n v="243786"/>
    <n v="282519.12"/>
    <n v="17540"/>
    <n v="16745"/>
    <n v="82412"/>
    <n v="660"/>
    <n v="570"/>
    <n v="75248"/>
    <m/>
    <m/>
    <m/>
    <m/>
    <n v="0"/>
    <n v="0"/>
    <m/>
    <m/>
    <m/>
    <m/>
    <m/>
    <m/>
    <m/>
    <m/>
    <m/>
    <m/>
    <m/>
    <m/>
  </r>
  <r>
    <x v="11"/>
    <s v="Horry-Georgetown Technical College "/>
    <s v="Reclassified: Met the criteria for Two-year 1 in 2009-10, 2010-11, and 2011-12."/>
    <n v="218140"/>
    <x v="6"/>
    <n v="173200"/>
    <n v="185537.02000000002"/>
    <n v="144519"/>
    <n v="152615.02000000002"/>
    <n v="6896"/>
    <n v="7547"/>
    <n v="21785"/>
    <m/>
    <m/>
    <n v="25375"/>
    <m/>
    <m/>
    <m/>
    <m/>
    <n v="0"/>
    <n v="0"/>
    <m/>
    <m/>
    <m/>
    <m/>
    <m/>
    <m/>
    <m/>
    <m/>
    <m/>
    <m/>
    <m/>
    <m/>
  </r>
  <r>
    <x v="11"/>
    <s v="Midlands Technical College "/>
    <m/>
    <n v="218353"/>
    <x v="6"/>
    <n v="281859"/>
    <n v="271208.90000000002"/>
    <n v="215337"/>
    <n v="219434.90000000002"/>
    <n v="16951"/>
    <n v="13433"/>
    <n v="49571"/>
    <m/>
    <m/>
    <n v="38341"/>
    <m/>
    <m/>
    <m/>
    <m/>
    <n v="0"/>
    <n v="0"/>
    <m/>
    <m/>
    <m/>
    <m/>
    <m/>
    <m/>
    <m/>
    <m/>
    <m/>
    <m/>
    <m/>
    <m/>
  </r>
  <r>
    <x v="11"/>
    <s v="Tri-County Technical College "/>
    <s v="Reclassified: Met the criteria for Two-year 1 in 2009-10, 2010-11, and 2011-12."/>
    <n v="218885"/>
    <x v="6"/>
    <n v="171851"/>
    <n v="185910.28"/>
    <n v="134614"/>
    <n v="146653.28"/>
    <n v="4608"/>
    <n v="3549"/>
    <n v="32629"/>
    <m/>
    <m/>
    <n v="35708"/>
    <m/>
    <m/>
    <m/>
    <m/>
    <n v="0"/>
    <n v="0"/>
    <m/>
    <m/>
    <m/>
    <m/>
    <m/>
    <m/>
    <m/>
    <m/>
    <m/>
    <m/>
    <m/>
    <m/>
  </r>
  <r>
    <x v="11"/>
    <s v="Trident Technical College "/>
    <m/>
    <n v="218894"/>
    <x v="6"/>
    <n v="357179"/>
    <n v="408457.47"/>
    <n v="264813"/>
    <n v="306852.46999999997"/>
    <n v="11457"/>
    <n v="12324"/>
    <n v="80909"/>
    <m/>
    <m/>
    <n v="89281"/>
    <m/>
    <m/>
    <m/>
    <m/>
    <n v="0"/>
    <n v="0"/>
    <m/>
    <m/>
    <m/>
    <m/>
    <m/>
    <m/>
    <m/>
    <m/>
    <m/>
    <m/>
    <m/>
    <m/>
  </r>
  <r>
    <x v="11"/>
    <s v="Aiken Technical College "/>
    <m/>
    <n v="217615"/>
    <x v="7"/>
    <n v="75200"/>
    <n v="83052.09"/>
    <n v="58693"/>
    <n v="67322.09"/>
    <n v="4571"/>
    <n v="4535"/>
    <n v="11936"/>
    <m/>
    <m/>
    <n v="11195"/>
    <m/>
    <m/>
    <m/>
    <m/>
    <n v="0"/>
    <n v="0"/>
    <m/>
    <m/>
    <m/>
    <m/>
    <m/>
    <m/>
    <m/>
    <m/>
    <m/>
    <m/>
    <m/>
    <m/>
  </r>
  <r>
    <x v="11"/>
    <s v="Central Carolina Technical College "/>
    <m/>
    <n v="218858"/>
    <x v="7"/>
    <n v="93068"/>
    <n v="106029.22"/>
    <n v="68067"/>
    <n v="80725.22"/>
    <n v="9497"/>
    <n v="9420"/>
    <n v="15504"/>
    <m/>
    <m/>
    <n v="15884"/>
    <m/>
    <m/>
    <m/>
    <m/>
    <n v="0"/>
    <n v="0"/>
    <m/>
    <m/>
    <m/>
    <m/>
    <m/>
    <m/>
    <m/>
    <m/>
    <m/>
    <m/>
    <m/>
    <m/>
  </r>
  <r>
    <x v="11"/>
    <s v="Florence-Darlington Technical College "/>
    <s v="Met the criteria for Two-year 1 in 2010-11 and 2011-12."/>
    <n v="218025"/>
    <x v="7"/>
    <n v="141993"/>
    <n v="165741.02000000002"/>
    <n v="98830"/>
    <n v="118345.02000000002"/>
    <n v="10162"/>
    <n v="10551"/>
    <n v="26610"/>
    <n v="6391"/>
    <m/>
    <n v="30519"/>
    <n v="6326"/>
    <m/>
    <m/>
    <m/>
    <n v="0"/>
    <n v="0"/>
    <m/>
    <m/>
    <m/>
    <m/>
    <m/>
    <m/>
    <m/>
    <m/>
    <m/>
    <m/>
    <m/>
    <m/>
  </r>
  <r>
    <x v="11"/>
    <s v="Orangeburg-Calhoun Technical College "/>
    <m/>
    <n v="218487"/>
    <x v="7"/>
    <n v="72998"/>
    <n v="79795.86"/>
    <n v="55716"/>
    <n v="64238.86"/>
    <n v="8717"/>
    <n v="8403"/>
    <n v="8565"/>
    <m/>
    <m/>
    <n v="7154"/>
    <m/>
    <m/>
    <m/>
    <m/>
    <n v="0"/>
    <n v="0"/>
    <m/>
    <m/>
    <m/>
    <m/>
    <m/>
    <m/>
    <m/>
    <m/>
    <m/>
    <m/>
    <m/>
    <m/>
  </r>
  <r>
    <x v="11"/>
    <s v="Piedmont Technical College "/>
    <s v="Met the criteria for Two-year 1 in 2010-11 and 2011-12."/>
    <n v="218520"/>
    <x v="7"/>
    <n v="138959"/>
    <n v="168991.87"/>
    <n v="71712"/>
    <n v="99839.87"/>
    <n v="15257"/>
    <n v="17335"/>
    <n v="36827"/>
    <n v="15163"/>
    <m/>
    <n v="39953"/>
    <n v="11864"/>
    <m/>
    <m/>
    <m/>
    <n v="0"/>
    <n v="0"/>
    <m/>
    <m/>
    <m/>
    <m/>
    <m/>
    <m/>
    <m/>
    <m/>
    <m/>
    <m/>
    <m/>
    <m/>
  </r>
  <r>
    <x v="11"/>
    <s v="Spartanburg Community College "/>
    <m/>
    <n v="218830"/>
    <x v="7"/>
    <n v="140025"/>
    <n v="152161.12"/>
    <n v="114546"/>
    <n v="122516.12"/>
    <n v="5936"/>
    <n v="6791"/>
    <n v="19534"/>
    <n v="9"/>
    <m/>
    <n v="22854"/>
    <m/>
    <m/>
    <m/>
    <m/>
    <n v="0"/>
    <n v="0"/>
    <m/>
    <m/>
    <m/>
    <m/>
    <m/>
    <m/>
    <m/>
    <m/>
    <m/>
    <m/>
    <m/>
    <m/>
  </r>
  <r>
    <x v="11"/>
    <s v="York Technical College "/>
    <m/>
    <n v="218991"/>
    <x v="7"/>
    <n v="140960"/>
    <n v="151048.74"/>
    <n v="89627"/>
    <n v="107025.73999999999"/>
    <n v="10099"/>
    <n v="8725"/>
    <n v="32197"/>
    <n v="8657"/>
    <n v="380"/>
    <n v="28140"/>
    <n v="7152"/>
    <n v="6"/>
    <m/>
    <m/>
    <n v="0"/>
    <n v="0"/>
    <m/>
    <m/>
    <m/>
    <m/>
    <m/>
    <m/>
    <m/>
    <m/>
    <m/>
    <m/>
    <m/>
    <m/>
  </r>
  <r>
    <x v="11"/>
    <s v="Denmark Technical College "/>
    <m/>
    <n v="217989"/>
    <x v="8"/>
    <n v="32782"/>
    <n v="38934.33"/>
    <n v="26294"/>
    <n v="34670.33"/>
    <n v="186"/>
    <n v="711"/>
    <n v="6302"/>
    <m/>
    <m/>
    <n v="3553"/>
    <m/>
    <m/>
    <m/>
    <m/>
    <n v="0"/>
    <n v="0"/>
    <m/>
    <m/>
    <m/>
    <m/>
    <m/>
    <m/>
    <m/>
    <m/>
    <m/>
    <m/>
    <m/>
    <m/>
  </r>
  <r>
    <x v="11"/>
    <s v="Northeastern Technical College "/>
    <m/>
    <n v="217837"/>
    <x v="8"/>
    <n v="29287"/>
    <n v="34578.79"/>
    <n v="21072"/>
    <n v="24247.79"/>
    <n v="672"/>
    <n v="385"/>
    <n v="3705"/>
    <n v="3838"/>
    <m/>
    <n v="4923"/>
    <n v="5023"/>
    <m/>
    <m/>
    <m/>
    <n v="0"/>
    <n v="0"/>
    <m/>
    <m/>
    <m/>
    <m/>
    <m/>
    <m/>
    <m/>
    <m/>
    <m/>
    <m/>
    <m/>
    <m/>
  </r>
  <r>
    <x v="11"/>
    <s v="Technical College of the Lowcountry"/>
    <s v="Met the criteria for Two-Year 2 in 2011-12."/>
    <n v="217712"/>
    <x v="8"/>
    <n v="60944"/>
    <n v="65141.969999999994"/>
    <n v="44542"/>
    <n v="51761.969999999994"/>
    <n v="346"/>
    <n v="1632"/>
    <n v="12243"/>
    <n v="3813"/>
    <m/>
    <n v="11748"/>
    <m/>
    <m/>
    <m/>
    <m/>
    <n v="0"/>
    <n v="0"/>
    <m/>
    <m/>
    <m/>
    <m/>
    <m/>
    <m/>
    <m/>
    <m/>
    <m/>
    <m/>
    <m/>
    <m/>
  </r>
  <r>
    <x v="11"/>
    <s v="University of South Carolina-Lancaster"/>
    <m/>
    <n v="218672"/>
    <x v="8"/>
    <n v="34947"/>
    <n v="37044"/>
    <n v="34646"/>
    <n v="36185"/>
    <n v="301"/>
    <n v="505"/>
    <n v="0"/>
    <m/>
    <m/>
    <n v="354"/>
    <m/>
    <m/>
    <m/>
    <m/>
    <n v="0"/>
    <n v="0"/>
    <m/>
    <m/>
    <m/>
    <m/>
    <m/>
    <m/>
    <m/>
    <m/>
    <m/>
    <m/>
    <m/>
    <m/>
  </r>
  <r>
    <x v="11"/>
    <s v="University of South Carolina-Salkehatchie"/>
    <m/>
    <n v="218681"/>
    <x v="8"/>
    <n v="21981"/>
    <n v="24064"/>
    <n v="21981"/>
    <n v="24064"/>
    <n v="0"/>
    <n v="0"/>
    <n v="0"/>
    <m/>
    <m/>
    <m/>
    <m/>
    <m/>
    <m/>
    <m/>
    <n v="0"/>
    <n v="0"/>
    <m/>
    <m/>
    <m/>
    <m/>
    <m/>
    <m/>
    <m/>
    <m/>
    <m/>
    <m/>
    <m/>
    <m/>
  </r>
  <r>
    <x v="11"/>
    <s v="University of South Carolina-Sumter"/>
    <m/>
    <n v="218690"/>
    <x v="8"/>
    <n v="26375"/>
    <n v="28405"/>
    <n v="22605"/>
    <n v="24391"/>
    <n v="3500"/>
    <n v="3777"/>
    <n v="270"/>
    <m/>
    <m/>
    <n v="237"/>
    <m/>
    <m/>
    <m/>
    <m/>
    <n v="0"/>
    <n v="0"/>
    <m/>
    <m/>
    <m/>
    <m/>
    <m/>
    <m/>
    <m/>
    <m/>
    <m/>
    <m/>
    <m/>
    <m/>
  </r>
  <r>
    <x v="11"/>
    <s v="University of South Carolina-Union"/>
    <m/>
    <n v="218706"/>
    <x v="8"/>
    <n v="10674"/>
    <n v="14034"/>
    <n v="9332"/>
    <n v="11533"/>
    <n v="1342"/>
    <n v="2501"/>
    <n v="0"/>
    <m/>
    <m/>
    <m/>
    <m/>
    <m/>
    <m/>
    <m/>
    <n v="0"/>
    <n v="0"/>
    <m/>
    <m/>
    <m/>
    <m/>
    <m/>
    <m/>
    <m/>
    <m/>
    <m/>
    <m/>
    <m/>
    <m/>
  </r>
  <r>
    <x v="11"/>
    <s v="Willamsburg Technical College "/>
    <m/>
    <n v="218955"/>
    <x v="8"/>
    <n v="18866"/>
    <n v="16747.490000000002"/>
    <n v="18524"/>
    <n v="16267.490000000002"/>
    <n v="220"/>
    <n v="348"/>
    <n v="122"/>
    <m/>
    <m/>
    <n v="132"/>
    <m/>
    <m/>
    <m/>
    <m/>
    <n v="0"/>
    <n v="0"/>
    <m/>
    <m/>
    <m/>
    <m/>
    <m/>
    <m/>
    <m/>
    <m/>
    <m/>
    <m/>
    <m/>
    <m/>
  </r>
  <r>
    <x v="12"/>
    <s v="University of Memphis"/>
    <m/>
    <n v="220862"/>
    <x v="0"/>
    <n v="422576"/>
    <n v="436950"/>
    <n v="351866"/>
    <n v="342254"/>
    <n v="7800"/>
    <n v="18793"/>
    <n v="42851"/>
    <n v="368"/>
    <n v="16665"/>
    <n v="53887"/>
    <n v="150"/>
    <n v="18709"/>
    <n v="3026"/>
    <n v="3157"/>
    <n v="83230"/>
    <n v="75706"/>
    <n v="55321"/>
    <n v="46191"/>
    <n v="10152"/>
    <n v="842"/>
    <n v="10405"/>
    <n v="51"/>
    <n v="1662"/>
    <n v="18120"/>
    <n v="132"/>
    <n v="4094"/>
    <n v="5639"/>
    <n v="6327"/>
  </r>
  <r>
    <x v="12"/>
    <s v="University of Tennessee, Knoxville"/>
    <m/>
    <n v="221759"/>
    <x v="0"/>
    <n v="567964"/>
    <n v="661664"/>
    <n v="487661"/>
    <n v="572222"/>
    <n v="969"/>
    <n v="24"/>
    <n v="72"/>
    <n v="792"/>
    <n v="78219"/>
    <n v="1920"/>
    <n v="0"/>
    <n v="83546"/>
    <n v="251"/>
    <n v="3952"/>
    <n v="129650"/>
    <n v="92816.900000000009"/>
    <n v="109147"/>
    <n v="78665.600000000006"/>
    <n v="1267"/>
    <n v="353"/>
    <n v="6803"/>
    <n v="75"/>
    <n v="11855"/>
    <n v="9244"/>
    <n v="0"/>
    <n v="1893.3"/>
    <n v="503"/>
    <n v="2661"/>
  </r>
  <r>
    <x v="12"/>
    <s v="Tennessee State University "/>
    <s v="Reclassified: Met the criteria for Four-Year 2 in 2009-10, 2010-11, and 2011-12."/>
    <n v="221838"/>
    <x v="1"/>
    <n v="182408"/>
    <n v="183269"/>
    <n v="154263"/>
    <n v="143834"/>
    <n v="14260"/>
    <n v="24389"/>
    <n v="12537"/>
    <n v="171"/>
    <n v="671"/>
    <n v="13721"/>
    <n v="0"/>
    <n v="926"/>
    <n v="506"/>
    <n v="399"/>
    <n v="32856"/>
    <n v="30967"/>
    <n v="26392"/>
    <n v="15785"/>
    <n v="1487"/>
    <n v="9246"/>
    <n v="1835"/>
    <n v="0"/>
    <n v="140"/>
    <n v="4974"/>
    <n v="0"/>
    <n v="279"/>
    <n v="3002"/>
    <n v="683"/>
  </r>
  <r>
    <x v="12"/>
    <s v="Austin Peay State University "/>
    <m/>
    <n v="219602"/>
    <x v="2"/>
    <n v="231958"/>
    <n v="240204"/>
    <n v="154611"/>
    <n v="161169"/>
    <n v="15145"/>
    <n v="14314"/>
    <n v="59191"/>
    <n v="0"/>
    <n v="2411"/>
    <n v="61326"/>
    <n v="0"/>
    <n v="2877"/>
    <n v="600"/>
    <n v="518"/>
    <n v="13956"/>
    <n v="14309"/>
    <n v="6356"/>
    <n v="5362"/>
    <n v="496"/>
    <n v="330"/>
    <n v="6932"/>
    <n v="0"/>
    <n v="55"/>
    <n v="8046"/>
    <n v="0"/>
    <n v="359"/>
    <n v="117"/>
    <n v="212"/>
  </r>
  <r>
    <x v="12"/>
    <s v="East Tennessee State University "/>
    <m/>
    <n v="220075"/>
    <x v="2"/>
    <n v="315496"/>
    <n v="323990"/>
    <n v="239142"/>
    <n v="239606"/>
    <n v="9334"/>
    <n v="8300"/>
    <n v="40456"/>
    <n v="9831"/>
    <n v="14290"/>
    <n v="45642"/>
    <n v="8559"/>
    <n v="19323"/>
    <n v="2443"/>
    <n v="2560"/>
    <n v="41178"/>
    <n v="35731"/>
    <n v="24434"/>
    <n v="19506"/>
    <n v="5183"/>
    <n v="958"/>
    <n v="8135"/>
    <n v="102"/>
    <n v="1622"/>
    <n v="11005"/>
    <n v="354"/>
    <n v="1846"/>
    <n v="1702"/>
    <n v="2062"/>
  </r>
  <r>
    <x v="12"/>
    <s v="Middle Tennessee State University "/>
    <m/>
    <n v="220978"/>
    <x v="2"/>
    <n v="618769"/>
    <n v="615412"/>
    <n v="530431"/>
    <n v="529290"/>
    <n v="10051"/>
    <n v="200"/>
    <n v="48763"/>
    <n v="2748"/>
    <n v="22415"/>
    <n v="58547"/>
    <n v="237"/>
    <n v="22585"/>
    <n v="4361"/>
    <n v="4553"/>
    <n v="41595"/>
    <n v="45612"/>
    <n v="28178"/>
    <n v="27998"/>
    <n v="2342"/>
    <n v="4436"/>
    <n v="5425"/>
    <n v="379"/>
    <n v="2190"/>
    <n v="9689"/>
    <n v="261"/>
    <n v="1192"/>
    <n v="3081"/>
    <n v="2036"/>
  </r>
  <r>
    <x v="12"/>
    <s v="Tennessee Technological University "/>
    <m/>
    <n v="221847"/>
    <x v="2"/>
    <n v="260418"/>
    <n v="214326"/>
    <n v="219607"/>
    <n v="177351"/>
    <n v="14260"/>
    <n v="7171"/>
    <n v="15262"/>
    <m/>
    <n v="8189"/>
    <n v="18429"/>
    <n v="0"/>
    <n v="7424"/>
    <n v="3100"/>
    <n v="3951"/>
    <n v="30181"/>
    <n v="18144"/>
    <n v="18854"/>
    <n v="6516"/>
    <n v="2014"/>
    <n v="1463"/>
    <n v="5845"/>
    <n v="42"/>
    <n v="467"/>
    <n v="6488"/>
    <n v="0"/>
    <n v="2048"/>
    <n v="2959"/>
    <n v="1629"/>
  </r>
  <r>
    <x v="12"/>
    <s v="University of Tennessee at Chattanooga"/>
    <m/>
    <n v="221740"/>
    <x v="2"/>
    <n v="241728"/>
    <n v="251180.3"/>
    <n v="234753"/>
    <n v="234245"/>
    <n v="1096"/>
    <n v="4434"/>
    <n v="4710"/>
    <n v="0"/>
    <n v="0"/>
    <n v="10464"/>
    <n v="0"/>
    <n v="920"/>
    <n v="1169"/>
    <n v="1117.3"/>
    <n v="25246"/>
    <n v="26225"/>
    <n v="19214"/>
    <n v="20337"/>
    <n v="2173"/>
    <n v="49"/>
    <n v="2317"/>
    <n v="318"/>
    <n v="0"/>
    <n v="3687"/>
    <n v="1158"/>
    <n v="393"/>
    <n v="1224"/>
    <n v="601"/>
  </r>
  <r>
    <x v="12"/>
    <s v="University of Tennessee at Martin"/>
    <s v="Met the criteria for Four-Year 4 in 2011-12."/>
    <n v="221768"/>
    <x v="4"/>
    <n v="189533"/>
    <n v="204980"/>
    <n v="176444"/>
    <n v="168049"/>
    <n v="1324"/>
    <n v="20985"/>
    <n v="8351"/>
    <n v="3191"/>
    <n v="51"/>
    <n v="13869"/>
    <n v="1758"/>
    <n v="93"/>
    <n v="172"/>
    <n v="226"/>
    <n v="6675"/>
    <n v="7227"/>
    <n v="2726"/>
    <n v="2164"/>
    <n v="53"/>
    <n v="15"/>
    <n v="3337"/>
    <n v="559"/>
    <n v="0"/>
    <n v="5015"/>
    <n v="33"/>
    <m/>
    <n v="0"/>
    <m/>
  </r>
  <r>
    <x v="12"/>
    <s v="Chattanooga State Technical Community College "/>
    <m/>
    <n v="219824"/>
    <x v="6"/>
    <n v="206006"/>
    <n v="212732"/>
    <n v="126190"/>
    <n v="117490"/>
    <n v="9093"/>
    <n v="17000"/>
    <n v="40317"/>
    <n v="0"/>
    <n v="30134"/>
    <n v="42832"/>
    <m/>
    <n v="34763"/>
    <n v="272"/>
    <n v="647"/>
    <n v="0"/>
    <n v="0"/>
    <m/>
    <m/>
    <m/>
    <m/>
    <m/>
    <m/>
    <m/>
    <m/>
    <m/>
    <m/>
    <m/>
    <m/>
  </r>
  <r>
    <x v="12"/>
    <s v="Nashville State Technical Community College"/>
    <s v="Reclassified: Met the criteria for Two-year 1 in 2009-10, 2010-11, and 2011-12."/>
    <n v="221184"/>
    <x v="6"/>
    <n v="188287"/>
    <n v="195813.5"/>
    <n v="136317"/>
    <n v="110553.5"/>
    <n v="9434"/>
    <n v="39276"/>
    <n v="38987"/>
    <n v="0"/>
    <n v="3447"/>
    <n v="40886"/>
    <n v="0"/>
    <n v="4958"/>
    <n v="102"/>
    <n v="140"/>
    <n v="0"/>
    <n v="0"/>
    <m/>
    <m/>
    <m/>
    <m/>
    <m/>
    <m/>
    <m/>
    <m/>
    <m/>
    <m/>
    <m/>
    <m/>
  </r>
  <r>
    <x v="12"/>
    <s v="Pellissippi State Technical Community College"/>
    <m/>
    <n v="221643"/>
    <x v="6"/>
    <n v="226193"/>
    <n v="235683"/>
    <n v="164209"/>
    <n v="148976"/>
    <n v="28803"/>
    <n v="52538"/>
    <n v="27318"/>
    <n v="1367"/>
    <n v="4323"/>
    <n v="28832"/>
    <n v="1323"/>
    <n v="3779"/>
    <n v="173"/>
    <n v="235"/>
    <n v="0"/>
    <n v="0"/>
    <m/>
    <m/>
    <m/>
    <m/>
    <m/>
    <m/>
    <m/>
    <m/>
    <m/>
    <m/>
    <m/>
    <m/>
  </r>
  <r>
    <x v="12"/>
    <s v="Southwest Tennessee Community College"/>
    <m/>
    <n v="221485"/>
    <x v="6"/>
    <n v="285586"/>
    <n v="282378"/>
    <n v="235"/>
    <n v="490"/>
    <n v="241596"/>
    <n v="242139"/>
    <n v="27381"/>
    <n v="3855"/>
    <n v="12415"/>
    <n v="30085"/>
    <n v="1734"/>
    <n v="7888"/>
    <n v="104"/>
    <n v="42"/>
    <n v="0"/>
    <n v="0"/>
    <m/>
    <m/>
    <m/>
    <m/>
    <m/>
    <m/>
    <m/>
    <m/>
    <m/>
    <m/>
    <m/>
    <m/>
  </r>
  <r>
    <x v="12"/>
    <s v="Volunteer State Community College "/>
    <s v="Reclassified: Met the criteria for Two-year 1 in 2009-10, 2010-11, and 2011-12."/>
    <n v="222053"/>
    <x v="6"/>
    <n v="177755"/>
    <n v="172295"/>
    <n v="124494"/>
    <n v="99124"/>
    <n v="4641"/>
    <n v="23836"/>
    <n v="39394"/>
    <n v="343"/>
    <n v="8452"/>
    <n v="40994"/>
    <n v="288"/>
    <n v="7473"/>
    <n v="431"/>
    <n v="580"/>
    <n v="0"/>
    <n v="0"/>
    <m/>
    <m/>
    <m/>
    <m/>
    <m/>
    <m/>
    <m/>
    <m/>
    <m/>
    <m/>
    <m/>
    <m/>
  </r>
  <r>
    <x v="12"/>
    <s v="Cleveland State Community College "/>
    <m/>
    <n v="219879"/>
    <x v="7"/>
    <n v="77183"/>
    <n v="79753"/>
    <n v="53523"/>
    <n v="45868"/>
    <n v="6649"/>
    <n v="10230"/>
    <n v="10044"/>
    <n v="957"/>
    <n v="4650"/>
    <n v="10832"/>
    <n v="309"/>
    <n v="10992"/>
    <n v="1360"/>
    <n v="1522"/>
    <n v="0"/>
    <n v="0"/>
    <m/>
    <m/>
    <m/>
    <m/>
    <m/>
    <m/>
    <m/>
    <m/>
    <m/>
    <m/>
    <m/>
    <m/>
  </r>
  <r>
    <x v="12"/>
    <s v="Columbia State Community College "/>
    <m/>
    <n v="219888"/>
    <x v="7"/>
    <n v="112558"/>
    <n v="110306"/>
    <n v="75972"/>
    <n v="45404"/>
    <n v="7395"/>
    <n v="36640"/>
    <n v="15625"/>
    <n v="6441"/>
    <n v="7018"/>
    <n v="16570"/>
    <n v="5886"/>
    <n v="5733"/>
    <n v="107"/>
    <n v="73"/>
    <n v="0"/>
    <n v="0"/>
    <m/>
    <m/>
    <m/>
    <m/>
    <m/>
    <m/>
    <m/>
    <m/>
    <m/>
    <m/>
    <m/>
    <m/>
  </r>
  <r>
    <x v="12"/>
    <s v="Dyersburg State Community College "/>
    <s v="Reclassified: Met the criteria for Two-year 2 in 2009-10, 2010-11, and 2011-12."/>
    <n v="220057"/>
    <x v="7"/>
    <n v="72924"/>
    <n v="71139"/>
    <n v="47414"/>
    <n v="26289"/>
    <n v="8655"/>
    <n v="28464"/>
    <n v="7543"/>
    <n v="961"/>
    <n v="8061"/>
    <n v="9731"/>
    <n v="2514"/>
    <n v="3796"/>
    <n v="290"/>
    <n v="345"/>
    <n v="0"/>
    <n v="0"/>
    <m/>
    <m/>
    <m/>
    <m/>
    <m/>
    <m/>
    <m/>
    <m/>
    <m/>
    <m/>
    <m/>
    <m/>
  </r>
  <r>
    <x v="12"/>
    <s v="Jackson State Community College "/>
    <m/>
    <n v="220400"/>
    <x v="7"/>
    <n v="109536"/>
    <n v="104120"/>
    <n v="62450"/>
    <n v="50431"/>
    <n v="1232"/>
    <n v="10511"/>
    <n v="28762"/>
    <n v="4114"/>
    <n v="12771"/>
    <n v="26776"/>
    <n v="4026"/>
    <n v="12219"/>
    <n v="207"/>
    <n v="157"/>
    <n v="0"/>
    <n v="0"/>
    <m/>
    <m/>
    <m/>
    <m/>
    <m/>
    <m/>
    <m/>
    <m/>
    <m/>
    <m/>
    <m/>
    <m/>
  </r>
  <r>
    <x v="12"/>
    <s v="Motlow State Community College "/>
    <m/>
    <n v="221096"/>
    <x v="7"/>
    <n v="105975"/>
    <n v="99616"/>
    <n v="31854"/>
    <n v="29535"/>
    <n v="53563"/>
    <n v="49512"/>
    <n v="14923"/>
    <n v="5478"/>
    <n v="0"/>
    <n v="14891"/>
    <n v="5380"/>
    <n v="48"/>
    <n v="157"/>
    <n v="250"/>
    <n v="0"/>
    <n v="0"/>
    <m/>
    <m/>
    <m/>
    <m/>
    <m/>
    <m/>
    <m/>
    <m/>
    <m/>
    <m/>
    <m/>
    <m/>
  </r>
  <r>
    <x v="12"/>
    <s v="Northeast State Technical Community College"/>
    <m/>
    <n v="221908"/>
    <x v="7"/>
    <n v="141525"/>
    <n v="142268"/>
    <n v="108718"/>
    <n v="88386"/>
    <n v="9828"/>
    <n v="31025"/>
    <n v="7172"/>
    <n v="3606"/>
    <n v="12137"/>
    <n v="8778"/>
    <n v="3610"/>
    <n v="10433"/>
    <n v="64"/>
    <n v="36"/>
    <n v="0"/>
    <n v="0"/>
    <m/>
    <m/>
    <m/>
    <m/>
    <m/>
    <m/>
    <m/>
    <m/>
    <m/>
    <m/>
    <m/>
    <m/>
  </r>
  <r>
    <x v="12"/>
    <s v="Roane State Community College "/>
    <m/>
    <n v="221397"/>
    <x v="7"/>
    <n v="135128"/>
    <n v="134423"/>
    <n v="23396"/>
    <n v="22110"/>
    <n v="73521"/>
    <n v="71576"/>
    <n v="24860"/>
    <n v="8852"/>
    <n v="4397"/>
    <n v="27435"/>
    <n v="7929"/>
    <n v="5285"/>
    <n v="102"/>
    <n v="88"/>
    <n v="0"/>
    <n v="0"/>
    <m/>
    <m/>
    <m/>
    <m/>
    <m/>
    <m/>
    <m/>
    <m/>
    <m/>
    <m/>
    <m/>
    <m/>
  </r>
  <r>
    <x v="12"/>
    <s v="Walters State Community College "/>
    <m/>
    <n v="222062"/>
    <x v="7"/>
    <n v="147715"/>
    <n v="144311"/>
    <n v="107742"/>
    <n v="65267"/>
    <n v="8269"/>
    <n v="51290"/>
    <n v="16078"/>
    <n v="4026"/>
    <n v="11586"/>
    <n v="15353"/>
    <n v="3314"/>
    <n v="9072"/>
    <n v="14"/>
    <n v="15"/>
    <n v="0"/>
    <n v="0"/>
    <m/>
    <m/>
    <m/>
    <m/>
    <m/>
    <m/>
    <m/>
    <m/>
    <m/>
    <m/>
    <m/>
    <m/>
  </r>
  <r>
    <x v="12"/>
    <s v="Tennessee Technology Center at Athens"/>
    <m/>
    <n v="219596"/>
    <x v="10"/>
    <n v="0"/>
    <n v="0"/>
    <m/>
    <m/>
    <m/>
    <m/>
    <m/>
    <m/>
    <m/>
    <m/>
    <m/>
    <m/>
    <m/>
    <m/>
    <n v="0"/>
    <n v="0"/>
    <m/>
    <m/>
    <m/>
    <m/>
    <m/>
    <m/>
    <m/>
    <m/>
    <m/>
    <m/>
    <m/>
    <m/>
  </r>
  <r>
    <x v="12"/>
    <s v="Tennessee Technology Center at Chattanooga"/>
    <s v="Met the criteria for Technical Institute or College 1 in 2010-11 and 2011-12."/>
    <s v="219824B"/>
    <x v="10"/>
    <n v="0"/>
    <n v="0"/>
    <m/>
    <m/>
    <m/>
    <m/>
    <m/>
    <m/>
    <m/>
    <m/>
    <m/>
    <m/>
    <m/>
    <m/>
    <n v="0"/>
    <n v="0"/>
    <m/>
    <m/>
    <m/>
    <m/>
    <m/>
    <m/>
    <m/>
    <m/>
    <m/>
    <m/>
    <m/>
    <m/>
  </r>
  <r>
    <x v="12"/>
    <s v="Tennessee Technology Center at Covington"/>
    <m/>
    <n v="219921"/>
    <x v="10"/>
    <n v="0"/>
    <n v="0"/>
    <m/>
    <m/>
    <m/>
    <m/>
    <m/>
    <m/>
    <m/>
    <m/>
    <m/>
    <m/>
    <m/>
    <m/>
    <n v="0"/>
    <n v="0"/>
    <m/>
    <m/>
    <m/>
    <m/>
    <m/>
    <m/>
    <m/>
    <m/>
    <m/>
    <m/>
    <m/>
    <m/>
  </r>
  <r>
    <x v="12"/>
    <s v="Tennessee Technology Center at Crossville"/>
    <m/>
    <n v="221591"/>
    <x v="10"/>
    <n v="0"/>
    <n v="0"/>
    <m/>
    <m/>
    <m/>
    <m/>
    <m/>
    <m/>
    <m/>
    <m/>
    <m/>
    <m/>
    <m/>
    <m/>
    <n v="0"/>
    <n v="0"/>
    <m/>
    <m/>
    <m/>
    <m/>
    <m/>
    <m/>
    <m/>
    <m/>
    <m/>
    <m/>
    <m/>
    <m/>
  </r>
  <r>
    <x v="12"/>
    <s v="Tennessee Technology Center at Crump"/>
    <m/>
    <n v="221430"/>
    <x v="10"/>
    <n v="0"/>
    <n v="0"/>
    <m/>
    <m/>
    <m/>
    <m/>
    <m/>
    <m/>
    <m/>
    <m/>
    <m/>
    <m/>
    <m/>
    <m/>
    <n v="0"/>
    <n v="0"/>
    <m/>
    <m/>
    <m/>
    <m/>
    <m/>
    <m/>
    <m/>
    <m/>
    <m/>
    <m/>
    <m/>
    <m/>
  </r>
  <r>
    <x v="12"/>
    <s v="Tennessee Technology Center at Dickson"/>
    <m/>
    <n v="219994"/>
    <x v="10"/>
    <n v="0"/>
    <n v="0"/>
    <m/>
    <m/>
    <m/>
    <m/>
    <m/>
    <m/>
    <m/>
    <m/>
    <m/>
    <m/>
    <m/>
    <m/>
    <n v="0"/>
    <n v="0"/>
    <m/>
    <m/>
    <m/>
    <m/>
    <m/>
    <m/>
    <m/>
    <m/>
    <m/>
    <m/>
    <m/>
    <m/>
  </r>
  <r>
    <x v="12"/>
    <s v="Tennessee Technology Center at Elizabethton"/>
    <m/>
    <n v="220127"/>
    <x v="10"/>
    <n v="0"/>
    <n v="0"/>
    <m/>
    <m/>
    <m/>
    <m/>
    <m/>
    <m/>
    <m/>
    <m/>
    <m/>
    <m/>
    <m/>
    <m/>
    <n v="0"/>
    <n v="0"/>
    <m/>
    <m/>
    <m/>
    <m/>
    <m/>
    <m/>
    <m/>
    <m/>
    <m/>
    <m/>
    <m/>
    <m/>
  </r>
  <r>
    <x v="12"/>
    <s v="Tennessee Technology Center at Harriman"/>
    <m/>
    <n v="220251"/>
    <x v="10"/>
    <n v="0"/>
    <n v="0"/>
    <m/>
    <m/>
    <m/>
    <m/>
    <m/>
    <m/>
    <m/>
    <m/>
    <m/>
    <m/>
    <m/>
    <m/>
    <n v="0"/>
    <n v="0"/>
    <m/>
    <m/>
    <m/>
    <m/>
    <m/>
    <m/>
    <m/>
    <m/>
    <m/>
    <m/>
    <m/>
    <m/>
  </r>
  <r>
    <x v="12"/>
    <s v="Tennessee Technology Center at Hartsville"/>
    <m/>
    <n v="220279"/>
    <x v="10"/>
    <n v="0"/>
    <n v="0"/>
    <m/>
    <m/>
    <m/>
    <m/>
    <m/>
    <m/>
    <m/>
    <m/>
    <m/>
    <m/>
    <m/>
    <m/>
    <n v="0"/>
    <n v="0"/>
    <m/>
    <m/>
    <m/>
    <m/>
    <m/>
    <m/>
    <m/>
    <m/>
    <m/>
    <m/>
    <m/>
    <m/>
  </r>
  <r>
    <x v="12"/>
    <s v="Tennessee Technology Center at Hohenwald"/>
    <m/>
    <n v="220321"/>
    <x v="10"/>
    <n v="0"/>
    <n v="0"/>
    <m/>
    <m/>
    <m/>
    <m/>
    <m/>
    <m/>
    <m/>
    <m/>
    <m/>
    <m/>
    <m/>
    <m/>
    <n v="0"/>
    <n v="0"/>
    <m/>
    <m/>
    <m/>
    <m/>
    <m/>
    <m/>
    <m/>
    <m/>
    <m/>
    <m/>
    <m/>
    <m/>
  </r>
  <r>
    <x v="12"/>
    <s v="Tennessee Technology Center at Jacksboro"/>
    <m/>
    <n v="220394"/>
    <x v="10"/>
    <n v="0"/>
    <n v="0"/>
    <m/>
    <m/>
    <m/>
    <m/>
    <m/>
    <m/>
    <m/>
    <m/>
    <m/>
    <m/>
    <m/>
    <m/>
    <n v="0"/>
    <n v="0"/>
    <m/>
    <m/>
    <m/>
    <m/>
    <m/>
    <m/>
    <m/>
    <m/>
    <m/>
    <m/>
    <m/>
    <m/>
  </r>
  <r>
    <x v="12"/>
    <s v="Tennessee Technology Center at Jackson"/>
    <m/>
    <n v="221616"/>
    <x v="10"/>
    <n v="0"/>
    <n v="0"/>
    <m/>
    <m/>
    <m/>
    <m/>
    <m/>
    <m/>
    <m/>
    <m/>
    <m/>
    <m/>
    <m/>
    <m/>
    <n v="0"/>
    <n v="0"/>
    <m/>
    <m/>
    <m/>
    <m/>
    <m/>
    <m/>
    <m/>
    <m/>
    <m/>
    <m/>
    <m/>
    <m/>
  </r>
  <r>
    <x v="12"/>
    <s v="Tennessee Technology Center at Knoxville"/>
    <m/>
    <n v="221625"/>
    <x v="10"/>
    <n v="0"/>
    <n v="0"/>
    <m/>
    <m/>
    <m/>
    <m/>
    <m/>
    <m/>
    <m/>
    <m/>
    <m/>
    <m/>
    <m/>
    <m/>
    <n v="0"/>
    <n v="0"/>
    <m/>
    <m/>
    <m/>
    <m/>
    <m/>
    <m/>
    <m/>
    <m/>
    <m/>
    <m/>
    <m/>
    <m/>
  </r>
  <r>
    <x v="12"/>
    <s v="Tennessee Technology Center at Livingston"/>
    <m/>
    <n v="220640"/>
    <x v="10"/>
    <n v="0"/>
    <n v="0"/>
    <m/>
    <m/>
    <m/>
    <m/>
    <m/>
    <m/>
    <m/>
    <m/>
    <m/>
    <m/>
    <m/>
    <m/>
    <n v="0"/>
    <n v="0"/>
    <m/>
    <m/>
    <m/>
    <m/>
    <m/>
    <m/>
    <m/>
    <m/>
    <m/>
    <m/>
    <m/>
    <m/>
  </r>
  <r>
    <x v="12"/>
    <s v="Tennessee Technology Center at McKenzie"/>
    <m/>
    <n v="220756"/>
    <x v="10"/>
    <n v="0"/>
    <n v="0"/>
    <m/>
    <m/>
    <m/>
    <m/>
    <m/>
    <m/>
    <m/>
    <m/>
    <m/>
    <m/>
    <m/>
    <m/>
    <n v="0"/>
    <n v="0"/>
    <m/>
    <m/>
    <m/>
    <m/>
    <m/>
    <m/>
    <m/>
    <m/>
    <m/>
    <m/>
    <m/>
    <m/>
  </r>
  <r>
    <x v="12"/>
    <s v="Tennessee Technology Center at McMinnville"/>
    <m/>
    <n v="221607"/>
    <x v="10"/>
    <n v="0"/>
    <n v="0"/>
    <m/>
    <m/>
    <m/>
    <m/>
    <m/>
    <m/>
    <m/>
    <m/>
    <m/>
    <m/>
    <m/>
    <m/>
    <n v="0"/>
    <n v="0"/>
    <m/>
    <m/>
    <m/>
    <m/>
    <m/>
    <m/>
    <m/>
    <m/>
    <m/>
    <m/>
    <m/>
    <m/>
  </r>
  <r>
    <x v="12"/>
    <s v="Tennessee Technology Center at Memphis"/>
    <s v="Met the criteria for Technical Institute or College 1 in 2011-12."/>
    <n v="220853"/>
    <x v="10"/>
    <n v="0"/>
    <n v="0"/>
    <m/>
    <m/>
    <m/>
    <m/>
    <m/>
    <m/>
    <m/>
    <m/>
    <m/>
    <m/>
    <m/>
    <m/>
    <n v="0"/>
    <n v="0"/>
    <m/>
    <m/>
    <m/>
    <m/>
    <m/>
    <m/>
    <m/>
    <m/>
    <m/>
    <m/>
    <m/>
    <m/>
  </r>
  <r>
    <x v="12"/>
    <s v="Tennessee Technology Center at Morristown"/>
    <m/>
    <n v="221050"/>
    <x v="10"/>
    <n v="0"/>
    <n v="0"/>
    <m/>
    <m/>
    <m/>
    <m/>
    <m/>
    <m/>
    <m/>
    <m/>
    <m/>
    <m/>
    <m/>
    <m/>
    <n v="0"/>
    <n v="0"/>
    <m/>
    <m/>
    <m/>
    <m/>
    <m/>
    <m/>
    <m/>
    <m/>
    <m/>
    <m/>
    <m/>
    <m/>
  </r>
  <r>
    <x v="12"/>
    <s v="Tennessee Technology Center at Murfreesboro"/>
    <m/>
    <n v="221102"/>
    <x v="10"/>
    <n v="0"/>
    <n v="0"/>
    <m/>
    <m/>
    <m/>
    <m/>
    <m/>
    <m/>
    <m/>
    <m/>
    <m/>
    <m/>
    <m/>
    <m/>
    <n v="0"/>
    <n v="0"/>
    <m/>
    <m/>
    <m/>
    <m/>
    <m/>
    <m/>
    <m/>
    <m/>
    <m/>
    <m/>
    <m/>
    <m/>
  </r>
  <r>
    <x v="12"/>
    <s v="Tennessee Technology Center at Nashville"/>
    <s v="Met the criteria for Technical Institute or College 1 in 2011-12."/>
    <n v="248925"/>
    <x v="10"/>
    <n v="0"/>
    <n v="0"/>
    <m/>
    <m/>
    <m/>
    <m/>
    <m/>
    <m/>
    <m/>
    <m/>
    <m/>
    <m/>
    <m/>
    <m/>
    <n v="0"/>
    <n v="0"/>
    <m/>
    <m/>
    <m/>
    <m/>
    <m/>
    <m/>
    <m/>
    <m/>
    <m/>
    <m/>
    <m/>
    <m/>
  </r>
  <r>
    <x v="12"/>
    <s v="Tennessee Technology Center at Newbern"/>
    <m/>
    <n v="221236"/>
    <x v="10"/>
    <n v="0"/>
    <n v="0"/>
    <m/>
    <m/>
    <m/>
    <m/>
    <m/>
    <m/>
    <m/>
    <m/>
    <m/>
    <m/>
    <m/>
    <m/>
    <n v="0"/>
    <n v="0"/>
    <m/>
    <m/>
    <m/>
    <m/>
    <m/>
    <m/>
    <m/>
    <m/>
    <m/>
    <m/>
    <m/>
    <m/>
  </r>
  <r>
    <x v="12"/>
    <s v="Tennessee Technology Center at Oneida"/>
    <m/>
    <n v="221582"/>
    <x v="10"/>
    <n v="0"/>
    <n v="0"/>
    <m/>
    <m/>
    <m/>
    <m/>
    <m/>
    <m/>
    <m/>
    <m/>
    <m/>
    <m/>
    <m/>
    <m/>
    <n v="0"/>
    <n v="0"/>
    <m/>
    <m/>
    <m/>
    <m/>
    <m/>
    <m/>
    <m/>
    <m/>
    <m/>
    <m/>
    <m/>
    <m/>
  </r>
  <r>
    <x v="12"/>
    <s v="Tennessee Technology Center at Paris"/>
    <m/>
    <n v="221281"/>
    <x v="10"/>
    <n v="0"/>
    <n v="0"/>
    <m/>
    <m/>
    <m/>
    <m/>
    <m/>
    <m/>
    <m/>
    <m/>
    <m/>
    <m/>
    <m/>
    <m/>
    <n v="0"/>
    <n v="0"/>
    <m/>
    <m/>
    <m/>
    <m/>
    <m/>
    <m/>
    <m/>
    <m/>
    <m/>
    <m/>
    <m/>
    <m/>
  </r>
  <r>
    <x v="12"/>
    <s v="Tennessee Technology Center at Pulaski"/>
    <m/>
    <n v="221333"/>
    <x v="10"/>
    <n v="0"/>
    <n v="0"/>
    <m/>
    <m/>
    <m/>
    <m/>
    <m/>
    <m/>
    <m/>
    <m/>
    <m/>
    <m/>
    <m/>
    <m/>
    <n v="0"/>
    <n v="0"/>
    <m/>
    <m/>
    <m/>
    <m/>
    <m/>
    <m/>
    <m/>
    <m/>
    <m/>
    <m/>
    <m/>
    <m/>
  </r>
  <r>
    <x v="12"/>
    <s v="Tennessee Technology Center at Ripley"/>
    <m/>
    <n v="221388"/>
    <x v="10"/>
    <n v="0"/>
    <n v="0"/>
    <m/>
    <m/>
    <m/>
    <m/>
    <m/>
    <m/>
    <m/>
    <m/>
    <m/>
    <m/>
    <m/>
    <m/>
    <n v="0"/>
    <n v="0"/>
    <m/>
    <m/>
    <m/>
    <m/>
    <m/>
    <m/>
    <m/>
    <m/>
    <m/>
    <m/>
    <m/>
    <m/>
  </r>
  <r>
    <x v="12"/>
    <s v="Tennessee Technology Center at Shelbyville"/>
    <m/>
    <n v="221494"/>
    <x v="10"/>
    <n v="0"/>
    <n v="0"/>
    <m/>
    <m/>
    <m/>
    <m/>
    <m/>
    <m/>
    <m/>
    <m/>
    <m/>
    <m/>
    <m/>
    <m/>
    <n v="0"/>
    <n v="0"/>
    <m/>
    <m/>
    <m/>
    <m/>
    <m/>
    <m/>
    <m/>
    <m/>
    <m/>
    <m/>
    <m/>
    <m/>
  </r>
  <r>
    <x v="12"/>
    <s v="Tennessee Technology Center at Whiteville"/>
    <m/>
    <n v="221634"/>
    <x v="10"/>
    <n v="0"/>
    <n v="0"/>
    <m/>
    <m/>
    <m/>
    <m/>
    <m/>
    <m/>
    <m/>
    <m/>
    <m/>
    <m/>
    <m/>
    <m/>
    <n v="0"/>
    <n v="0"/>
    <m/>
    <m/>
    <m/>
    <m/>
    <m/>
    <m/>
    <m/>
    <m/>
    <m/>
    <m/>
    <m/>
    <m/>
  </r>
  <r>
    <x v="13"/>
    <s v="Texas A &amp; M University "/>
    <m/>
    <n v="228723"/>
    <x v="0"/>
    <n v="1063598"/>
    <n v="1078649"/>
    <n v="1015216"/>
    <n v="1025835"/>
    <n v="6032"/>
    <n v="5542"/>
    <n v="37071"/>
    <n v="20"/>
    <n v="5259"/>
    <n v="38262"/>
    <n v="6"/>
    <n v="9004"/>
    <m/>
    <m/>
    <n v="177489"/>
    <n v="176496"/>
    <n v="156968"/>
    <n v="155812"/>
    <n v="2970"/>
    <n v="3130"/>
    <n v="12682"/>
    <n v="254"/>
    <n v="4615"/>
    <n v="13443"/>
    <n v="90"/>
    <n v="4021"/>
    <m/>
    <m/>
  </r>
  <r>
    <x v="13"/>
    <s v="Texas Tech University "/>
    <m/>
    <n v="229115"/>
    <x v="0"/>
    <n v="689132"/>
    <n v="703553"/>
    <n v="660748"/>
    <n v="661186"/>
    <n v="7960"/>
    <n v="7078"/>
    <n v="20409"/>
    <n v="0"/>
    <n v="15"/>
    <n v="35289"/>
    <n v="0"/>
    <n v="0"/>
    <m/>
    <m/>
    <n v="118242"/>
    <n v="120413"/>
    <n v="100163"/>
    <n v="101055"/>
    <n v="2011"/>
    <n v="895"/>
    <n v="16033"/>
    <n v="0"/>
    <n v="35"/>
    <n v="18460"/>
    <n v="3"/>
    <n v="0"/>
    <m/>
    <m/>
  </r>
  <r>
    <x v="13"/>
    <s v="University of Houston"/>
    <m/>
    <n v="225511"/>
    <x v="0"/>
    <n v="741538"/>
    <n v="772875"/>
    <n v="599157"/>
    <n v="618211"/>
    <n v="4531"/>
    <n v="5414"/>
    <n v="116691"/>
    <n v="162"/>
    <n v="20997"/>
    <n v="149187"/>
    <n v="63"/>
    <n v="0"/>
    <m/>
    <m/>
    <n v="179542"/>
    <n v="179826"/>
    <n v="167445"/>
    <n v="166963"/>
    <n v="2727"/>
    <n v="2502"/>
    <n v="8511"/>
    <n v="69"/>
    <n v="790"/>
    <n v="10328"/>
    <n v="33"/>
    <n v="0"/>
    <m/>
    <m/>
  </r>
  <r>
    <x v="13"/>
    <s v="University of North Texas"/>
    <m/>
    <n v="227216"/>
    <x v="0"/>
    <n v="745337"/>
    <n v="749078"/>
    <n v="667691"/>
    <n v="667307"/>
    <n v="3640"/>
    <n v="2708"/>
    <n v="73940"/>
    <n v="12"/>
    <n v="54"/>
    <n v="78991"/>
    <n v="21"/>
    <n v="51"/>
    <m/>
    <m/>
    <n v="111147"/>
    <n v="110081"/>
    <n v="73085"/>
    <n v="73532"/>
    <n v="2617"/>
    <n v="2649"/>
    <n v="35250"/>
    <n v="168"/>
    <n v="27"/>
    <n v="33750"/>
    <n v="150"/>
    <n v="0"/>
    <m/>
    <m/>
  </r>
  <r>
    <x v="13"/>
    <s v="University of Texas at Arlington"/>
    <m/>
    <n v="228769"/>
    <x v="0"/>
    <n v="576495"/>
    <n v="635226"/>
    <n v="484110"/>
    <n v="494907"/>
    <n v="2509"/>
    <n v="1206"/>
    <n v="86162"/>
    <n v="273"/>
    <n v="3441"/>
    <n v="136397"/>
    <n v="0"/>
    <n v="2716"/>
    <m/>
    <m/>
    <n v="123024"/>
    <n v="141161"/>
    <n v="85072"/>
    <n v="84194"/>
    <n v="12060"/>
    <n v="13086"/>
    <n v="25089"/>
    <n v="108"/>
    <n v="695"/>
    <n v="43141"/>
    <n v="6"/>
    <n v="734"/>
    <m/>
    <m/>
  </r>
  <r>
    <x v="13"/>
    <s v="University of Texas at Austin"/>
    <m/>
    <n v="228778"/>
    <x v="0"/>
    <n v="1037705"/>
    <n v="1044081"/>
    <n v="1032585"/>
    <n v="1038847"/>
    <n v="5120"/>
    <n v="5234"/>
    <n v="0"/>
    <n v="0"/>
    <n v="0"/>
    <n v="0"/>
    <n v="0"/>
    <n v="0"/>
    <m/>
    <m/>
    <n v="268580"/>
    <n v="268775"/>
    <n v="268094"/>
    <n v="268587"/>
    <n v="486"/>
    <n v="188"/>
    <n v="0"/>
    <n v="0"/>
    <n v="0"/>
    <n v="0"/>
    <n v="0"/>
    <n v="0"/>
    <m/>
    <m/>
  </r>
  <r>
    <x v="13"/>
    <s v="University of Texas at Dallas"/>
    <m/>
    <n v="228787"/>
    <x v="0"/>
    <n v="268230"/>
    <n v="293125"/>
    <n v="261382"/>
    <n v="279940"/>
    <n v="1221"/>
    <n v="1613"/>
    <n v="5606"/>
    <n v="21"/>
    <n v="0"/>
    <n v="11569"/>
    <n v="3"/>
    <n v="0"/>
    <m/>
    <m/>
    <n v="114444"/>
    <n v="120080"/>
    <n v="99432"/>
    <n v="105652"/>
    <n v="468"/>
    <n v="90"/>
    <n v="14544"/>
    <n v="0"/>
    <n v="0"/>
    <n v="14338"/>
    <n v="0"/>
    <n v="0"/>
    <m/>
    <m/>
  </r>
  <r>
    <x v="13"/>
    <s v="Texas Woman's University"/>
    <s v="Met the criteria for Four-Year 1 in 2010-11 and 2011-12."/>
    <n v="229179"/>
    <x v="1"/>
    <n v="207868"/>
    <n v="221575"/>
    <n v="154155"/>
    <n v="163845"/>
    <n v="2978"/>
    <n v="2569"/>
    <n v="50615"/>
    <n v="60"/>
    <n v="60"/>
    <n v="55101"/>
    <n v="0"/>
    <n v="60"/>
    <m/>
    <m/>
    <n v="99837"/>
    <n v="101023"/>
    <n v="48747"/>
    <n v="50672"/>
    <n v="1944"/>
    <n v="549"/>
    <n v="48680"/>
    <n v="466"/>
    <n v="0"/>
    <n v="49414"/>
    <n v="388"/>
    <n v="0"/>
    <m/>
    <m/>
  </r>
  <r>
    <x v="13"/>
    <s v="University of Texas at El Paso"/>
    <m/>
    <n v="228796"/>
    <x v="1"/>
    <n v="435923"/>
    <n v="458406"/>
    <n v="409500"/>
    <n v="411558"/>
    <n v="5130"/>
    <n v="5619"/>
    <n v="21293"/>
    <n v="0"/>
    <n v="0"/>
    <n v="41229"/>
    <n v="0"/>
    <n v="0"/>
    <m/>
    <m/>
    <n v="60139"/>
    <n v="60922"/>
    <n v="45393"/>
    <n v="41754"/>
    <n v="3106"/>
    <n v="4181"/>
    <n v="11640"/>
    <n v="0"/>
    <n v="0"/>
    <n v="14987"/>
    <n v="0"/>
    <n v="0"/>
    <m/>
    <m/>
  </r>
  <r>
    <x v="13"/>
    <s v="University of Texas at San Antonio"/>
    <m/>
    <n v="229027"/>
    <x v="1"/>
    <n v="631779"/>
    <n v="652638"/>
    <n v="612260"/>
    <n v="625696"/>
    <n v="2580"/>
    <n v="1740"/>
    <n v="11230"/>
    <n v="5709"/>
    <n v="0"/>
    <n v="19223"/>
    <n v="5979"/>
    <n v="0"/>
    <m/>
    <m/>
    <n v="63158"/>
    <n v="69896"/>
    <n v="61073"/>
    <n v="65474"/>
    <n v="720"/>
    <n v="825"/>
    <n v="1212"/>
    <n v="153"/>
    <n v="0"/>
    <n v="3495"/>
    <n v="102"/>
    <n v="0"/>
    <m/>
    <m/>
  </r>
  <r>
    <x v="13"/>
    <s v="Angelo State University"/>
    <m/>
    <n v="222831"/>
    <x v="2"/>
    <n v="150284"/>
    <n v="152059"/>
    <n v="139059"/>
    <n v="137821"/>
    <n v="0"/>
    <n v="0"/>
    <n v="11225"/>
    <n v="0"/>
    <n v="0"/>
    <n v="14238"/>
    <n v="0"/>
    <n v="0"/>
    <m/>
    <m/>
    <n v="11853"/>
    <n v="14688"/>
    <n v="5210"/>
    <n v="5944"/>
    <n v="0"/>
    <n v="0"/>
    <n v="6643"/>
    <n v="0"/>
    <n v="0"/>
    <n v="8744"/>
    <n v="0"/>
    <n v="0"/>
    <m/>
    <m/>
  </r>
  <r>
    <x v="13"/>
    <s v="Lamar University"/>
    <m/>
    <n v="226091"/>
    <x v="2"/>
    <n v="232181"/>
    <n v="239775"/>
    <n v="197967"/>
    <n v="197132"/>
    <n v="4041"/>
    <n v="4174"/>
    <n v="27213"/>
    <n v="2669"/>
    <n v="291"/>
    <n v="37026"/>
    <n v="1443"/>
    <n v="0"/>
    <m/>
    <m/>
    <n v="98151"/>
    <n v="78787"/>
    <n v="22898"/>
    <n v="21774"/>
    <n v="0"/>
    <n v="0"/>
    <n v="28495"/>
    <n v="330"/>
    <n v="46428"/>
    <n v="57013"/>
    <n v="0"/>
    <n v="0"/>
    <m/>
    <m/>
  </r>
  <r>
    <x v="13"/>
    <s v="Midwestern State University"/>
    <m/>
    <n v="226833"/>
    <x v="2"/>
    <n v="141792"/>
    <n v="138852"/>
    <n v="123522"/>
    <n v="119912"/>
    <n v="2623"/>
    <n v="1433"/>
    <n v="15647"/>
    <n v="0"/>
    <n v="0"/>
    <n v="17507"/>
    <n v="0"/>
    <n v="0"/>
    <m/>
    <m/>
    <n v="8356"/>
    <n v="8449"/>
    <n v="5894"/>
    <n v="5017"/>
    <n v="108"/>
    <n v="45"/>
    <n v="2312"/>
    <n v="42"/>
    <n v="0"/>
    <n v="3366"/>
    <n v="21"/>
    <n v="0"/>
    <m/>
    <m/>
  </r>
  <r>
    <x v="13"/>
    <s v="Prairie View A &amp; M University"/>
    <m/>
    <n v="227526"/>
    <x v="2"/>
    <n v="182890"/>
    <n v="180915"/>
    <n v="176738"/>
    <n v="179475"/>
    <n v="5360"/>
    <n v="12"/>
    <n v="792"/>
    <n v="0"/>
    <n v="0"/>
    <n v="1428"/>
    <n v="0"/>
    <n v="0"/>
    <m/>
    <m/>
    <n v="32482"/>
    <n v="28054"/>
    <n v="26648"/>
    <n v="20806"/>
    <n v="2042"/>
    <n v="2877"/>
    <n v="3792"/>
    <n v="0"/>
    <n v="0"/>
    <n v="4371"/>
    <n v="0"/>
    <n v="0"/>
    <m/>
    <m/>
  </r>
  <r>
    <x v="13"/>
    <s v="Sam Houston State University "/>
    <m/>
    <n v="227881"/>
    <x v="2"/>
    <n v="401035"/>
    <n v="403910"/>
    <n v="365223"/>
    <n v="360327"/>
    <n v="20939"/>
    <n v="11983"/>
    <n v="14873"/>
    <n v="0"/>
    <n v="0"/>
    <n v="31600"/>
    <n v="0"/>
    <n v="0"/>
    <m/>
    <m/>
    <n v="41725"/>
    <n v="43473"/>
    <n v="16059"/>
    <n v="17604"/>
    <n v="7237"/>
    <n v="2529"/>
    <n v="18357"/>
    <n v="72"/>
    <n v="0"/>
    <n v="23139"/>
    <n v="171"/>
    <n v="30"/>
    <m/>
    <m/>
  </r>
  <r>
    <x v="13"/>
    <s v="Stephen F. Austin State University"/>
    <m/>
    <n v="228431"/>
    <x v="2"/>
    <n v="304689"/>
    <n v="302536"/>
    <n v="265392"/>
    <n v="260416"/>
    <n v="3705"/>
    <n v="1054"/>
    <n v="32900"/>
    <n v="249"/>
    <n v="2443"/>
    <n v="36107"/>
    <n v="201"/>
    <n v="4758"/>
    <m/>
    <m/>
    <n v="27713"/>
    <n v="24250"/>
    <n v="16426"/>
    <n v="14908"/>
    <n v="1248"/>
    <n v="531"/>
    <n v="9395"/>
    <n v="217"/>
    <n v="427"/>
    <n v="7681"/>
    <n v="217"/>
    <n v="913"/>
    <m/>
    <m/>
  </r>
  <r>
    <x v="13"/>
    <s v="Sul Ross State University "/>
    <m/>
    <n v="228501"/>
    <x v="2"/>
    <n v="36926"/>
    <n v="37837"/>
    <n v="32570"/>
    <n v="32459"/>
    <n v="53"/>
    <n v="3"/>
    <n v="3438"/>
    <n v="865"/>
    <n v="0"/>
    <n v="4587"/>
    <n v="788"/>
    <n v="0"/>
    <m/>
    <m/>
    <n v="9264"/>
    <n v="8987"/>
    <n v="3889"/>
    <n v="3227"/>
    <n v="572"/>
    <n v="219"/>
    <n v="4155"/>
    <n v="648"/>
    <n v="0"/>
    <n v="5112"/>
    <n v="429"/>
    <n v="0"/>
    <m/>
    <m/>
  </r>
  <r>
    <x v="13"/>
    <s v="Tarleton State University"/>
    <m/>
    <n v="228529"/>
    <x v="2"/>
    <n v="196208"/>
    <n v="211207"/>
    <n v="156242"/>
    <n v="161134"/>
    <n v="15185"/>
    <n v="17911"/>
    <n v="24091"/>
    <n v="690"/>
    <n v="0"/>
    <n v="31670"/>
    <n v="492"/>
    <n v="0"/>
    <m/>
    <m/>
    <n v="21239"/>
    <n v="22440"/>
    <n v="5253"/>
    <n v="5089"/>
    <n v="8113"/>
    <n v="7802"/>
    <n v="7765"/>
    <n v="108"/>
    <n v="0"/>
    <n v="9529"/>
    <n v="20"/>
    <n v="0"/>
    <m/>
    <m/>
  </r>
  <r>
    <x v="13"/>
    <s v="Texas A &amp; M International University"/>
    <m/>
    <n v="226152"/>
    <x v="2"/>
    <n v="133036"/>
    <n v="140861"/>
    <n v="126419"/>
    <n v="132551"/>
    <n v="0"/>
    <n v="2516"/>
    <n v="6617"/>
    <n v="0"/>
    <n v="0"/>
    <n v="5716"/>
    <n v="78"/>
    <n v="0"/>
    <m/>
    <m/>
    <n v="14220"/>
    <n v="12661"/>
    <n v="10989"/>
    <n v="9547"/>
    <n v="0"/>
    <n v="18"/>
    <n v="3060"/>
    <n v="171"/>
    <n v="0"/>
    <n v="3009"/>
    <n v="87"/>
    <n v="0"/>
    <m/>
    <m/>
  </r>
  <r>
    <x v="13"/>
    <s v="Texas A &amp; M University - Commerce"/>
    <m/>
    <n v="224554"/>
    <x v="2"/>
    <n v="149128"/>
    <n v="164243"/>
    <n v="98196"/>
    <n v="103847"/>
    <n v="14970"/>
    <n v="16428"/>
    <n v="35659"/>
    <n v="303"/>
    <n v="0"/>
    <n v="43545"/>
    <n v="423"/>
    <n v="0"/>
    <m/>
    <m/>
    <n v="64200"/>
    <n v="70252"/>
    <n v="17488"/>
    <n v="18731"/>
    <n v="16093"/>
    <n v="15180"/>
    <n v="30190"/>
    <n v="429"/>
    <n v="0"/>
    <n v="35921"/>
    <n v="420"/>
    <n v="0"/>
    <m/>
    <m/>
  </r>
  <r>
    <x v="13"/>
    <s v="Texas A &amp; M University-Corpus Christi "/>
    <m/>
    <n v="224147"/>
    <x v="2"/>
    <n v="210868"/>
    <n v="219390"/>
    <n v="203818"/>
    <n v="211253"/>
    <n v="0"/>
    <n v="0"/>
    <n v="7050"/>
    <n v="0"/>
    <n v="0"/>
    <n v="8137"/>
    <n v="0"/>
    <n v="0"/>
    <m/>
    <m/>
    <n v="31031"/>
    <n v="30694"/>
    <n v="24486"/>
    <n v="23586"/>
    <n v="0"/>
    <n v="0"/>
    <n v="6545"/>
    <n v="0"/>
    <n v="0"/>
    <n v="7108"/>
    <n v="0"/>
    <n v="0"/>
    <m/>
    <m/>
  </r>
  <r>
    <x v="13"/>
    <s v="Texas A &amp; M University-Kingsville"/>
    <m/>
    <n v="228705"/>
    <x v="2"/>
    <n v="131247"/>
    <n v="140055"/>
    <n v="127316"/>
    <n v="134040"/>
    <n v="947"/>
    <n v="1101"/>
    <n v="2640"/>
    <n v="344"/>
    <n v="0"/>
    <n v="4608"/>
    <n v="306"/>
    <n v="0"/>
    <m/>
    <m/>
    <n v="21491"/>
    <n v="21495"/>
    <n v="16976"/>
    <n v="17613"/>
    <n v="0"/>
    <n v="12"/>
    <n v="4416"/>
    <n v="99"/>
    <n v="0"/>
    <n v="3708"/>
    <n v="162"/>
    <n v="0"/>
    <m/>
    <m/>
  </r>
  <r>
    <x v="13"/>
    <s v="Texas Southern University "/>
    <m/>
    <n v="229063"/>
    <x v="2"/>
    <n v="188315"/>
    <n v="181105"/>
    <n v="184649"/>
    <n v="177441"/>
    <n v="90"/>
    <n v="88"/>
    <n v="1227"/>
    <n v="0"/>
    <n v="2349"/>
    <n v="0"/>
    <n v="0"/>
    <n v="3576"/>
    <m/>
    <m/>
    <n v="53606"/>
    <n v="59197"/>
    <n v="48809"/>
    <n v="51346"/>
    <n v="369"/>
    <n v="360"/>
    <n v="2619"/>
    <n v="0"/>
    <n v="1809"/>
    <n v="0"/>
    <n v="0"/>
    <n v="7491"/>
    <m/>
    <m/>
  </r>
  <r>
    <x v="13"/>
    <s v="Texas State University - San Marcos "/>
    <m/>
    <n v="228459"/>
    <x v="2"/>
    <n v="711892"/>
    <n v="748416"/>
    <n v="672208"/>
    <n v="702029"/>
    <n v="28613"/>
    <n v="31364"/>
    <n v="10578"/>
    <n v="217"/>
    <n v="276"/>
    <n v="14486"/>
    <n v="156"/>
    <n v="381"/>
    <m/>
    <m/>
    <n v="78046"/>
    <n v="79610"/>
    <n v="60760"/>
    <n v="61890"/>
    <n v="10625"/>
    <n v="10394"/>
    <n v="6040"/>
    <n v="573"/>
    <n v="48"/>
    <n v="6648"/>
    <n v="603"/>
    <n v="75"/>
    <m/>
    <m/>
  </r>
  <r>
    <x v="13"/>
    <s v="University of Houston-Clear Lake "/>
    <m/>
    <n v="225414"/>
    <x v="2"/>
    <n v="103500"/>
    <n v="106310"/>
    <n v="80826"/>
    <n v="76747"/>
    <n v="6642"/>
    <n v="8657"/>
    <n v="16032"/>
    <n v="0"/>
    <n v="0"/>
    <n v="20906"/>
    <n v="0"/>
    <n v="0"/>
    <m/>
    <m/>
    <n v="53447"/>
    <n v="53804"/>
    <n v="33248"/>
    <n v="32520"/>
    <n v="6044"/>
    <n v="6250"/>
    <n v="14155"/>
    <n v="0"/>
    <n v="0"/>
    <n v="15034"/>
    <n v="0"/>
    <n v="0"/>
    <m/>
    <m/>
  </r>
  <r>
    <x v="13"/>
    <s v="University of Texas at Brownsville"/>
    <m/>
    <n v="227377"/>
    <x v="2"/>
    <n v="96681"/>
    <n v="102704"/>
    <n v="80727"/>
    <n v="84689"/>
    <n v="0"/>
    <n v="0"/>
    <n v="15954"/>
    <n v="0"/>
    <n v="0"/>
    <n v="18015"/>
    <n v="0"/>
    <n v="0"/>
    <m/>
    <m/>
    <n v="12357"/>
    <n v="13683"/>
    <n v="9949"/>
    <n v="9867"/>
    <n v="0"/>
    <n v="0"/>
    <n v="2408"/>
    <n v="0"/>
    <n v="0"/>
    <n v="3816"/>
    <n v="0"/>
    <n v="0"/>
    <m/>
    <m/>
  </r>
  <r>
    <x v="13"/>
    <s v="University of Texas at Tyler"/>
    <m/>
    <n v="228802"/>
    <x v="2"/>
    <n v="125035"/>
    <n v="126526"/>
    <n v="112529"/>
    <n v="104995"/>
    <n v="1643"/>
    <n v="1294"/>
    <n v="5936"/>
    <n v="4927"/>
    <n v="0"/>
    <n v="15001"/>
    <n v="5233"/>
    <n v="3"/>
    <m/>
    <m/>
    <n v="19100"/>
    <n v="23461"/>
    <n v="9974"/>
    <n v="9199"/>
    <n v="84"/>
    <n v="36"/>
    <n v="8679"/>
    <n v="363"/>
    <n v="0"/>
    <n v="14070"/>
    <n v="126"/>
    <n v="30"/>
    <m/>
    <m/>
  </r>
  <r>
    <x v="13"/>
    <s v="University of Texas of the Permian Basin"/>
    <s v="Reclassified: Met the criteria for Four-Year 3 in 2009-10, 2010-11 and 2011-12."/>
    <n v="229018"/>
    <x v="2"/>
    <n v="74012"/>
    <n v="76144"/>
    <n v="59299"/>
    <n v="58219"/>
    <n v="622"/>
    <n v="4"/>
    <n v="14079"/>
    <n v="12"/>
    <n v="0"/>
    <n v="17918"/>
    <n v="3"/>
    <n v="0"/>
    <m/>
    <m/>
    <n v="10029"/>
    <n v="8911"/>
    <n v="5712"/>
    <n v="4825"/>
    <n v="33"/>
    <n v="0"/>
    <n v="4284"/>
    <n v="0"/>
    <n v="0"/>
    <n v="4086"/>
    <n v="0"/>
    <n v="0"/>
    <m/>
    <m/>
  </r>
  <r>
    <x v="13"/>
    <s v="University of Texas-Pan American"/>
    <m/>
    <n v="227368"/>
    <x v="2"/>
    <n v="432823"/>
    <n v="434759"/>
    <n v="402907"/>
    <n v="394909"/>
    <n v="3261"/>
    <n v="1473"/>
    <n v="26085"/>
    <n v="570"/>
    <n v="0"/>
    <n v="38107"/>
    <n v="270"/>
    <n v="0"/>
    <m/>
    <m/>
    <n v="43229"/>
    <n v="42868"/>
    <n v="37173"/>
    <n v="32660"/>
    <n v="2703"/>
    <n v="2172"/>
    <n v="3353"/>
    <n v="0"/>
    <n v="0"/>
    <n v="7901"/>
    <n v="135"/>
    <n v="0"/>
    <m/>
    <m/>
  </r>
  <r>
    <x v="13"/>
    <s v="West Texas A &amp; M University"/>
    <m/>
    <n v="229814"/>
    <x v="2"/>
    <n v="167750"/>
    <n v="172603"/>
    <n v="135758"/>
    <n v="138298"/>
    <n v="87"/>
    <n v="42"/>
    <n v="31905"/>
    <n v="0"/>
    <n v="0"/>
    <n v="34194"/>
    <n v="0"/>
    <n v="69"/>
    <m/>
    <m/>
    <n v="20269"/>
    <n v="20098"/>
    <n v="9853"/>
    <n v="10145"/>
    <n v="252"/>
    <n v="267"/>
    <n v="10164"/>
    <n v="0"/>
    <n v="0"/>
    <n v="9677"/>
    <n v="0"/>
    <n v="9"/>
    <m/>
    <m/>
  </r>
  <r>
    <x v="13"/>
    <s v="Texas A &amp; M -Texarkana"/>
    <m/>
    <n v="224545"/>
    <x v="3"/>
    <n v="27281"/>
    <n v="32905"/>
    <n v="16265"/>
    <n v="25481"/>
    <n v="4086"/>
    <n v="2125"/>
    <n v="6324"/>
    <n v="606"/>
    <n v="0"/>
    <n v="5167"/>
    <n v="132"/>
    <n v="0"/>
    <m/>
    <m/>
    <n v="9721"/>
    <n v="7605"/>
    <n v="5089"/>
    <n v="4890"/>
    <n v="1590"/>
    <n v="513"/>
    <n v="3042"/>
    <n v="0"/>
    <n v="0"/>
    <n v="2202"/>
    <n v="0"/>
    <n v="0"/>
    <m/>
    <m/>
  </r>
  <r>
    <x v="13"/>
    <s v="University of Houston-Victoria"/>
    <m/>
    <n v="225502"/>
    <x v="3"/>
    <n v="49683"/>
    <n v="58096"/>
    <n v="6829"/>
    <n v="10405"/>
    <n v="7859"/>
    <n v="8919"/>
    <n v="30849"/>
    <n v="1379"/>
    <n v="2767"/>
    <n v="34998"/>
    <n v="3774"/>
    <n v="0"/>
    <m/>
    <m/>
    <n v="27186"/>
    <n v="27234"/>
    <n v="981"/>
    <n v="771"/>
    <n v="5853"/>
    <n v="4866"/>
    <n v="18906"/>
    <n v="789"/>
    <n v="657"/>
    <n v="20265"/>
    <n v="1332"/>
    <n v="0"/>
    <m/>
    <m/>
  </r>
  <r>
    <x v="13"/>
    <s v="Sul Ross State University-Rio Grande College"/>
    <m/>
    <s v="228501B"/>
    <x v="4"/>
    <n v="17595"/>
    <n v="16859"/>
    <n v="8539"/>
    <n v="6932"/>
    <n v="0"/>
    <n v="0"/>
    <n v="4253"/>
    <n v="4803"/>
    <n v="0"/>
    <n v="5200"/>
    <n v="4727"/>
    <n v="0"/>
    <m/>
    <m/>
    <n v="3612"/>
    <n v="3276"/>
    <n v="2052"/>
    <n v="2025"/>
    <n v="0"/>
    <n v="0"/>
    <n v="1161"/>
    <n v="399"/>
    <n v="0"/>
    <n v="969"/>
    <n v="282"/>
    <n v="0"/>
    <m/>
    <m/>
  </r>
  <r>
    <x v="13"/>
    <s v="University of Houston-Downtown"/>
    <m/>
    <n v="225432"/>
    <x v="4"/>
    <n v="264140"/>
    <n v="268037"/>
    <n v="211159"/>
    <n v="191758"/>
    <n v="12808"/>
    <n v="11562"/>
    <n v="39399"/>
    <n v="774"/>
    <n v="0"/>
    <n v="64682"/>
    <n v="35"/>
    <n v="0"/>
    <m/>
    <m/>
    <n v="2013"/>
    <n v="2169"/>
    <n v="1911"/>
    <n v="1464"/>
    <n v="30"/>
    <n v="36"/>
    <n v="72"/>
    <n v="0"/>
    <n v="0"/>
    <n v="669"/>
    <n v="0"/>
    <n v="0"/>
    <m/>
    <m/>
  </r>
  <r>
    <x v="13"/>
    <s v="Texas A &amp; M University at Galveston"/>
    <m/>
    <n v="228714"/>
    <x v="5"/>
    <n v="49475"/>
    <n v="54166"/>
    <n v="49475"/>
    <n v="54166"/>
    <n v="0"/>
    <n v="0"/>
    <m/>
    <n v="0"/>
    <n v="0"/>
    <n v="0"/>
    <n v="0"/>
    <n v="0"/>
    <m/>
    <m/>
    <n v="996"/>
    <n v="1211"/>
    <n v="921"/>
    <n v="1114"/>
    <n v="12"/>
    <n v="0"/>
    <n v="42"/>
    <n v="0"/>
    <n v="21"/>
    <n v="97"/>
    <n v="0"/>
    <n v="0"/>
    <m/>
    <m/>
  </r>
  <r>
    <x v="13"/>
    <s v="Brazosport College "/>
    <m/>
    <n v="223506"/>
    <x v="11"/>
    <n v="78728"/>
    <n v="81798"/>
    <n v="62683"/>
    <n v="62991"/>
    <n v="4942"/>
    <n v="5424"/>
    <n v="11103"/>
    <n v="0"/>
    <n v="0"/>
    <n v="13383"/>
    <n v="0"/>
    <n v="0"/>
    <m/>
    <m/>
    <n v="0"/>
    <n v="0"/>
    <m/>
    <m/>
    <m/>
    <m/>
    <m/>
    <m/>
    <m/>
    <m/>
    <m/>
    <m/>
    <m/>
    <m/>
  </r>
  <r>
    <x v="13"/>
    <s v="Midland College "/>
    <m/>
    <n v="226806"/>
    <x v="11"/>
    <n v="125438"/>
    <n v="123616"/>
    <n v="81111"/>
    <n v="75043"/>
    <n v="2678"/>
    <n v="2884"/>
    <n v="40355"/>
    <n v="1294"/>
    <n v="0"/>
    <n v="44600"/>
    <n v="1089"/>
    <n v="0"/>
    <m/>
    <m/>
    <n v="0"/>
    <n v="0"/>
    <m/>
    <m/>
    <m/>
    <m/>
    <m/>
    <m/>
    <m/>
    <m/>
    <m/>
    <m/>
    <m/>
    <m/>
  </r>
  <r>
    <x v="13"/>
    <s v="South Texas College"/>
    <m/>
    <n v="409315"/>
    <x v="11"/>
    <n v="543940"/>
    <n v="562427"/>
    <n v="467854"/>
    <n v="473169"/>
    <n v="0"/>
    <n v="0"/>
    <n v="75897"/>
    <n v="0"/>
    <n v="189"/>
    <n v="89183"/>
    <n v="0"/>
    <n v="75"/>
    <m/>
    <m/>
    <n v="0"/>
    <n v="0"/>
    <m/>
    <m/>
    <m/>
    <m/>
    <m/>
    <m/>
    <m/>
    <m/>
    <m/>
    <m/>
    <m/>
    <m/>
  </r>
  <r>
    <x v="13"/>
    <s v="Amarillo College "/>
    <m/>
    <n v="222576"/>
    <x v="6"/>
    <n v="213375"/>
    <n v="211780"/>
    <n v="145744"/>
    <n v="143649"/>
    <n v="7229"/>
    <n v="5704"/>
    <n v="51591"/>
    <n v="390"/>
    <n v="8421"/>
    <n v="56814"/>
    <n v="141"/>
    <n v="5472"/>
    <m/>
    <m/>
    <n v="0"/>
    <n v="0"/>
    <m/>
    <m/>
    <m/>
    <m/>
    <m/>
    <m/>
    <m/>
    <m/>
    <m/>
    <m/>
    <m/>
    <m/>
  </r>
  <r>
    <x v="13"/>
    <s v="Austin Community College "/>
    <m/>
    <n v="222992"/>
    <x v="6"/>
    <n v="816462"/>
    <n v="835864"/>
    <n v="680276"/>
    <n v="781722"/>
    <n v="48752"/>
    <n v="44284"/>
    <n v="84116"/>
    <n v="0"/>
    <n v="3318"/>
    <n v="6567"/>
    <n v="0"/>
    <n v="3291"/>
    <m/>
    <m/>
    <n v="0"/>
    <n v="0"/>
    <m/>
    <m/>
    <m/>
    <m/>
    <m/>
    <m/>
    <m/>
    <m/>
    <m/>
    <m/>
    <m/>
    <m/>
  </r>
  <r>
    <x v="13"/>
    <s v="Blinn College "/>
    <m/>
    <n v="223427"/>
    <x v="6"/>
    <n v="389577"/>
    <n v="396118"/>
    <n v="59797"/>
    <n v="196698"/>
    <n v="273747"/>
    <n v="162216"/>
    <n v="56033"/>
    <n v="0"/>
    <n v="0"/>
    <n v="37204"/>
    <n v="0"/>
    <n v="0"/>
    <m/>
    <m/>
    <n v="0"/>
    <n v="0"/>
    <m/>
    <m/>
    <m/>
    <m/>
    <m/>
    <m/>
    <m/>
    <m/>
    <m/>
    <m/>
    <m/>
    <m/>
  </r>
  <r>
    <x v="13"/>
    <s v="Brookhaven College (DCCCD)"/>
    <m/>
    <n v="223524"/>
    <x v="6"/>
    <n v="216050"/>
    <n v="215235"/>
    <n v="161260"/>
    <n v="156792"/>
    <n v="0"/>
    <n v="0"/>
    <n v="54564"/>
    <n v="0"/>
    <n v="226"/>
    <n v="58254"/>
    <n v="0"/>
    <n v="189"/>
    <m/>
    <m/>
    <n v="0"/>
    <n v="0"/>
    <m/>
    <m/>
    <m/>
    <m/>
    <m/>
    <m/>
    <m/>
    <m/>
    <m/>
    <m/>
    <m/>
    <m/>
  </r>
  <r>
    <x v="13"/>
    <s v="Central Texas College "/>
    <m/>
    <n v="223816"/>
    <x v="6"/>
    <n v="311862"/>
    <n v="320494"/>
    <n v="114054"/>
    <n v="113758"/>
    <n v="71851"/>
    <n v="65167"/>
    <n v="121892"/>
    <n v="1117"/>
    <n v="2948"/>
    <n v="132464"/>
    <n v="900"/>
    <n v="8205"/>
    <m/>
    <m/>
    <n v="0"/>
    <n v="0"/>
    <m/>
    <m/>
    <m/>
    <m/>
    <m/>
    <m/>
    <m/>
    <m/>
    <m/>
    <m/>
    <m/>
    <m/>
  </r>
  <r>
    <x v="13"/>
    <s v="Collin County Community College District"/>
    <m/>
    <n v="247834"/>
    <x v="6"/>
    <n v="528290"/>
    <n v="537272"/>
    <n v="461806"/>
    <n v="463367"/>
    <n v="3666"/>
    <n v="8126"/>
    <n v="61619"/>
    <n v="0"/>
    <n v="1199"/>
    <n v="62020"/>
    <n v="0"/>
    <n v="3759"/>
    <m/>
    <m/>
    <n v="0"/>
    <n v="0"/>
    <m/>
    <m/>
    <m/>
    <m/>
    <m/>
    <m/>
    <m/>
    <m/>
    <m/>
    <m/>
    <m/>
    <m/>
  </r>
  <r>
    <x v="13"/>
    <s v="Del Mar College "/>
    <m/>
    <n v="224350"/>
    <x v="6"/>
    <n v="235688"/>
    <n v="230905"/>
    <n v="211095"/>
    <n v="206100"/>
    <n v="2151"/>
    <n v="4084"/>
    <n v="22442"/>
    <n v="0"/>
    <n v="0"/>
    <n v="20721"/>
    <n v="0"/>
    <n v="0"/>
    <m/>
    <m/>
    <n v="0"/>
    <n v="0"/>
    <m/>
    <m/>
    <m/>
    <m/>
    <m/>
    <m/>
    <m/>
    <m/>
    <m/>
    <m/>
    <m/>
    <m/>
  </r>
  <r>
    <x v="13"/>
    <s v="Eastfield College (DCCCD)"/>
    <m/>
    <n v="224572"/>
    <x v="6"/>
    <n v="224080"/>
    <n v="240809"/>
    <n v="171023"/>
    <n v="174704"/>
    <n v="0"/>
    <n v="0"/>
    <n v="52613"/>
    <n v="0"/>
    <n v="444"/>
    <n v="65714"/>
    <n v="0"/>
    <n v="391"/>
    <m/>
    <m/>
    <n v="0"/>
    <n v="0"/>
    <m/>
    <m/>
    <m/>
    <m/>
    <m/>
    <m/>
    <m/>
    <m/>
    <m/>
    <m/>
    <m/>
    <m/>
  </r>
  <r>
    <x v="13"/>
    <s v="El Centro College  (DCCCD)"/>
    <m/>
    <n v="224615"/>
    <x v="6"/>
    <n v="171269"/>
    <n v="189982"/>
    <n v="131698"/>
    <n v="143386"/>
    <n v="0"/>
    <n v="396"/>
    <n v="39280"/>
    <n v="0"/>
    <n v="291"/>
    <n v="45993"/>
    <n v="0"/>
    <n v="207"/>
    <m/>
    <m/>
    <n v="0"/>
    <n v="0"/>
    <m/>
    <m/>
    <m/>
    <m/>
    <m/>
    <m/>
    <m/>
    <m/>
    <m/>
    <m/>
    <m/>
    <m/>
  </r>
  <r>
    <x v="13"/>
    <s v="El Paso County Community College District"/>
    <m/>
    <n v="224642"/>
    <x v="6"/>
    <n v="562559"/>
    <n v="582326"/>
    <n v="519506"/>
    <n v="532206"/>
    <n v="0"/>
    <n v="756"/>
    <n v="39987"/>
    <n v="669"/>
    <n v="2397"/>
    <n v="47699"/>
    <n v="609"/>
    <n v="1056"/>
    <m/>
    <m/>
    <n v="0"/>
    <n v="0"/>
    <m/>
    <m/>
    <m/>
    <m/>
    <m/>
    <m/>
    <m/>
    <m/>
    <m/>
    <m/>
    <m/>
    <m/>
  </r>
  <r>
    <x v="13"/>
    <s v="Houston Community College"/>
    <m/>
    <n v="225423"/>
    <x v="6"/>
    <n v="1158629"/>
    <n v="1183888"/>
    <n v="730109"/>
    <n v="719731"/>
    <n v="208557"/>
    <n v="210567"/>
    <n v="219483"/>
    <n v="0"/>
    <n v="480"/>
    <n v="253166"/>
    <n v="0"/>
    <n v="424"/>
    <m/>
    <m/>
    <n v="0"/>
    <n v="0"/>
    <m/>
    <m/>
    <m/>
    <m/>
    <m/>
    <m/>
    <m/>
    <m/>
    <m/>
    <m/>
    <m/>
    <m/>
  </r>
  <r>
    <x v="13"/>
    <s v="Kilgore College "/>
    <s v="Reclassified: Met criteria for Two-Year 1 in 2009-10, 2010-11 and 2011-12."/>
    <n v="226019"/>
    <x v="6"/>
    <n v="146522"/>
    <n v="143080"/>
    <n v="91390"/>
    <n v="86688"/>
    <n v="35507"/>
    <n v="36858"/>
    <n v="18361"/>
    <n v="1264"/>
    <n v="0"/>
    <n v="19534"/>
    <n v="0"/>
    <n v="0"/>
    <m/>
    <m/>
    <n v="0"/>
    <n v="0"/>
    <m/>
    <m/>
    <m/>
    <m/>
    <m/>
    <m/>
    <m/>
    <m/>
    <m/>
    <m/>
    <m/>
    <m/>
  </r>
  <r>
    <x v="13"/>
    <s v="Laredo Community College "/>
    <m/>
    <n v="226134"/>
    <x v="6"/>
    <n v="190762"/>
    <n v="189535"/>
    <n v="164637"/>
    <n v="161229"/>
    <n v="0"/>
    <n v="1458"/>
    <n v="25981"/>
    <n v="144"/>
    <n v="0"/>
    <n v="26281"/>
    <n v="567"/>
    <n v="0"/>
    <m/>
    <m/>
    <n v="0"/>
    <n v="0"/>
    <m/>
    <m/>
    <m/>
    <m/>
    <m/>
    <m/>
    <m/>
    <m/>
    <m/>
    <m/>
    <m/>
    <m/>
  </r>
  <r>
    <x v="13"/>
    <s v="Lone Star College System District"/>
    <m/>
    <n v="227182"/>
    <x v="6"/>
    <n v="1101211"/>
    <n v="1153821"/>
    <n v="897457"/>
    <n v="887196"/>
    <n v="1849"/>
    <n v="27885"/>
    <n v="199783"/>
    <n v="0"/>
    <n v="2122"/>
    <n v="238655"/>
    <n v="0"/>
    <n v="85"/>
    <m/>
    <m/>
    <n v="0"/>
    <n v="0"/>
    <m/>
    <m/>
    <m/>
    <m/>
    <m/>
    <m/>
    <m/>
    <m/>
    <m/>
    <m/>
    <m/>
    <m/>
  </r>
  <r>
    <x v="13"/>
    <s v="McLennan Community College "/>
    <m/>
    <n v="226578"/>
    <x v="6"/>
    <n v="217294"/>
    <n v="225412"/>
    <n v="162240"/>
    <n v="165015"/>
    <n v="15"/>
    <n v="15"/>
    <n v="54387"/>
    <n v="652"/>
    <n v="0"/>
    <n v="59520"/>
    <n v="862"/>
    <n v="0"/>
    <m/>
    <m/>
    <n v="0"/>
    <n v="0"/>
    <m/>
    <m/>
    <m/>
    <m/>
    <m/>
    <m/>
    <m/>
    <m/>
    <m/>
    <m/>
    <m/>
    <m/>
  </r>
  <r>
    <x v="13"/>
    <s v="Navarro College "/>
    <m/>
    <n v="227146"/>
    <x v="6"/>
    <n v="233297"/>
    <n v="246587"/>
    <n v="77375"/>
    <n v="80758"/>
    <n v="90051"/>
    <n v="94975"/>
    <n v="61700"/>
    <n v="30"/>
    <n v="4141"/>
    <n v="67642"/>
    <n v="55"/>
    <n v="3157"/>
    <m/>
    <m/>
    <n v="0"/>
    <n v="0"/>
    <m/>
    <m/>
    <m/>
    <m/>
    <m/>
    <m/>
    <m/>
    <m/>
    <m/>
    <m/>
    <m/>
    <m/>
  </r>
  <r>
    <x v="13"/>
    <s v="North Central Texas Community College"/>
    <m/>
    <n v="224110"/>
    <x v="6"/>
    <n v="177108"/>
    <n v="185792"/>
    <n v="32443"/>
    <n v="31660"/>
    <n v="115132"/>
    <n v="128889"/>
    <n v="28266"/>
    <n v="219"/>
    <n v="1048"/>
    <n v="24256"/>
    <n v="21"/>
    <n v="966"/>
    <m/>
    <m/>
    <n v="0"/>
    <n v="0"/>
    <m/>
    <m/>
    <m/>
    <m/>
    <m/>
    <m/>
    <m/>
    <m/>
    <m/>
    <m/>
    <m/>
    <m/>
  </r>
  <r>
    <x v="13"/>
    <s v="North Lake College (DCCCD)"/>
    <m/>
    <n v="227191"/>
    <x v="6"/>
    <n v="205951"/>
    <n v="200661"/>
    <n v="154828"/>
    <n v="145362"/>
    <n v="3514"/>
    <n v="1827"/>
    <n v="47477"/>
    <n v="0"/>
    <n v="132"/>
    <n v="53364"/>
    <n v="0"/>
    <n v="108"/>
    <m/>
    <m/>
    <n v="0"/>
    <n v="0"/>
    <m/>
    <m/>
    <m/>
    <m/>
    <m/>
    <m/>
    <m/>
    <m/>
    <m/>
    <m/>
    <m/>
    <m/>
  </r>
  <r>
    <x v="13"/>
    <s v="Northwest Vista College (ACCD)"/>
    <m/>
    <n v="420398"/>
    <x v="6"/>
    <n v="295874"/>
    <n v="295974"/>
    <n v="267567"/>
    <n v="254345"/>
    <n v="0"/>
    <n v="11515"/>
    <n v="26262"/>
    <n v="0"/>
    <n v="2045"/>
    <n v="28227"/>
    <n v="0"/>
    <n v="1887"/>
    <m/>
    <m/>
    <n v="0"/>
    <n v="0"/>
    <m/>
    <m/>
    <m/>
    <m/>
    <m/>
    <m/>
    <m/>
    <m/>
    <m/>
    <m/>
    <m/>
    <m/>
  </r>
  <r>
    <x v="13"/>
    <s v="Palo Alto College (ACCD)"/>
    <m/>
    <n v="246354"/>
    <x v="6"/>
    <n v="165105"/>
    <n v="166284"/>
    <n v="134898"/>
    <n v="122662"/>
    <n v="93"/>
    <n v="5427"/>
    <n v="27177"/>
    <n v="1035"/>
    <n v="1902"/>
    <n v="35730"/>
    <n v="0"/>
    <n v="2465"/>
    <m/>
    <m/>
    <n v="0"/>
    <n v="0"/>
    <m/>
    <m/>
    <m/>
    <m/>
    <m/>
    <m/>
    <m/>
    <m/>
    <m/>
    <m/>
    <m/>
    <m/>
  </r>
  <r>
    <x v="13"/>
    <s v="Richland College (DCCCD)"/>
    <m/>
    <n v="227766"/>
    <x v="6"/>
    <n v="350074"/>
    <n v="352162"/>
    <n v="258961"/>
    <n v="257678"/>
    <n v="0"/>
    <n v="92"/>
    <n v="91113"/>
    <n v="0"/>
    <n v="0"/>
    <n v="94392"/>
    <n v="0"/>
    <n v="0"/>
    <m/>
    <m/>
    <n v="0"/>
    <n v="0"/>
    <m/>
    <m/>
    <m/>
    <m/>
    <m/>
    <m/>
    <m/>
    <m/>
    <m/>
    <m/>
    <m/>
    <m/>
  </r>
  <r>
    <x v="13"/>
    <s v="San Antonio College (ACCD)"/>
    <m/>
    <n v="227924"/>
    <x v="6"/>
    <n v="501465"/>
    <n v="498564"/>
    <n v="428816"/>
    <n v="429331"/>
    <n v="3658"/>
    <n v="8615"/>
    <n v="65514"/>
    <n v="0"/>
    <n v="3477"/>
    <n v="56874"/>
    <n v="0"/>
    <n v="3744"/>
    <m/>
    <m/>
    <n v="0"/>
    <n v="0"/>
    <m/>
    <m/>
    <m/>
    <m/>
    <m/>
    <m/>
    <m/>
    <m/>
    <m/>
    <m/>
    <m/>
    <m/>
  </r>
  <r>
    <x v="13"/>
    <s v="San Jacinto College"/>
    <m/>
    <n v="227979"/>
    <x v="6"/>
    <n v="575097"/>
    <n v="600397"/>
    <n v="489108"/>
    <n v="479001"/>
    <n v="11218"/>
    <n v="10817"/>
    <n v="74372"/>
    <n v="399"/>
    <n v="0"/>
    <n v="110382"/>
    <n v="197"/>
    <n v="0"/>
    <m/>
    <m/>
    <n v="0"/>
    <n v="0"/>
    <m/>
    <m/>
    <m/>
    <m/>
    <m/>
    <m/>
    <m/>
    <m/>
    <m/>
    <m/>
    <m/>
    <m/>
  </r>
  <r>
    <x v="13"/>
    <s v="South Plains College "/>
    <m/>
    <n v="228158"/>
    <x v="6"/>
    <n v="217039"/>
    <n v="219143"/>
    <n v="94485"/>
    <n v="92008"/>
    <n v="84031"/>
    <n v="87807"/>
    <n v="31816"/>
    <n v="3245"/>
    <n v="3462"/>
    <n v="33425"/>
    <n v="2986"/>
    <n v="2917"/>
    <m/>
    <m/>
    <n v="0"/>
    <n v="0"/>
    <m/>
    <m/>
    <m/>
    <m/>
    <m/>
    <m/>
    <m/>
    <m/>
    <m/>
    <m/>
    <m/>
    <m/>
  </r>
  <r>
    <x v="13"/>
    <s v="St. Philip's College (ACCD)"/>
    <m/>
    <n v="227854"/>
    <x v="6"/>
    <n v="218515"/>
    <n v="198581"/>
    <n v="183707"/>
    <n v="169002"/>
    <n v="1414"/>
    <n v="5984"/>
    <n v="31378"/>
    <n v="0"/>
    <n v="2016"/>
    <n v="22694"/>
    <n v="0"/>
    <n v="901"/>
    <m/>
    <m/>
    <n v="0"/>
    <n v="0"/>
    <m/>
    <m/>
    <m/>
    <m/>
    <m/>
    <m/>
    <m/>
    <m/>
    <m/>
    <m/>
    <m/>
    <m/>
  </r>
  <r>
    <x v="13"/>
    <s v="Tarrant County College"/>
    <m/>
    <n v="228547"/>
    <x v="6"/>
    <n v="968654"/>
    <n v="972659"/>
    <n v="797438"/>
    <n v="779370"/>
    <n v="222"/>
    <n v="16541"/>
    <n v="146199"/>
    <n v="0"/>
    <n v="24795"/>
    <n v="154554"/>
    <n v="0"/>
    <n v="22194"/>
    <m/>
    <m/>
    <n v="0"/>
    <n v="0"/>
    <m/>
    <m/>
    <m/>
    <m/>
    <m/>
    <m/>
    <m/>
    <m/>
    <m/>
    <m/>
    <m/>
    <m/>
  </r>
  <r>
    <x v="13"/>
    <s v="Texas Southmost College "/>
    <m/>
    <n v="229072"/>
    <x v="6"/>
    <n v="190606"/>
    <n v="193366"/>
    <n v="178372"/>
    <n v="180660"/>
    <n v="3997"/>
    <n v="2953"/>
    <n v="8237"/>
    <n v="0"/>
    <n v="0"/>
    <n v="9753"/>
    <n v="0"/>
    <n v="0"/>
    <m/>
    <m/>
    <n v="0"/>
    <n v="0"/>
    <m/>
    <m/>
    <m/>
    <m/>
    <m/>
    <m/>
    <m/>
    <m/>
    <m/>
    <m/>
    <m/>
    <m/>
  </r>
  <r>
    <x v="13"/>
    <s v="Texas State Technical College-Waco"/>
    <s v="Reclassified: Met criteria for Two-Year 1 in 2009-10, 2010-11 and 2011-12."/>
    <n v="228680"/>
    <x v="6"/>
    <n v="163434"/>
    <n v="152796"/>
    <n v="143272"/>
    <n v="137303"/>
    <n v="8499"/>
    <n v="6521"/>
    <n v="11663"/>
    <n v="0"/>
    <n v="0"/>
    <n v="8972"/>
    <n v="0"/>
    <n v="0"/>
    <m/>
    <m/>
    <n v="0"/>
    <n v="0"/>
    <m/>
    <m/>
    <m/>
    <m/>
    <m/>
    <m/>
    <m/>
    <m/>
    <m/>
    <m/>
    <m/>
    <m/>
  </r>
  <r>
    <x v="13"/>
    <s v="Trinity Valley Community College"/>
    <s v="Reclassified: Met criteria for Two-Year 1 in 2009-10, 2010-11 and 2011-12."/>
    <n v="225308"/>
    <x v="6"/>
    <n v="166114"/>
    <n v="167830"/>
    <n v="94853"/>
    <n v="95900"/>
    <n v="43587"/>
    <n v="42624"/>
    <n v="26840"/>
    <n v="834"/>
    <n v="0"/>
    <n v="29159"/>
    <n v="147"/>
    <n v="0"/>
    <m/>
    <m/>
    <n v="0"/>
    <n v="0"/>
    <m/>
    <m/>
    <m/>
    <m/>
    <m/>
    <m/>
    <m/>
    <m/>
    <m/>
    <m/>
    <m/>
    <m/>
  </r>
  <r>
    <x v="13"/>
    <s v="Tyler Junior College "/>
    <m/>
    <n v="229355"/>
    <x v="6"/>
    <n v="259168"/>
    <n v="259782"/>
    <n v="206336"/>
    <n v="186994"/>
    <n v="0"/>
    <n v="1355"/>
    <n v="51977"/>
    <n v="0"/>
    <n v="855"/>
    <n v="71085"/>
    <n v="0"/>
    <n v="348"/>
    <m/>
    <m/>
    <n v="0"/>
    <n v="0"/>
    <m/>
    <m/>
    <m/>
    <m/>
    <m/>
    <m/>
    <m/>
    <m/>
    <m/>
    <m/>
    <m/>
    <m/>
  </r>
  <r>
    <x v="13"/>
    <s v="Alvin Community College "/>
    <m/>
    <n v="222567"/>
    <x v="7"/>
    <n v="111467"/>
    <n v="106578"/>
    <n v="93297"/>
    <n v="88842"/>
    <n v="18170"/>
    <n v="17736"/>
    <n v="0"/>
    <n v="0"/>
    <n v="0"/>
    <n v="0"/>
    <n v="0"/>
    <n v="0"/>
    <m/>
    <m/>
    <n v="0"/>
    <n v="0"/>
    <m/>
    <m/>
    <m/>
    <m/>
    <m/>
    <m/>
    <m/>
    <m/>
    <m/>
    <m/>
    <m/>
    <m/>
  </r>
  <r>
    <x v="13"/>
    <s v="Angelina College "/>
    <m/>
    <n v="222822"/>
    <x v="7"/>
    <n v="114278"/>
    <n v="113896"/>
    <n v="79774"/>
    <n v="72306"/>
    <n v="13147"/>
    <n v="13237"/>
    <n v="14636"/>
    <n v="6676"/>
    <n v="45"/>
    <n v="20104"/>
    <n v="8189"/>
    <n v="60"/>
    <m/>
    <m/>
    <n v="0"/>
    <n v="0"/>
    <m/>
    <m/>
    <m/>
    <m/>
    <m/>
    <m/>
    <m/>
    <m/>
    <m/>
    <m/>
    <m/>
    <m/>
  </r>
  <r>
    <x v="13"/>
    <s v="Cedar Valley College (DCCCD)"/>
    <m/>
    <n v="223773"/>
    <x v="7"/>
    <n v="110642"/>
    <n v="111968"/>
    <n v="73303"/>
    <n v="71640"/>
    <n v="1243"/>
    <n v="1572"/>
    <n v="36096"/>
    <n v="0"/>
    <n v="0"/>
    <n v="38756"/>
    <n v="0"/>
    <n v="0"/>
    <m/>
    <m/>
    <n v="0"/>
    <n v="0"/>
    <m/>
    <m/>
    <m/>
    <m/>
    <m/>
    <m/>
    <m/>
    <m/>
    <m/>
    <m/>
    <m/>
    <m/>
  </r>
  <r>
    <x v="13"/>
    <s v="Cisco Junior College "/>
    <m/>
    <n v="223898"/>
    <x v="7"/>
    <n v="95299"/>
    <n v="94568"/>
    <n v="16291"/>
    <n v="15015"/>
    <n v="58548"/>
    <n v="56714"/>
    <n v="19398"/>
    <n v="1062"/>
    <n v="0"/>
    <n v="21567"/>
    <n v="1272"/>
    <n v="0"/>
    <m/>
    <m/>
    <n v="0"/>
    <n v="0"/>
    <m/>
    <m/>
    <m/>
    <m/>
    <m/>
    <m/>
    <m/>
    <m/>
    <m/>
    <m/>
    <m/>
    <m/>
  </r>
  <r>
    <x v="13"/>
    <s v="Coastal Bend College"/>
    <m/>
    <n v="223320"/>
    <x v="7"/>
    <n v="85421"/>
    <n v="79616"/>
    <n v="25762"/>
    <n v="22969"/>
    <n v="38577"/>
    <n v="35841"/>
    <n v="13890"/>
    <n v="5669"/>
    <n v="1523"/>
    <n v="13390"/>
    <n v="4902"/>
    <n v="2514"/>
    <m/>
    <m/>
    <n v="0"/>
    <n v="0"/>
    <m/>
    <m/>
    <m/>
    <m/>
    <m/>
    <m/>
    <m/>
    <m/>
    <m/>
    <m/>
    <m/>
    <m/>
  </r>
  <r>
    <x v="13"/>
    <s v="College of the Mainland"/>
    <m/>
    <n v="226408"/>
    <x v="7"/>
    <n v="87748"/>
    <n v="87306"/>
    <n v="81099"/>
    <n v="80631"/>
    <n v="6649"/>
    <n v="6675"/>
    <n v="0"/>
    <n v="0"/>
    <n v="0"/>
    <n v="0"/>
    <n v="0"/>
    <n v="0"/>
    <m/>
    <m/>
    <n v="0"/>
    <n v="0"/>
    <m/>
    <m/>
    <m/>
    <m/>
    <m/>
    <m/>
    <m/>
    <m/>
    <m/>
    <m/>
    <m/>
    <m/>
  </r>
  <r>
    <x v="13"/>
    <s v="Grayson County College "/>
    <m/>
    <n v="225070"/>
    <x v="7"/>
    <n v="111874"/>
    <n v="116342"/>
    <n v="82611"/>
    <n v="78792"/>
    <n v="730"/>
    <n v="2249"/>
    <n v="26745"/>
    <n v="0"/>
    <n v="1788"/>
    <n v="33174"/>
    <n v="0"/>
    <n v="2127"/>
    <m/>
    <m/>
    <n v="0"/>
    <n v="0"/>
    <m/>
    <m/>
    <m/>
    <m/>
    <m/>
    <m/>
    <m/>
    <m/>
    <m/>
    <m/>
    <m/>
    <m/>
  </r>
  <r>
    <x v="13"/>
    <s v="Hill College"/>
    <m/>
    <n v="225371"/>
    <x v="7"/>
    <n v="98493"/>
    <n v="94640"/>
    <n v="19574"/>
    <n v="20672"/>
    <n v="45049"/>
    <n v="40614"/>
    <n v="31491"/>
    <n v="2379"/>
    <n v="0"/>
    <n v="31389"/>
    <n v="1965"/>
    <n v="0"/>
    <m/>
    <m/>
    <n v="0"/>
    <n v="0"/>
    <m/>
    <m/>
    <m/>
    <m/>
    <m/>
    <m/>
    <m/>
    <m/>
    <m/>
    <m/>
    <m/>
    <m/>
  </r>
  <r>
    <x v="13"/>
    <s v="Howard College (HCJCD)"/>
    <m/>
    <n v="225520"/>
    <x v="7"/>
    <n v="82912"/>
    <n v="87037"/>
    <n v="21725"/>
    <n v="19185"/>
    <n v="39096"/>
    <n v="38301"/>
    <n v="18986"/>
    <n v="3027"/>
    <n v="78"/>
    <n v="24526"/>
    <n v="4773"/>
    <n v="252"/>
    <m/>
    <m/>
    <n v="0"/>
    <n v="0"/>
    <m/>
    <m/>
    <m/>
    <m/>
    <m/>
    <m/>
    <m/>
    <m/>
    <m/>
    <m/>
    <m/>
    <m/>
  </r>
  <r>
    <x v="13"/>
    <s v="Lamar Institute of Technology"/>
    <m/>
    <n v="441760"/>
    <x v="7"/>
    <n v="67440"/>
    <n v="64380"/>
    <n v="60976"/>
    <n v="60737"/>
    <n v="2280"/>
    <n v="1462"/>
    <n v="4109"/>
    <n v="75"/>
    <n v="0"/>
    <n v="2136"/>
    <n v="45"/>
    <n v="0"/>
    <m/>
    <m/>
    <n v="0"/>
    <n v="0"/>
    <m/>
    <m/>
    <m/>
    <m/>
    <m/>
    <m/>
    <m/>
    <m/>
    <m/>
    <m/>
    <m/>
    <m/>
  </r>
  <r>
    <x v="13"/>
    <s v="Lee College "/>
    <m/>
    <n v="226204"/>
    <x v="7"/>
    <n v="143743"/>
    <n v="140128"/>
    <n v="112426"/>
    <n v="108264"/>
    <n v="20242"/>
    <n v="16754"/>
    <n v="6297"/>
    <n v="0"/>
    <n v="4778"/>
    <n v="14790"/>
    <n v="0"/>
    <n v="320"/>
    <m/>
    <m/>
    <n v="0"/>
    <n v="0"/>
    <m/>
    <m/>
    <m/>
    <m/>
    <m/>
    <m/>
    <m/>
    <m/>
    <m/>
    <m/>
    <m/>
    <m/>
  </r>
  <r>
    <x v="13"/>
    <s v="Mountain View College  (DCCCD)"/>
    <s v="Met the criteria for Two-Year 1 in 2010-11 amd 2011-12."/>
    <n v="226930"/>
    <x v="7"/>
    <n v="146353"/>
    <n v="146492"/>
    <n v="115141"/>
    <n v="111995"/>
    <n v="0"/>
    <n v="0"/>
    <n v="31212"/>
    <n v="0"/>
    <n v="0"/>
    <n v="34497"/>
    <n v="0"/>
    <n v="0"/>
    <m/>
    <m/>
    <n v="0"/>
    <n v="0"/>
    <m/>
    <m/>
    <m/>
    <m/>
    <m/>
    <m/>
    <m/>
    <m/>
    <m/>
    <m/>
    <m/>
    <m/>
  </r>
  <r>
    <x v="13"/>
    <s v="Northeast Texas Community College "/>
    <s v="Reclassified: Met criteria for Two-Year 2 in 2009-10, 2010-11 and 2011-12."/>
    <n v="227225"/>
    <x v="7"/>
    <n v="69750"/>
    <n v="72602"/>
    <n v="58103"/>
    <n v="54188"/>
    <n v="1080"/>
    <n v="1129"/>
    <n v="10420"/>
    <n v="54"/>
    <n v="93"/>
    <n v="17027"/>
    <n v="258"/>
    <n v="0"/>
    <m/>
    <m/>
    <n v="0"/>
    <n v="0"/>
    <m/>
    <m/>
    <m/>
    <m/>
    <m/>
    <m/>
    <m/>
    <m/>
    <m/>
    <m/>
    <m/>
    <m/>
  </r>
  <r>
    <x v="13"/>
    <s v="Odessa College "/>
    <m/>
    <n v="227304"/>
    <x v="7"/>
    <n v="100803"/>
    <n v="98768"/>
    <n v="64766"/>
    <n v="59110"/>
    <n v="6608"/>
    <n v="6877"/>
    <n v="29429"/>
    <n v="0"/>
    <n v="0"/>
    <n v="32466"/>
    <n v="315"/>
    <n v="0"/>
    <m/>
    <m/>
    <n v="0"/>
    <n v="0"/>
    <m/>
    <m/>
    <m/>
    <m/>
    <m/>
    <m/>
    <m/>
    <m/>
    <m/>
    <m/>
    <m/>
    <m/>
  </r>
  <r>
    <x v="13"/>
    <s v="Paris Junior College"/>
    <m/>
    <n v="227401"/>
    <x v="7"/>
    <n v="131831"/>
    <n v="131884"/>
    <n v="54350"/>
    <n v="50395"/>
    <n v="43436"/>
    <n v="41866"/>
    <n v="30541"/>
    <n v="3504"/>
    <n v="0"/>
    <n v="36365"/>
    <n v="3258"/>
    <n v="0"/>
    <m/>
    <m/>
    <n v="0"/>
    <n v="0"/>
    <m/>
    <m/>
    <m/>
    <m/>
    <m/>
    <m/>
    <m/>
    <m/>
    <m/>
    <m/>
    <m/>
    <m/>
  </r>
  <r>
    <x v="13"/>
    <s v="Southwest Texas Junior College "/>
    <m/>
    <n v="228316"/>
    <x v="7"/>
    <n v="118563"/>
    <n v="111605"/>
    <n v="34470"/>
    <n v="31767"/>
    <n v="55135"/>
    <n v="52200"/>
    <n v="9453"/>
    <n v="19505"/>
    <n v="0"/>
    <n v="9529"/>
    <n v="18109"/>
    <n v="0"/>
    <m/>
    <m/>
    <n v="0"/>
    <n v="0"/>
    <m/>
    <m/>
    <m/>
    <m/>
    <m/>
    <m/>
    <m/>
    <m/>
    <m/>
    <m/>
    <m/>
    <m/>
  </r>
  <r>
    <x v="13"/>
    <s v="Temple College "/>
    <m/>
    <n v="228608"/>
    <x v="7"/>
    <n v="122171"/>
    <n v="121557"/>
    <n v="72437"/>
    <n v="68990"/>
    <n v="19413"/>
    <n v="16971"/>
    <n v="30309"/>
    <n v="12"/>
    <n v="0"/>
    <n v="35556"/>
    <n v="40"/>
    <n v="0"/>
    <m/>
    <m/>
    <n v="0"/>
    <n v="0"/>
    <m/>
    <m/>
    <m/>
    <m/>
    <m/>
    <m/>
    <m/>
    <m/>
    <m/>
    <m/>
    <m/>
    <m/>
  </r>
  <r>
    <x v="13"/>
    <s v="Texarkana College "/>
    <m/>
    <n v="228699"/>
    <x v="7"/>
    <n v="94976"/>
    <n v="87487"/>
    <n v="79221"/>
    <n v="72119"/>
    <n v="9444"/>
    <n v="9863"/>
    <n v="6263"/>
    <n v="45"/>
    <n v="3"/>
    <n v="5478"/>
    <n v="0"/>
    <n v="27"/>
    <m/>
    <m/>
    <n v="0"/>
    <n v="0"/>
    <m/>
    <m/>
    <m/>
    <m/>
    <m/>
    <m/>
    <m/>
    <m/>
    <m/>
    <m/>
    <m/>
    <m/>
  </r>
  <r>
    <x v="13"/>
    <s v="Texas State Technical College-Harlingen "/>
    <m/>
    <n v="229319"/>
    <x v="7"/>
    <n v="136009"/>
    <n v="130391"/>
    <n v="118614"/>
    <n v="112274"/>
    <n v="5614"/>
    <n v="3901"/>
    <n v="10659"/>
    <n v="1122"/>
    <n v="0"/>
    <n v="13622"/>
    <n v="594"/>
    <n v="0"/>
    <m/>
    <m/>
    <n v="0"/>
    <n v="0"/>
    <m/>
    <m/>
    <m/>
    <m/>
    <m/>
    <m/>
    <m/>
    <m/>
    <m/>
    <m/>
    <m/>
    <m/>
  </r>
  <r>
    <x v="13"/>
    <s v="Vernon College "/>
    <m/>
    <n v="229504"/>
    <x v="7"/>
    <n v="67813"/>
    <n v="67579"/>
    <n v="9311"/>
    <n v="9555"/>
    <n v="31700"/>
    <n v="32035"/>
    <n v="20532"/>
    <n v="6270"/>
    <n v="0"/>
    <n v="19314"/>
    <n v="6675"/>
    <n v="0"/>
    <m/>
    <m/>
    <n v="0"/>
    <n v="0"/>
    <m/>
    <m/>
    <m/>
    <m/>
    <m/>
    <m/>
    <m/>
    <m/>
    <m/>
    <m/>
    <m/>
    <m/>
  </r>
  <r>
    <x v="13"/>
    <s v="Victoria College "/>
    <m/>
    <n v="229540"/>
    <x v="7"/>
    <n v="81880"/>
    <n v="85982"/>
    <n v="55839"/>
    <n v="56496"/>
    <n v="5672"/>
    <n v="5620"/>
    <n v="16617"/>
    <n v="3752"/>
    <n v="0"/>
    <n v="20026"/>
    <n v="3791"/>
    <n v="49"/>
    <m/>
    <m/>
    <n v="0"/>
    <n v="0"/>
    <m/>
    <m/>
    <m/>
    <m/>
    <m/>
    <m/>
    <m/>
    <m/>
    <m/>
    <m/>
    <m/>
    <m/>
  </r>
  <r>
    <x v="13"/>
    <s v="Weatherford College "/>
    <m/>
    <n v="229799"/>
    <x v="7"/>
    <n v="116501"/>
    <n v="115097"/>
    <n v="83333"/>
    <n v="74383"/>
    <n v="12257"/>
    <n v="12841"/>
    <n v="20575"/>
    <n v="336"/>
    <n v="0"/>
    <n v="25791"/>
    <n v="2082"/>
    <n v="0"/>
    <m/>
    <m/>
    <n v="0"/>
    <n v="0"/>
    <m/>
    <m/>
    <m/>
    <m/>
    <m/>
    <m/>
    <m/>
    <m/>
    <m/>
    <m/>
    <m/>
    <m/>
  </r>
  <r>
    <x v="13"/>
    <s v="Wharton County Junior College "/>
    <m/>
    <n v="229841"/>
    <x v="7"/>
    <n v="145528"/>
    <n v="147021"/>
    <n v="48270"/>
    <n v="44106"/>
    <n v="75606"/>
    <n v="79773"/>
    <n v="18772"/>
    <n v="2880"/>
    <n v="0"/>
    <n v="20481"/>
    <n v="2661"/>
    <n v="0"/>
    <m/>
    <m/>
    <n v="0"/>
    <n v="0"/>
    <m/>
    <m/>
    <m/>
    <m/>
    <m/>
    <m/>
    <m/>
    <m/>
    <m/>
    <m/>
    <m/>
    <m/>
  </r>
  <r>
    <x v="13"/>
    <s v="Clarendon College "/>
    <m/>
    <n v="223922"/>
    <x v="8"/>
    <n v="35116"/>
    <n v="34696"/>
    <n v="11447"/>
    <n v="11028"/>
    <n v="14515"/>
    <n v="13298"/>
    <n v="8487"/>
    <n v="654"/>
    <n v="13"/>
    <n v="9736"/>
    <n v="634"/>
    <n v="0"/>
    <m/>
    <m/>
    <n v="0"/>
    <n v="0"/>
    <m/>
    <m/>
    <m/>
    <m/>
    <m/>
    <m/>
    <m/>
    <m/>
    <m/>
    <m/>
    <m/>
    <m/>
  </r>
  <r>
    <x v="13"/>
    <s v="Frank Phillips College "/>
    <m/>
    <n v="224891"/>
    <x v="8"/>
    <n v="25567"/>
    <n v="22512"/>
    <n v="19199"/>
    <n v="16689"/>
    <n v="1479"/>
    <n v="1635"/>
    <n v="1989"/>
    <n v="0"/>
    <n v="2900"/>
    <n v="1408"/>
    <n v="0"/>
    <n v="2780"/>
    <m/>
    <m/>
    <n v="0"/>
    <n v="0"/>
    <m/>
    <m/>
    <m/>
    <m/>
    <m/>
    <m/>
    <m/>
    <m/>
    <m/>
    <m/>
    <m/>
    <m/>
  </r>
  <r>
    <x v="13"/>
    <s v="Galveston College "/>
    <m/>
    <n v="224961"/>
    <x v="8"/>
    <n v="46278"/>
    <n v="47892"/>
    <n v="45591"/>
    <n v="47375"/>
    <n v="305"/>
    <n v="421"/>
    <n v="382"/>
    <n v="0"/>
    <n v="0"/>
    <n v="0"/>
    <n v="0"/>
    <n v="96"/>
    <m/>
    <m/>
    <n v="0"/>
    <n v="0"/>
    <m/>
    <m/>
    <m/>
    <m/>
    <m/>
    <m/>
    <m/>
    <m/>
    <m/>
    <m/>
    <m/>
    <m/>
  </r>
  <r>
    <x v="13"/>
    <s v="Lamar State College-Orange"/>
    <m/>
    <n v="226107"/>
    <x v="8"/>
    <n v="53594"/>
    <n v="56026"/>
    <n v="47495"/>
    <n v="50964"/>
    <n v="0"/>
    <n v="0"/>
    <n v="6099"/>
    <n v="0"/>
    <n v="0"/>
    <n v="5020"/>
    <n v="42"/>
    <n v="0"/>
    <m/>
    <m/>
    <n v="0"/>
    <n v="0"/>
    <m/>
    <m/>
    <m/>
    <m/>
    <m/>
    <m/>
    <m/>
    <m/>
    <m/>
    <m/>
    <m/>
    <m/>
  </r>
  <r>
    <x v="13"/>
    <s v="Lamar State College-Port Arthur"/>
    <s v="Met the criteria for Two-Year 2 in 2010-11 and 2011-12."/>
    <n v="226116"/>
    <x v="8"/>
    <n v="50934"/>
    <n v="59265"/>
    <n v="40162"/>
    <n v="40622"/>
    <n v="5413"/>
    <n v="5436"/>
    <n v="5359"/>
    <n v="0"/>
    <n v="0"/>
    <n v="13207"/>
    <n v="0"/>
    <n v="0"/>
    <m/>
    <m/>
    <n v="0"/>
    <n v="0"/>
    <m/>
    <m/>
    <m/>
    <m/>
    <m/>
    <m/>
    <m/>
    <m/>
    <m/>
    <m/>
    <m/>
    <m/>
  </r>
  <r>
    <x v="13"/>
    <s v="Northeast Lakeview College (ACCD)"/>
    <m/>
    <s v="???"/>
    <x v="8"/>
    <n v="13983"/>
    <n v="13926"/>
    <n v="13281"/>
    <n v="13926"/>
    <n v="0"/>
    <n v="0"/>
    <n v="702"/>
    <n v="0"/>
    <n v="0"/>
    <n v="0"/>
    <n v="0"/>
    <n v="0"/>
    <m/>
    <m/>
    <n v="0"/>
    <n v="0"/>
    <m/>
    <m/>
    <m/>
    <m/>
    <m/>
    <m/>
    <m/>
    <m/>
    <m/>
    <m/>
    <m/>
    <m/>
  </r>
  <r>
    <x v="13"/>
    <s v="Panola College"/>
    <m/>
    <n v="227386"/>
    <x v="8"/>
    <n v="47697"/>
    <n v="51046"/>
    <n v="25964"/>
    <n v="26443"/>
    <n v="8198"/>
    <n v="8014"/>
    <n v="12025"/>
    <n v="1510"/>
    <n v="0"/>
    <n v="15623"/>
    <n v="966"/>
    <n v="0"/>
    <m/>
    <m/>
    <n v="0"/>
    <n v="0"/>
    <m/>
    <m/>
    <m/>
    <m/>
    <m/>
    <m/>
    <m/>
    <m/>
    <m/>
    <m/>
    <m/>
    <m/>
  </r>
  <r>
    <x v="13"/>
    <s v="Ranger College "/>
    <m/>
    <n v="227687"/>
    <x v="8"/>
    <n v="26592"/>
    <n v="34840"/>
    <n v="11005"/>
    <n v="11537"/>
    <n v="10096"/>
    <n v="14855"/>
    <n v="3932"/>
    <n v="1493"/>
    <n v="66"/>
    <n v="6288"/>
    <n v="2022"/>
    <n v="138"/>
    <m/>
    <m/>
    <n v="0"/>
    <n v="0"/>
    <m/>
    <m/>
    <m/>
    <m/>
    <m/>
    <m/>
    <m/>
    <m/>
    <m/>
    <m/>
    <m/>
    <m/>
  </r>
  <r>
    <x v="13"/>
    <s v="Southwest Collegiate Institute for the Deaf (HCJCD)"/>
    <m/>
    <n v="382911"/>
    <x v="8"/>
    <n v="2067"/>
    <n v="2719"/>
    <n v="2004"/>
    <n v="2589"/>
    <n v="0"/>
    <n v="20"/>
    <n v="45"/>
    <n v="0"/>
    <n v="18"/>
    <n v="101"/>
    <n v="9"/>
    <n v="0"/>
    <m/>
    <m/>
    <n v="0"/>
    <n v="0"/>
    <m/>
    <m/>
    <m/>
    <m/>
    <m/>
    <m/>
    <m/>
    <m/>
    <m/>
    <m/>
    <m/>
    <m/>
  </r>
  <r>
    <x v="13"/>
    <s v="Texas State Technical College-Marshall"/>
    <m/>
    <n v="408394"/>
    <x v="8"/>
    <n v="23775"/>
    <n v="21457"/>
    <n v="15272"/>
    <n v="13718"/>
    <n v="1222"/>
    <n v="751"/>
    <n v="7281"/>
    <n v="0"/>
    <n v="0"/>
    <n v="6988"/>
    <n v="0"/>
    <n v="0"/>
    <m/>
    <m/>
    <n v="0"/>
    <n v="0"/>
    <m/>
    <m/>
    <m/>
    <m/>
    <m/>
    <m/>
    <m/>
    <m/>
    <m/>
    <m/>
    <m/>
    <m/>
  </r>
  <r>
    <x v="13"/>
    <s v="Texas State Technical College-West Texas"/>
    <m/>
    <n v="229328"/>
    <x v="8"/>
    <n v="38675"/>
    <n v="25208"/>
    <n v="11530"/>
    <n v="6827"/>
    <n v="8032"/>
    <n v="6219"/>
    <n v="19104"/>
    <n v="9"/>
    <n v="0"/>
    <n v="12162"/>
    <n v="0"/>
    <n v="0"/>
    <m/>
    <m/>
    <n v="0"/>
    <n v="0"/>
    <m/>
    <m/>
    <m/>
    <m/>
    <m/>
    <m/>
    <m/>
    <m/>
    <m/>
    <m/>
    <m/>
    <m/>
  </r>
  <r>
    <x v="13"/>
    <s v="Western Texas College "/>
    <m/>
    <n v="229832"/>
    <x v="8"/>
    <n v="47076"/>
    <n v="46461"/>
    <n v="12932"/>
    <n v="13504"/>
    <n v="8828"/>
    <n v="8551"/>
    <n v="19628"/>
    <n v="5592"/>
    <n v="96"/>
    <n v="19717"/>
    <n v="4524"/>
    <n v="165"/>
    <m/>
    <m/>
    <n v="0"/>
    <n v="0"/>
    <m/>
    <m/>
    <m/>
    <m/>
    <m/>
    <m/>
    <m/>
    <m/>
    <m/>
    <m/>
    <m/>
    <m/>
  </r>
  <r>
    <x v="13"/>
    <s v="Texas A &amp; M University - Central Texas"/>
    <s v="New fall 2009. Met the criteria for Four-Year 4 in 2010-11 and 2011-12."/>
    <m/>
    <x v="13"/>
    <n v="31104"/>
    <n v="31115"/>
    <n v="19069"/>
    <n v="10845"/>
    <n v="2718"/>
    <n v="9489"/>
    <n v="8919"/>
    <n v="398"/>
    <n v="0"/>
    <n v="10514"/>
    <n v="267"/>
    <n v="0"/>
    <m/>
    <m/>
    <n v="12184"/>
    <n v="11486"/>
    <n v="9961"/>
    <n v="7625"/>
    <n v="264"/>
    <n v="1275"/>
    <n v="1959"/>
    <n v="0"/>
    <n v="0"/>
    <n v="2586"/>
    <n v="0"/>
    <n v="0"/>
    <m/>
    <m/>
  </r>
  <r>
    <x v="13"/>
    <s v="Texas A &amp; M University - San Antonio"/>
    <s v="New fall 2009. Met the criteria for Four-Year 5 in 2010-11 and 2011-12."/>
    <s v="870501"/>
    <x v="13"/>
    <n v="46866"/>
    <n v="54033"/>
    <n v="45537"/>
    <n v="31707"/>
    <n v="306"/>
    <n v="3148"/>
    <n v="1023"/>
    <n v="0"/>
    <n v="0"/>
    <n v="19178"/>
    <n v="0"/>
    <n v="0"/>
    <m/>
    <m/>
    <n v="12635"/>
    <n v="14881"/>
    <n v="12463"/>
    <n v="4422"/>
    <n v="0"/>
    <n v="966"/>
    <n v="172"/>
    <n v="0"/>
    <n v="0"/>
    <n v="9493"/>
    <n v="0"/>
    <n v="0"/>
    <m/>
    <m/>
  </r>
  <r>
    <x v="13"/>
    <s v="University of North Texas at Dallas"/>
    <s v="New fall 2009. No degrees yet granted."/>
    <m/>
    <x v="13"/>
    <n v="27801"/>
    <n v="31544"/>
    <n v="27657"/>
    <n v="30845"/>
    <n v="144"/>
    <n v="228"/>
    <n v="0"/>
    <n v="0"/>
    <n v="0"/>
    <n v="471"/>
    <n v="0"/>
    <n v="0"/>
    <m/>
    <m/>
    <n v="4498"/>
    <n v="3852"/>
    <n v="4090"/>
    <n v="3765"/>
    <n v="312"/>
    <n v="48"/>
    <n v="0"/>
    <n v="96"/>
    <n v="0"/>
    <n v="39"/>
    <n v="0"/>
    <n v="0"/>
    <m/>
    <m/>
  </r>
  <r>
    <x v="14"/>
    <s v="George Mason University "/>
    <m/>
    <n v="232186"/>
    <x v="0"/>
    <n v="546706.5"/>
    <n v="570979.5"/>
    <n v="521158"/>
    <n v="534505"/>
    <n v="11373.5"/>
    <n v="16202.5"/>
    <n v="13560"/>
    <n v="615"/>
    <n v="0"/>
    <n v="17092"/>
    <n v="3180"/>
    <m/>
    <m/>
    <m/>
    <n v="170127.99999999889"/>
    <n v="177232.5"/>
    <n v="136925.399999999"/>
    <n v="136496.5"/>
    <n v="23855.5999999999"/>
    <n v="31841.5"/>
    <n v="7947.5"/>
    <n v="1399.5"/>
    <n v="0"/>
    <n v="6907.5"/>
    <n v="1987"/>
    <m/>
    <n v="0"/>
    <m/>
  </r>
  <r>
    <x v="14"/>
    <s v="Old Dominion University "/>
    <m/>
    <n v="232982"/>
    <x v="0"/>
    <n v="484643"/>
    <n v="501823"/>
    <n v="424035"/>
    <n v="436372"/>
    <n v="423"/>
    <n v="1200"/>
    <n v="25379"/>
    <n v="34806"/>
    <n v="0"/>
    <n v="31568"/>
    <n v="32683"/>
    <m/>
    <m/>
    <m/>
    <n v="78185"/>
    <n v="76119"/>
    <n v="53943"/>
    <n v="51385"/>
    <n v="1906"/>
    <n v="3593"/>
    <n v="10525"/>
    <n v="11811"/>
    <n v="0"/>
    <n v="9636"/>
    <n v="11505"/>
    <m/>
    <n v="0"/>
    <m/>
  </r>
  <r>
    <x v="14"/>
    <s v="University of Virginia"/>
    <m/>
    <n v="234076"/>
    <x v="0"/>
    <n v="462973"/>
    <n v="467835.5"/>
    <n v="418800"/>
    <n v="424751.5"/>
    <n v="41409"/>
    <n v="39412"/>
    <n v="2764"/>
    <n v="0"/>
    <n v="0"/>
    <n v="3672"/>
    <n v="0"/>
    <m/>
    <m/>
    <m/>
    <n v="202178.899999999"/>
    <n v="203119"/>
    <n v="172639.899999999"/>
    <n v="176415"/>
    <n v="20521"/>
    <n v="19000"/>
    <n v="8112"/>
    <n v="906"/>
    <n v="0"/>
    <n v="7227"/>
    <n v="477"/>
    <m/>
    <n v="0"/>
    <m/>
  </r>
  <r>
    <x v="14"/>
    <s v="Virginia Tech "/>
    <m/>
    <n v="233921"/>
    <x v="0"/>
    <n v="745331"/>
    <n v="748965"/>
    <n v="735345"/>
    <n v="737571"/>
    <n v="398"/>
    <n v="287"/>
    <n v="8610"/>
    <n v="978"/>
    <n v="0"/>
    <n v="9529"/>
    <n v="1578"/>
    <m/>
    <m/>
    <m/>
    <n v="145263"/>
    <n v="146962"/>
    <n v="109969"/>
    <n v="110934"/>
    <n v="20486"/>
    <n v="21163"/>
    <n v="10227"/>
    <n v="4581"/>
    <n v="0"/>
    <n v="9078"/>
    <n v="5787"/>
    <m/>
    <n v="0"/>
    <m/>
  </r>
  <r>
    <x v="14"/>
    <s v="College of William &amp; Mary"/>
    <m/>
    <n v="231624"/>
    <x v="1"/>
    <n v="169436.5"/>
    <n v="175401"/>
    <n v="168765.5"/>
    <n v="174378"/>
    <n v="671"/>
    <n v="1023"/>
    <n v="0"/>
    <n v="0"/>
    <n v="0"/>
    <n v="0"/>
    <n v="0"/>
    <m/>
    <m/>
    <m/>
    <n v="54173"/>
    <n v="54763.5"/>
    <n v="50819"/>
    <n v="49512"/>
    <n v="3354"/>
    <n v="5251.5"/>
    <n v="0"/>
    <n v="0"/>
    <n v="0"/>
    <n v="0"/>
    <n v="0"/>
    <m/>
    <n v="0"/>
    <m/>
  </r>
  <r>
    <x v="14"/>
    <s v="Virginia Commonwealth University"/>
    <s v="Met the criteria for Four-Year 1 in 2011-2012"/>
    <n v="234030"/>
    <x v="1"/>
    <n v="648362.5"/>
    <n v="650106.5"/>
    <n v="624894.5"/>
    <n v="618488.5"/>
    <n v="7888"/>
    <n v="7338"/>
    <n v="15580"/>
    <n v="0"/>
    <n v="0"/>
    <n v="24280"/>
    <n v="0"/>
    <m/>
    <m/>
    <m/>
    <n v="146465.5"/>
    <n v="140788"/>
    <n v="121330.5"/>
    <n v="118096"/>
    <n v="17085"/>
    <n v="12821"/>
    <n v="8050"/>
    <n v="0"/>
    <n v="0"/>
    <n v="9871"/>
    <n v="0"/>
    <m/>
    <n v="0"/>
    <m/>
  </r>
  <r>
    <x v="14"/>
    <s v="James Madison University"/>
    <m/>
    <n v="232423"/>
    <x v="2"/>
    <n v="522097"/>
    <n v="533881"/>
    <n v="505528"/>
    <n v="507922"/>
    <n v="7300"/>
    <n v="10157"/>
    <n v="9269"/>
    <n v="0"/>
    <n v="0"/>
    <n v="15802"/>
    <n v="0"/>
    <m/>
    <m/>
    <m/>
    <n v="32972"/>
    <n v="33802"/>
    <n v="26752"/>
    <n v="26315"/>
    <n v="2910"/>
    <n v="3548"/>
    <n v="3300"/>
    <n v="10"/>
    <n v="0"/>
    <n v="3939"/>
    <n v="0"/>
    <m/>
    <n v="0"/>
    <m/>
  </r>
  <r>
    <x v="14"/>
    <s v="Norfolk State University "/>
    <m/>
    <n v="232937"/>
    <x v="2"/>
    <n v="145531"/>
    <n v="160708"/>
    <n v="136041"/>
    <n v="134731"/>
    <n v="0"/>
    <n v="1815"/>
    <n v="9490"/>
    <n v="0"/>
    <n v="0"/>
    <n v="0"/>
    <n v="24162"/>
    <m/>
    <m/>
    <m/>
    <n v="12457"/>
    <n v="14099"/>
    <n v="11578"/>
    <n v="11591"/>
    <n v="0"/>
    <n v="652"/>
    <n v="879"/>
    <n v="0"/>
    <n v="0"/>
    <n v="0"/>
    <n v="1856"/>
    <m/>
    <n v="0"/>
    <m/>
  </r>
  <r>
    <x v="14"/>
    <s v="Longwood University "/>
    <s v="Met the criteria for Four-Year 3 in 2011-2012"/>
    <n v="232566"/>
    <x v="3"/>
    <n v="124398"/>
    <n v="244570"/>
    <n v="116807"/>
    <n v="235209"/>
    <n v="768"/>
    <n v="7653"/>
    <n v="6823"/>
    <n v="0"/>
    <n v="0"/>
    <n v="810"/>
    <n v="898"/>
    <m/>
    <m/>
    <m/>
    <n v="8191"/>
    <n v="20498"/>
    <n v="4299"/>
    <n v="15415"/>
    <n v="2981"/>
    <n v="3350"/>
    <n v="911"/>
    <n v="0"/>
    <n v="0"/>
    <n v="385"/>
    <n v="1348"/>
    <m/>
    <n v="0"/>
    <m/>
  </r>
  <r>
    <x v="14"/>
    <s v="Radford University"/>
    <s v="Met the criteria for Four-Year 3 in 2011-2012"/>
    <n v="233277"/>
    <x v="3"/>
    <n v="235610"/>
    <n v="157465"/>
    <n v="227686"/>
    <n v="153741"/>
    <n v="5953"/>
    <n v="2680"/>
    <n v="1257"/>
    <n v="714"/>
    <n v="0"/>
    <n v="1044"/>
    <n v="0"/>
    <m/>
    <m/>
    <m/>
    <n v="19948"/>
    <n v="9863"/>
    <n v="15503"/>
    <n v="8063"/>
    <n v="3207"/>
    <n v="1800"/>
    <n v="317"/>
    <n v="921"/>
    <n v="0"/>
    <n v="0"/>
    <n v="0"/>
    <m/>
    <n v="0"/>
    <m/>
  </r>
  <r>
    <x v="14"/>
    <s v="Virginia State University "/>
    <s v="Met the criteria for Four-Year 3 in 2011-2012"/>
    <n v="234155"/>
    <x v="3"/>
    <n v="152509"/>
    <n v="140270"/>
    <n v="148062"/>
    <n v="139898"/>
    <n v="2916"/>
    <n v="372"/>
    <n v="1531"/>
    <n v="0"/>
    <n v="0"/>
    <n v="0"/>
    <n v="0"/>
    <m/>
    <m/>
    <m/>
    <n v="9563"/>
    <n v="3807"/>
    <n v="7526"/>
    <n v="3807"/>
    <n v="1788"/>
    <n v="0"/>
    <n v="249"/>
    <n v="0"/>
    <n v="0"/>
    <n v="0"/>
    <n v="0"/>
    <m/>
    <n v="0"/>
    <m/>
  </r>
  <r>
    <x v="14"/>
    <s v="Christopher Newport University"/>
    <s v="Met the criteria for Four-Year 4 in 2011-2012"/>
    <n v="231712"/>
    <x v="4"/>
    <n v="138094"/>
    <n v="126712"/>
    <n v="136161"/>
    <n v="117765"/>
    <n v="345"/>
    <n v="781"/>
    <n v="1588"/>
    <n v="0"/>
    <n v="0"/>
    <n v="8166"/>
    <n v="0"/>
    <m/>
    <m/>
    <m/>
    <n v="4215"/>
    <n v="7771"/>
    <n v="4119"/>
    <n v="4139"/>
    <n v="96"/>
    <n v="1918"/>
    <n v="0"/>
    <n v="0"/>
    <n v="0"/>
    <n v="1714"/>
    <n v="0"/>
    <m/>
    <n v="0"/>
    <m/>
  </r>
  <r>
    <x v="14"/>
    <s v="University of Mary Washington "/>
    <s v="Met the criteria for Four-Year 3 in 2011-2012"/>
    <n v="232681"/>
    <x v="4"/>
    <n v="126229"/>
    <n v="126791"/>
    <n v="122084"/>
    <n v="122858"/>
    <n v="0"/>
    <n v="0"/>
    <n v="4022"/>
    <n v="123"/>
    <n v="0"/>
    <n v="3849"/>
    <n v="84"/>
    <m/>
    <m/>
    <m/>
    <n v="10857"/>
    <n v="9707"/>
    <n v="9170"/>
    <n v="8042"/>
    <n v="0"/>
    <n v="0"/>
    <n v="1687"/>
    <n v="0"/>
    <n v="0"/>
    <n v="1665"/>
    <n v="0"/>
    <m/>
    <n v="0"/>
    <m/>
  </r>
  <r>
    <x v="14"/>
    <s v="University of Virginia's College at Wise "/>
    <m/>
    <n v="233897"/>
    <x v="5"/>
    <n v="50690.3"/>
    <n v="51098"/>
    <n v="48171.3"/>
    <n v="48493"/>
    <n v="499"/>
    <n v="901"/>
    <n v="2020"/>
    <n v="0"/>
    <n v="0"/>
    <n v="1704"/>
    <n v="0"/>
    <m/>
    <m/>
    <m/>
    <n v="0"/>
    <n v="0"/>
    <n v="0"/>
    <n v="0"/>
    <n v="0"/>
    <n v="0"/>
    <n v="0"/>
    <n v="0"/>
    <n v="0"/>
    <n v="0"/>
    <n v="0"/>
    <m/>
    <n v="0"/>
    <m/>
  </r>
  <r>
    <x v="14"/>
    <s v="J.S. Reynolds Community College"/>
    <m/>
    <n v="232414"/>
    <x v="6"/>
    <n v="244230"/>
    <n v="258715"/>
    <n v="172158"/>
    <n v="169578"/>
    <n v="15398"/>
    <n v="22486"/>
    <n v="56524"/>
    <n v="150"/>
    <n v="0"/>
    <n v="66480"/>
    <n v="171"/>
    <m/>
    <m/>
    <m/>
    <n v="0"/>
    <n v="0"/>
    <n v="0"/>
    <n v="0"/>
    <n v="0"/>
    <n v="0"/>
    <n v="0"/>
    <n v="0"/>
    <n v="0"/>
    <n v="0"/>
    <n v="0"/>
    <m/>
    <n v="0"/>
    <m/>
  </r>
  <r>
    <x v="14"/>
    <s v="Northern Virginia Community College "/>
    <m/>
    <n v="232946"/>
    <x v="6"/>
    <n v="1001401"/>
    <n v="1051547"/>
    <n v="735603"/>
    <n v="756511"/>
    <n v="55892"/>
    <n v="60406"/>
    <n v="204659"/>
    <n v="5247"/>
    <n v="0"/>
    <n v="229568"/>
    <n v="5062"/>
    <m/>
    <m/>
    <m/>
    <n v="0"/>
    <n v="0"/>
    <n v="0"/>
    <n v="0"/>
    <n v="0"/>
    <n v="0"/>
    <n v="0"/>
    <n v="0"/>
    <n v="0"/>
    <n v="0"/>
    <n v="0"/>
    <m/>
    <n v="0"/>
    <m/>
  </r>
  <r>
    <x v="14"/>
    <s v="Thomas Nelson Community College "/>
    <m/>
    <n v="233754"/>
    <x v="6"/>
    <n v="204930"/>
    <n v="215326"/>
    <n v="149305"/>
    <n v="154144"/>
    <n v="17013"/>
    <n v="16070"/>
    <n v="38173"/>
    <n v="439"/>
    <n v="0"/>
    <n v="44775"/>
    <n v="337"/>
    <m/>
    <m/>
    <m/>
    <n v="0"/>
    <n v="0"/>
    <n v="0"/>
    <n v="0"/>
    <n v="0"/>
    <n v="0"/>
    <n v="0"/>
    <n v="0"/>
    <n v="0"/>
    <n v="0"/>
    <n v="0"/>
    <m/>
    <n v="0"/>
    <m/>
  </r>
  <r>
    <x v="14"/>
    <s v="Tidewater Community College "/>
    <m/>
    <n v="233772"/>
    <x v="6"/>
    <n v="657783"/>
    <n v="690950"/>
    <n v="443134"/>
    <n v="469902"/>
    <n v="44119"/>
    <n v="42965"/>
    <n v="170530"/>
    <n v="0"/>
    <n v="0"/>
    <n v="178034"/>
    <n v="49"/>
    <m/>
    <m/>
    <m/>
    <n v="0"/>
    <n v="0"/>
    <n v="0"/>
    <n v="0"/>
    <n v="0"/>
    <n v="0"/>
    <n v="0"/>
    <n v="0"/>
    <n v="0"/>
    <n v="0"/>
    <n v="0"/>
    <m/>
    <n v="0"/>
    <m/>
  </r>
  <r>
    <x v="14"/>
    <s v="Blue Ridge Community College "/>
    <m/>
    <n v="231536"/>
    <x v="7"/>
    <n v="94850"/>
    <n v="94524"/>
    <n v="56418"/>
    <n v="54717"/>
    <n v="12609"/>
    <n v="11233"/>
    <n v="25823"/>
    <n v="0"/>
    <n v="0"/>
    <n v="28574"/>
    <n v="0"/>
    <m/>
    <m/>
    <m/>
    <n v="0"/>
    <n v="0"/>
    <n v="0"/>
    <n v="0"/>
    <n v="0"/>
    <n v="0"/>
    <n v="0"/>
    <n v="0"/>
    <n v="0"/>
    <n v="0"/>
    <n v="0"/>
    <m/>
    <n v="0"/>
    <m/>
  </r>
  <r>
    <x v="14"/>
    <s v="Central Virginia Community College "/>
    <m/>
    <n v="231697"/>
    <x v="7"/>
    <n v="88313"/>
    <n v="88001"/>
    <n v="54003"/>
    <n v="52026"/>
    <n v="17498"/>
    <n v="18497"/>
    <n v="12808"/>
    <n v="4004"/>
    <n v="0"/>
    <n v="13611"/>
    <n v="3867"/>
    <m/>
    <m/>
    <m/>
    <n v="0"/>
    <n v="0"/>
    <n v="0"/>
    <n v="0"/>
    <n v="0"/>
    <n v="0"/>
    <n v="0"/>
    <n v="0"/>
    <n v="0"/>
    <n v="0"/>
    <n v="0"/>
    <m/>
    <n v="0"/>
    <m/>
  </r>
  <r>
    <x v="14"/>
    <s v="Danville Community College "/>
    <m/>
    <n v="231882"/>
    <x v="7"/>
    <n v="88812"/>
    <n v="85382"/>
    <n v="58317"/>
    <n v="57605"/>
    <n v="20500"/>
    <n v="18086"/>
    <n v="9382"/>
    <n v="613"/>
    <n v="0"/>
    <n v="9107"/>
    <n v="584"/>
    <m/>
    <m/>
    <m/>
    <n v="0"/>
    <n v="0"/>
    <n v="0"/>
    <n v="0"/>
    <n v="0"/>
    <n v="0"/>
    <n v="0"/>
    <n v="0"/>
    <n v="0"/>
    <n v="0"/>
    <n v="0"/>
    <m/>
    <n v="0"/>
    <m/>
  </r>
  <r>
    <x v="14"/>
    <s v="Germanna Community College"/>
    <m/>
    <n v="232195"/>
    <x v="7"/>
    <n v="131957"/>
    <n v="139901"/>
    <n v="81676"/>
    <n v="68757"/>
    <n v="16152"/>
    <n v="18585"/>
    <n v="21591"/>
    <n v="12538"/>
    <n v="0"/>
    <n v="27980"/>
    <n v="24579"/>
    <m/>
    <m/>
    <m/>
    <n v="0"/>
    <n v="0"/>
    <n v="0"/>
    <n v="0"/>
    <n v="0"/>
    <n v="0"/>
    <n v="0"/>
    <n v="0"/>
    <n v="0"/>
    <n v="0"/>
    <n v="0"/>
    <m/>
    <n v="0"/>
    <m/>
  </r>
  <r>
    <x v="14"/>
    <s v="John Tyler Community College"/>
    <s v="Met the criteria for Two-Year 1 in 2011-12."/>
    <n v="232450"/>
    <x v="7"/>
    <n v="181574"/>
    <n v="190338"/>
    <n v="120678"/>
    <n v="122195"/>
    <n v="20587"/>
    <n v="20761"/>
    <n v="40107"/>
    <n v="202"/>
    <n v="0"/>
    <n v="47182"/>
    <n v="200"/>
    <m/>
    <m/>
    <m/>
    <n v="0"/>
    <n v="0"/>
    <n v="0"/>
    <n v="0"/>
    <n v="0"/>
    <n v="0"/>
    <n v="0"/>
    <n v="0"/>
    <n v="0"/>
    <n v="0"/>
    <n v="0"/>
    <m/>
    <n v="0"/>
    <m/>
  </r>
  <r>
    <x v="14"/>
    <s v="Lord Fairfax Community College"/>
    <m/>
    <n v="232575"/>
    <x v="7"/>
    <n v="117744"/>
    <n v="123923"/>
    <n v="72683"/>
    <n v="71369"/>
    <n v="18552"/>
    <n v="19623"/>
    <n v="18969"/>
    <n v="7540"/>
    <n v="0"/>
    <n v="26289"/>
    <n v="6642"/>
    <m/>
    <m/>
    <m/>
    <n v="0"/>
    <n v="0"/>
    <n v="0"/>
    <n v="0"/>
    <n v="0"/>
    <n v="0"/>
    <n v="0"/>
    <n v="0"/>
    <n v="0"/>
    <n v="0"/>
    <n v="0"/>
    <m/>
    <n v="0"/>
    <m/>
  </r>
  <r>
    <x v="14"/>
    <s v="New River Community College "/>
    <m/>
    <n v="232867"/>
    <x v="7"/>
    <n v="101175"/>
    <n v="100166"/>
    <n v="42150"/>
    <n v="36784"/>
    <n v="30343"/>
    <n v="30117"/>
    <n v="28244"/>
    <n v="438"/>
    <n v="0"/>
    <n v="32557"/>
    <n v="708"/>
    <m/>
    <m/>
    <m/>
    <n v="0"/>
    <n v="0"/>
    <n v="0"/>
    <n v="0"/>
    <n v="0"/>
    <n v="0"/>
    <n v="0"/>
    <n v="0"/>
    <n v="0"/>
    <n v="0"/>
    <n v="0"/>
    <m/>
    <n v="0"/>
    <m/>
  </r>
  <r>
    <x v="14"/>
    <s v="Patrick Henry Community College "/>
    <s v="Reclassified: Met the criteria for Two-Year 2 in 2009-10, 2010-11, and 2011-12."/>
    <n v="233019"/>
    <x v="7"/>
    <n v="76247"/>
    <n v="65095"/>
    <n v="40582"/>
    <n v="27821"/>
    <n v="12047"/>
    <n v="9870"/>
    <n v="22539"/>
    <n v="1079"/>
    <n v="0"/>
    <n v="25207"/>
    <n v="2197"/>
    <m/>
    <m/>
    <m/>
    <n v="0"/>
    <n v="0"/>
    <n v="0"/>
    <n v="0"/>
    <n v="0"/>
    <n v="0"/>
    <n v="0"/>
    <n v="0"/>
    <n v="0"/>
    <n v="0"/>
    <n v="0"/>
    <m/>
    <n v="0"/>
    <m/>
  </r>
  <r>
    <x v="14"/>
    <s v="Piedmont Virginia Community College "/>
    <m/>
    <n v="233116"/>
    <x v="7"/>
    <n v="88143"/>
    <n v="75059"/>
    <n v="63828"/>
    <n v="39726"/>
    <n v="11644"/>
    <n v="10088"/>
    <n v="12671"/>
    <n v="0"/>
    <n v="0"/>
    <n v="23333"/>
    <n v="1912"/>
    <m/>
    <m/>
    <m/>
    <n v="0"/>
    <n v="0"/>
    <n v="0"/>
    <n v="0"/>
    <n v="0"/>
    <n v="0"/>
    <n v="0"/>
    <n v="0"/>
    <n v="0"/>
    <n v="0"/>
    <n v="0"/>
    <m/>
    <n v="0"/>
    <m/>
  </r>
  <r>
    <x v="14"/>
    <s v="Southside Virginia Community College"/>
    <m/>
    <n v="233639"/>
    <x v="7"/>
    <n v="115613"/>
    <n v="91630"/>
    <n v="32261"/>
    <n v="64414"/>
    <n v="55544"/>
    <n v="11752"/>
    <n v="26485"/>
    <n v="1323"/>
    <n v="0"/>
    <n v="15052"/>
    <n v="412"/>
    <m/>
    <m/>
    <m/>
    <n v="0"/>
    <n v="0"/>
    <n v="0"/>
    <n v="0"/>
    <n v="0"/>
    <n v="0"/>
    <n v="0"/>
    <n v="0"/>
    <n v="0"/>
    <n v="0"/>
    <n v="0"/>
    <m/>
    <n v="0"/>
    <m/>
  </r>
  <r>
    <x v="14"/>
    <s v="Southwest Virginia Community College "/>
    <m/>
    <n v="233648"/>
    <x v="7"/>
    <n v="75145"/>
    <n v="120284"/>
    <n v="29666"/>
    <n v="31186"/>
    <n v="23308"/>
    <n v="58575"/>
    <n v="18796"/>
    <n v="3375"/>
    <n v="0"/>
    <n v="29145"/>
    <n v="1378"/>
    <m/>
    <m/>
    <m/>
    <n v="0"/>
    <n v="0"/>
    <n v="0"/>
    <n v="0"/>
    <n v="0"/>
    <n v="0"/>
    <n v="0"/>
    <n v="0"/>
    <n v="0"/>
    <n v="0"/>
    <n v="0"/>
    <m/>
    <n v="0"/>
    <m/>
  </r>
  <r>
    <x v="14"/>
    <s v="Virginia Western Community College "/>
    <m/>
    <n v="233949"/>
    <x v="7"/>
    <n v="147852"/>
    <n v="66830"/>
    <n v="97067"/>
    <n v="26128"/>
    <n v="22641"/>
    <n v="18665"/>
    <n v="21467"/>
    <n v="6677"/>
    <n v="0"/>
    <n v="18884"/>
    <n v="3153"/>
    <m/>
    <m/>
    <m/>
    <n v="0"/>
    <n v="0"/>
    <n v="0"/>
    <n v="0"/>
    <n v="0"/>
    <n v="0"/>
    <n v="0"/>
    <n v="0"/>
    <n v="0"/>
    <n v="0"/>
    <n v="0"/>
    <m/>
    <n v="0"/>
    <m/>
  </r>
  <r>
    <x v="14"/>
    <s v="Wytheville Community College "/>
    <s v="Reclassified: Met the criteria for Two-Year 2 in 2009-10, 2010-11, and 2011-12."/>
    <n v="234377"/>
    <x v="7"/>
    <n v="74124"/>
    <n v="72616"/>
    <n v="18220"/>
    <n v="16905"/>
    <n v="22192"/>
    <n v="19578"/>
    <n v="29253"/>
    <n v="4459"/>
    <n v="0"/>
    <n v="32402"/>
    <n v="3731"/>
    <m/>
    <m/>
    <m/>
    <n v="0"/>
    <n v="0"/>
    <n v="0"/>
    <n v="0"/>
    <n v="0"/>
    <n v="0"/>
    <n v="0"/>
    <n v="0"/>
    <n v="0"/>
    <n v="0"/>
    <n v="0"/>
    <m/>
    <n v="0"/>
    <m/>
  </r>
  <r>
    <x v="14"/>
    <s v="D.S. Lancaster Community College "/>
    <m/>
    <n v="231873"/>
    <x v="8"/>
    <n v="26089"/>
    <n v="147745"/>
    <n v="9774"/>
    <n v="97857"/>
    <n v="5978"/>
    <n v="21373"/>
    <n v="2487"/>
    <n v="7850"/>
    <n v="0"/>
    <n v="21550"/>
    <n v="6965"/>
    <m/>
    <m/>
    <m/>
    <n v="0"/>
    <n v="0"/>
    <n v="0"/>
    <n v="0"/>
    <n v="0"/>
    <n v="0"/>
    <n v="0"/>
    <n v="0"/>
    <n v="0"/>
    <n v="0"/>
    <n v="0"/>
    <m/>
    <n v="0"/>
    <m/>
  </r>
  <r>
    <x v="14"/>
    <s v="Eastern Shore Community College"/>
    <m/>
    <n v="232052"/>
    <x v="8"/>
    <n v="20534"/>
    <n v="26632"/>
    <n v="14384"/>
    <n v="9670"/>
    <n v="2661"/>
    <n v="6672"/>
    <n v="3489"/>
    <n v="0"/>
    <n v="0"/>
    <n v="2708"/>
    <n v="7582"/>
    <m/>
    <m/>
    <m/>
    <n v="0"/>
    <n v="0"/>
    <n v="0"/>
    <n v="0"/>
    <n v="0"/>
    <n v="0"/>
    <n v="0"/>
    <n v="0"/>
    <n v="0"/>
    <n v="0"/>
    <n v="0"/>
    <m/>
    <n v="0"/>
    <m/>
  </r>
  <r>
    <x v="14"/>
    <s v="Mountain Empire Community College"/>
    <s v="Met the criteria for Two-Year 2 in 2010-11 and 2011-12."/>
    <n v="232788"/>
    <x v="8"/>
    <n v="65947"/>
    <n v="20212"/>
    <n v="29771"/>
    <n v="14180"/>
    <n v="10524"/>
    <n v="2383"/>
    <n v="23917"/>
    <n v="1735"/>
    <n v="0"/>
    <n v="3649"/>
    <n v="0"/>
    <m/>
    <m/>
    <m/>
    <n v="0"/>
    <n v="0"/>
    <n v="0"/>
    <n v="0"/>
    <n v="0"/>
    <n v="0"/>
    <n v="0"/>
    <n v="0"/>
    <n v="0"/>
    <n v="0"/>
    <n v="0"/>
    <m/>
    <n v="0"/>
    <m/>
  </r>
  <r>
    <x v="14"/>
    <s v="Paul D. Camp Community College"/>
    <m/>
    <n v="233037"/>
    <x v="8"/>
    <n v="30751"/>
    <n v="33209"/>
    <n v="17424"/>
    <n v="17625"/>
    <n v="5763"/>
    <n v="5671"/>
    <n v="6406"/>
    <n v="1158"/>
    <n v="0"/>
    <n v="7655"/>
    <n v="2258"/>
    <m/>
    <m/>
    <m/>
    <n v="0"/>
    <n v="0"/>
    <n v="0"/>
    <n v="0"/>
    <n v="0"/>
    <n v="0"/>
    <n v="0"/>
    <n v="0"/>
    <n v="0"/>
    <n v="0"/>
    <n v="0"/>
    <m/>
    <n v="0"/>
    <m/>
  </r>
  <r>
    <x v="14"/>
    <s v="Rappahannock Community College"/>
    <s v="Met the criteria for Two-Year 2 in 2011-12."/>
    <n v="233310"/>
    <x v="8"/>
    <n v="58268"/>
    <n v="60806"/>
    <n v="16725"/>
    <n v="17501"/>
    <n v="16035"/>
    <n v="16122"/>
    <n v="12884"/>
    <n v="12624"/>
    <n v="0"/>
    <n v="15331"/>
    <n v="11852"/>
    <m/>
    <m/>
    <m/>
    <n v="0"/>
    <n v="0"/>
    <n v="0"/>
    <n v="0"/>
    <n v="0"/>
    <n v="0"/>
    <n v="0"/>
    <n v="0"/>
    <n v="0"/>
    <n v="0"/>
    <n v="0"/>
    <m/>
    <n v="0"/>
    <m/>
  </r>
  <r>
    <x v="14"/>
    <s v="Richard Bland College "/>
    <m/>
    <n v="233338"/>
    <x v="8"/>
    <n v="35209"/>
    <n v="35253"/>
    <n v="32786"/>
    <n v="32172"/>
    <n v="1572"/>
    <n v="2100"/>
    <n v="851"/>
    <n v="0"/>
    <n v="0"/>
    <n v="981"/>
    <n v="0"/>
    <m/>
    <m/>
    <m/>
    <n v="0"/>
    <n v="0"/>
    <n v="0"/>
    <n v="0"/>
    <n v="0"/>
    <n v="0"/>
    <n v="0"/>
    <n v="0"/>
    <n v="0"/>
    <n v="0"/>
    <n v="0"/>
    <m/>
    <n v="0"/>
    <m/>
  </r>
  <r>
    <x v="14"/>
    <s v="Virginia Highlands Community College "/>
    <m/>
    <n v="233903"/>
    <x v="8"/>
    <n v="56123"/>
    <n v="54973"/>
    <n v="34830"/>
    <n v="32955"/>
    <n v="7037"/>
    <n v="7638"/>
    <n v="11977"/>
    <n v="2279"/>
    <n v="0"/>
    <n v="12204"/>
    <n v="2176"/>
    <m/>
    <m/>
    <m/>
    <n v="0"/>
    <n v="0"/>
    <n v="0"/>
    <n v="0"/>
    <n v="0"/>
    <n v="0"/>
    <n v="0"/>
    <n v="0"/>
    <n v="0"/>
    <n v="0"/>
    <n v="0"/>
    <m/>
    <n v="0"/>
    <m/>
  </r>
  <r>
    <x v="15"/>
    <s v="West Virginia University"/>
    <m/>
    <n v="238032"/>
    <x v="0"/>
    <n v="650374"/>
    <n v="662072"/>
    <n v="606693"/>
    <n v="612957"/>
    <n v="1175"/>
    <n v="1533"/>
    <n v="39902"/>
    <m/>
    <n v="2604"/>
    <n v="44920"/>
    <n v="24"/>
    <n v="2638"/>
    <m/>
    <m/>
    <n v="112337"/>
    <n v="111929"/>
    <n v="74358"/>
    <n v="73384"/>
    <n v="10645"/>
    <n v="10052"/>
    <n v="24476"/>
    <n v="2395"/>
    <n v="463"/>
    <n v="27481"/>
    <n v="830"/>
    <n v="182"/>
    <m/>
    <m/>
  </r>
  <r>
    <x v="15"/>
    <s v="Marshall University "/>
    <m/>
    <n v="237525"/>
    <x v="2"/>
    <n v="268026"/>
    <n v="274112"/>
    <n v="218335"/>
    <n v="219156"/>
    <n v="14845"/>
    <n v="16098"/>
    <n v="34600"/>
    <n v="246"/>
    <m/>
    <n v="37728"/>
    <n v="1130"/>
    <m/>
    <m/>
    <m/>
    <n v="55610"/>
    <n v="55072"/>
    <n v="18341"/>
    <n v="16283"/>
    <n v="24862"/>
    <n v="27662"/>
    <n v="11933"/>
    <n v="474"/>
    <m/>
    <n v="10989"/>
    <n v="138"/>
    <m/>
    <m/>
    <m/>
  </r>
  <r>
    <x v="15"/>
    <s v="Fairmont State University"/>
    <m/>
    <n v="237367"/>
    <x v="4"/>
    <n v="120046"/>
    <n v="119371"/>
    <n v="91278"/>
    <n v="90202"/>
    <n v="14672"/>
    <n v="14854"/>
    <n v="14096"/>
    <m/>
    <m/>
    <n v="14315"/>
    <m/>
    <m/>
    <m/>
    <m/>
    <n v="5087"/>
    <n v="5208"/>
    <n v="1281"/>
    <n v="1226"/>
    <m/>
    <m/>
    <n v="3806"/>
    <m/>
    <m/>
    <n v="3982"/>
    <m/>
    <m/>
    <m/>
    <m/>
  </r>
  <r>
    <x v="15"/>
    <s v="Shepherd University "/>
    <m/>
    <n v="237792"/>
    <x v="4"/>
    <n v="109161"/>
    <n v="111796"/>
    <n v="107461"/>
    <n v="110273"/>
    <m/>
    <m/>
    <n v="1700"/>
    <m/>
    <m/>
    <n v="1523"/>
    <m/>
    <m/>
    <m/>
    <m/>
    <n v="3486"/>
    <n v="3877"/>
    <n v="3132"/>
    <n v="3511"/>
    <m/>
    <m/>
    <n v="354"/>
    <m/>
    <m/>
    <n v="366"/>
    <m/>
    <m/>
    <m/>
    <m/>
  </r>
  <r>
    <x v="15"/>
    <s v="Bluefield State College "/>
    <m/>
    <n v="237215"/>
    <x v="5"/>
    <n v="56036"/>
    <n v="53681"/>
    <n v="34354"/>
    <n v="30505"/>
    <n v="2743"/>
    <n v="3414"/>
    <n v="16285"/>
    <n v="2654"/>
    <m/>
    <n v="16079"/>
    <n v="3683"/>
    <m/>
    <m/>
    <m/>
    <n v="0"/>
    <n v="0"/>
    <m/>
    <m/>
    <m/>
    <m/>
    <m/>
    <m/>
    <m/>
    <m/>
    <m/>
    <m/>
    <m/>
    <m/>
  </r>
  <r>
    <x v="15"/>
    <s v="Concord University "/>
    <m/>
    <n v="237330"/>
    <x v="5"/>
    <n v="80188"/>
    <n v="81167"/>
    <n v="65734"/>
    <n v="64357"/>
    <n v="10548"/>
    <n v="10958"/>
    <n v="3248"/>
    <n v="400"/>
    <n v="258"/>
    <n v="5259"/>
    <n v="593"/>
    <m/>
    <m/>
    <m/>
    <n v="2898"/>
    <n v="4326"/>
    <n v="165"/>
    <n v="363"/>
    <n v="342"/>
    <n v="732"/>
    <n v="2391"/>
    <m/>
    <m/>
    <n v="3231"/>
    <m/>
    <m/>
    <m/>
    <m/>
  </r>
  <r>
    <x v="15"/>
    <s v="Glenville State College "/>
    <m/>
    <n v="237385"/>
    <x v="5"/>
    <n v="44658"/>
    <n v="45017"/>
    <n v="34424"/>
    <n v="34308"/>
    <n v="4693"/>
    <n v="5066"/>
    <n v="5541"/>
    <m/>
    <m/>
    <n v="5643"/>
    <m/>
    <m/>
    <m/>
    <m/>
    <n v="0"/>
    <n v="0"/>
    <m/>
    <m/>
    <m/>
    <m/>
    <m/>
    <m/>
    <m/>
    <m/>
    <m/>
    <m/>
    <m/>
    <m/>
  </r>
  <r>
    <x v="15"/>
    <s v="West Liberty University"/>
    <m/>
    <n v="237932"/>
    <x v="5"/>
    <n v="76144"/>
    <n v="76878"/>
    <n v="67505"/>
    <n v="66294"/>
    <n v="4721"/>
    <n v="4492"/>
    <n v="3918"/>
    <m/>
    <m/>
    <n v="6092"/>
    <m/>
    <m/>
    <m/>
    <m/>
    <n v="1122"/>
    <n v="1020"/>
    <n v="51"/>
    <n v="24"/>
    <n v="1071"/>
    <n v="966"/>
    <m/>
    <m/>
    <m/>
    <n v="30"/>
    <m/>
    <m/>
    <m/>
    <m/>
  </r>
  <r>
    <x v="15"/>
    <s v="West Virginia State University "/>
    <m/>
    <n v="237899"/>
    <x v="5"/>
    <n v="76697"/>
    <n v="69990"/>
    <n v="68122"/>
    <n v="58141"/>
    <n v="2359"/>
    <n v="2294"/>
    <n v="6216"/>
    <m/>
    <m/>
    <n v="9555"/>
    <m/>
    <m/>
    <m/>
    <m/>
    <n v="757"/>
    <n v="710"/>
    <n v="757"/>
    <n v="626"/>
    <m/>
    <m/>
    <m/>
    <m/>
    <m/>
    <n v="84"/>
    <m/>
    <m/>
    <m/>
    <m/>
  </r>
  <r>
    <x v="15"/>
    <s v="West Virginia University Institute of Technology"/>
    <m/>
    <n v="237950"/>
    <x v="5"/>
    <n v="32269"/>
    <n v="32977"/>
    <n v="29837"/>
    <n v="30082"/>
    <n v="936"/>
    <n v="1123"/>
    <n v="1496"/>
    <m/>
    <m/>
    <n v="1735"/>
    <m/>
    <n v="37"/>
    <m/>
    <m/>
    <n v="0"/>
    <n v="0"/>
    <m/>
    <m/>
    <m/>
    <m/>
    <m/>
    <m/>
    <m/>
    <m/>
    <m/>
    <m/>
    <m/>
    <m/>
  </r>
  <r>
    <x v="15"/>
    <s v="Potomac State College of West Virginia University"/>
    <m/>
    <n v="237701"/>
    <x v="11"/>
    <n v="44503"/>
    <n v="45062"/>
    <n v="39718"/>
    <n v="39714"/>
    <n v="3084"/>
    <n v="3169"/>
    <n v="1701"/>
    <m/>
    <m/>
    <n v="2177"/>
    <m/>
    <n v="2"/>
    <m/>
    <m/>
    <n v="0"/>
    <n v="0"/>
    <m/>
    <m/>
    <m/>
    <m/>
    <m/>
    <m/>
    <m/>
    <m/>
    <m/>
    <m/>
    <m/>
    <m/>
  </r>
  <r>
    <x v="15"/>
    <s v="West Virginia University at Parkersburg"/>
    <m/>
    <n v="237686"/>
    <x v="11"/>
    <n v="105288"/>
    <n v="103504"/>
    <n v="63066"/>
    <n v="58448"/>
    <n v="16754"/>
    <n v="15846"/>
    <n v="24240"/>
    <m/>
    <n v="1228"/>
    <n v="28059"/>
    <m/>
    <n v="1151"/>
    <m/>
    <m/>
    <n v="0"/>
    <n v="0"/>
    <m/>
    <m/>
    <m/>
    <m/>
    <m/>
    <m/>
    <m/>
    <m/>
    <m/>
    <m/>
    <m/>
    <m/>
  </r>
  <r>
    <x v="15"/>
    <s v="West Virginia Northern Community College"/>
    <s v="Reclassified: met the criteria for Two-Year 2 in 2009-10, 2010-11 and 2011-12."/>
    <n v="238014"/>
    <x v="7"/>
    <n v="76666"/>
    <n v="71666"/>
    <n v="64578"/>
    <n v="54256"/>
    <m/>
    <m/>
    <n v="9569"/>
    <n v="2519"/>
    <m/>
    <n v="15446"/>
    <n v="1964"/>
    <m/>
    <m/>
    <m/>
    <n v="0"/>
    <n v="0"/>
    <m/>
    <m/>
    <m/>
    <m/>
    <m/>
    <m/>
    <m/>
    <m/>
    <m/>
    <m/>
    <m/>
    <m/>
  </r>
  <r>
    <x v="15"/>
    <s v="Blue Ridge Community &amp; Technical College"/>
    <m/>
    <n v="446774"/>
    <x v="8"/>
    <n v="51702"/>
    <n v="57685"/>
    <n v="26465"/>
    <n v="34001"/>
    <n v="16456"/>
    <n v="12058"/>
    <n v="8445"/>
    <m/>
    <m/>
    <n v="11494"/>
    <m/>
    <n v="132"/>
    <n v="336"/>
    <m/>
    <n v="0"/>
    <n v="0"/>
    <m/>
    <m/>
    <m/>
    <m/>
    <m/>
    <m/>
    <m/>
    <m/>
    <m/>
    <m/>
    <m/>
    <m/>
  </r>
  <r>
    <x v="15"/>
    <s v="Bridgemont Community &amp; Technical College"/>
    <m/>
    <n v="445674"/>
    <x v="8"/>
    <n v="17510"/>
    <n v="17632"/>
    <n v="13773"/>
    <n v="14010"/>
    <n v="730"/>
    <n v="753"/>
    <n v="3007"/>
    <m/>
    <m/>
    <n v="2869"/>
    <m/>
    <m/>
    <m/>
    <m/>
    <n v="0"/>
    <n v="0"/>
    <m/>
    <m/>
    <m/>
    <m/>
    <m/>
    <m/>
    <m/>
    <m/>
    <m/>
    <m/>
    <m/>
    <m/>
  </r>
  <r>
    <x v="15"/>
    <s v="Eastern West Virginia Community &amp; Technical College"/>
    <m/>
    <n v="438708"/>
    <x v="8"/>
    <n v="10754"/>
    <n v="12550"/>
    <n v="6168"/>
    <n v="6820"/>
    <n v="2071"/>
    <n v="2718"/>
    <n v="2449"/>
    <n v="66"/>
    <m/>
    <n v="2823"/>
    <n v="189"/>
    <m/>
    <m/>
    <m/>
    <n v="0"/>
    <n v="0"/>
    <m/>
    <m/>
    <m/>
    <m/>
    <m/>
    <m/>
    <m/>
    <m/>
    <m/>
    <m/>
    <m/>
    <m/>
  </r>
  <r>
    <x v="15"/>
    <s v="Kanawha Valley Community &amp; Technical College"/>
    <m/>
    <n v="445018"/>
    <x v="8"/>
    <n v="36892"/>
    <n v="37414"/>
    <n v="31293"/>
    <n v="31725"/>
    <n v="1767"/>
    <n v="2133"/>
    <n v="3832"/>
    <m/>
    <m/>
    <n v="3556"/>
    <m/>
    <m/>
    <m/>
    <m/>
    <n v="0"/>
    <n v="0"/>
    <m/>
    <m/>
    <m/>
    <m/>
    <m/>
    <m/>
    <m/>
    <m/>
    <m/>
    <m/>
    <m/>
    <m/>
  </r>
  <r>
    <x v="15"/>
    <s v="Mountwest Community &amp; Technical College"/>
    <m/>
    <n v="444954"/>
    <x v="8"/>
    <n v="57724"/>
    <n v="59067"/>
    <n v="30220"/>
    <n v="30412"/>
    <n v="17057"/>
    <n v="17059"/>
    <n v="10447"/>
    <m/>
    <m/>
    <n v="11596"/>
    <m/>
    <m/>
    <m/>
    <m/>
    <n v="0"/>
    <n v="0"/>
    <m/>
    <m/>
    <m/>
    <m/>
    <m/>
    <m/>
    <m/>
    <m/>
    <m/>
    <m/>
    <m/>
    <m/>
  </r>
  <r>
    <x v="15"/>
    <s v="New River Community &amp; Technical College"/>
    <s v="Met criteria for Two-Year 2 in 2010-11 and 2011-12."/>
    <n v="447582"/>
    <x v="8"/>
    <n v="66980"/>
    <n v="63534"/>
    <n v="43791"/>
    <n v="38629"/>
    <n v="5903"/>
    <n v="6848"/>
    <n v="13126"/>
    <n v="4124"/>
    <n v="36"/>
    <n v="13089"/>
    <n v="4914"/>
    <n v="54"/>
    <m/>
    <m/>
    <n v="0"/>
    <n v="0"/>
    <m/>
    <m/>
    <m/>
    <m/>
    <m/>
    <m/>
    <m/>
    <m/>
    <m/>
    <m/>
    <m/>
    <m/>
  </r>
  <r>
    <x v="15"/>
    <s v="Pierpont Community &amp; Technical College"/>
    <s v="Met criteria for Two-Year 2 in 2010-11 and 2011-12."/>
    <n v="443492"/>
    <x v="8"/>
    <n v="65108"/>
    <n v="68299"/>
    <n v="34513"/>
    <n v="35395"/>
    <n v="23070"/>
    <n v="24888"/>
    <n v="7525"/>
    <m/>
    <m/>
    <n v="8016"/>
    <m/>
    <m/>
    <m/>
    <m/>
    <n v="0"/>
    <n v="0"/>
    <m/>
    <m/>
    <m/>
    <m/>
    <m/>
    <m/>
    <m/>
    <m/>
    <m/>
    <m/>
    <m/>
    <m/>
  </r>
  <r>
    <x v="15"/>
    <s v="Southern West Virginia Community &amp; Technical College "/>
    <m/>
    <n v="237817"/>
    <x v="8"/>
    <n v="51996"/>
    <n v="49297"/>
    <n v="38961"/>
    <n v="35936"/>
    <n v="3577"/>
    <n v="3956"/>
    <n v="6090"/>
    <n v="3368"/>
    <m/>
    <n v="7567"/>
    <n v="1838"/>
    <m/>
    <m/>
    <m/>
    <n v="0"/>
    <n v="0"/>
    <m/>
    <m/>
    <m/>
    <m/>
    <m/>
    <m/>
    <m/>
    <m/>
    <m/>
    <m/>
    <m/>
    <m/>
  </r>
</pivotCacheRecords>
</file>

<file path=xl/pivotCache/pivotCacheRecords2.xml><?xml version="1.0" encoding="utf-8"?>
<pivotCacheRecords xmlns="http://schemas.openxmlformats.org/spreadsheetml/2006/main" xmlns:r="http://schemas.openxmlformats.org/officeDocument/2006/relationships" count="594">
  <r>
    <x v="0"/>
    <s v="Auburn University"/>
    <m/>
    <n v="100858"/>
    <x v="0"/>
    <n v="585553"/>
    <n v="592715"/>
    <n v="572553"/>
    <n v="571694"/>
    <m/>
    <m/>
    <n v="13000"/>
    <m/>
    <m/>
    <n v="21021"/>
    <m/>
    <m/>
    <m/>
    <m/>
    <n v="94961"/>
    <n v="98025"/>
    <n v="80968"/>
    <n v="81292"/>
    <n v="2332"/>
    <n v="2274"/>
    <n v="11661"/>
    <m/>
    <m/>
    <n v="14459"/>
    <m/>
    <m/>
    <m/>
    <m/>
  </r>
  <r>
    <x v="0"/>
    <s v="University of Alabama "/>
    <m/>
    <n v="100751"/>
    <x v="0"/>
    <n v="820825"/>
    <n v="851688"/>
    <n v="756919"/>
    <n v="779628"/>
    <n v="221"/>
    <n v="377"/>
    <n v="63366"/>
    <n v="319"/>
    <m/>
    <n v="71092"/>
    <n v="591"/>
    <m/>
    <m/>
    <m/>
    <n v="95498"/>
    <n v="95376"/>
    <n v="76893"/>
    <n v="75698"/>
    <n v="3329"/>
    <n v="3232"/>
    <n v="14991"/>
    <n v="285"/>
    <m/>
    <n v="16107"/>
    <n v="339"/>
    <m/>
    <m/>
    <m/>
  </r>
  <r>
    <x v="0"/>
    <s v="University of Alabama at Birmingham"/>
    <s v="Met the criteria for Four-Year 1 in 2014-15."/>
    <n v="100663"/>
    <x v="1"/>
    <n v="267690"/>
    <n v="265514"/>
    <n v="219422"/>
    <n v="211042"/>
    <n v="147"/>
    <n v="138"/>
    <n v="47769"/>
    <n v="352"/>
    <m/>
    <n v="54232"/>
    <n v="102"/>
    <m/>
    <m/>
    <m/>
    <n v="44933"/>
    <n v="44293"/>
    <n v="33244"/>
    <n v="29061"/>
    <n v="1138"/>
    <n v="1918"/>
    <n v="10313"/>
    <n v="238"/>
    <m/>
    <n v="13097"/>
    <n v="217"/>
    <m/>
    <m/>
    <m/>
  </r>
  <r>
    <x v="0"/>
    <s v="University of Alabama in Huntsville"/>
    <m/>
    <n v="100706"/>
    <x v="1"/>
    <n v="147375"/>
    <n v="145893"/>
    <n v="143734"/>
    <n v="142452"/>
    <m/>
    <m/>
    <n v="3641"/>
    <m/>
    <m/>
    <n v="3441"/>
    <m/>
    <m/>
    <m/>
    <m/>
    <n v="24568"/>
    <n v="25297"/>
    <n v="20235"/>
    <n v="20850"/>
    <m/>
    <m/>
    <n v="4333"/>
    <m/>
    <m/>
    <n v="4447"/>
    <m/>
    <m/>
    <m/>
    <m/>
  </r>
  <r>
    <x v="0"/>
    <s v="Alabama Agricultural &amp; Mechanical University"/>
    <m/>
    <n v="100654"/>
    <x v="2"/>
    <n v="112522"/>
    <n v="114052"/>
    <n v="111823"/>
    <n v="109398"/>
    <m/>
    <m/>
    <n v="699"/>
    <m/>
    <m/>
    <n v="4654"/>
    <m/>
    <m/>
    <m/>
    <m/>
    <n v="16557"/>
    <n v="19870"/>
    <n v="16516"/>
    <n v="19327"/>
    <n v="41"/>
    <m/>
    <m/>
    <m/>
    <m/>
    <n v="543"/>
    <m/>
    <m/>
    <m/>
    <m/>
  </r>
  <r>
    <x v="0"/>
    <s v="Jacksonville State University "/>
    <m/>
    <n v="101480"/>
    <x v="2"/>
    <n v="201752"/>
    <n v="194584"/>
    <n v="158216"/>
    <n v="153032"/>
    <n v="1994"/>
    <n v="2890"/>
    <n v="39438"/>
    <n v="2104"/>
    <m/>
    <n v="36841"/>
    <n v="1821"/>
    <m/>
    <m/>
    <m/>
    <n v="16614"/>
    <n v="15877"/>
    <n v="4510"/>
    <n v="4233"/>
    <m/>
    <m/>
    <n v="12104"/>
    <m/>
    <m/>
    <n v="11644"/>
    <m/>
    <m/>
    <m/>
    <m/>
  </r>
  <r>
    <x v="0"/>
    <s v="Troy University"/>
    <m/>
    <n v="102368"/>
    <x v="2"/>
    <n v="279141"/>
    <n v="268959"/>
    <n v="208607"/>
    <n v="203995"/>
    <n v="742"/>
    <n v="448"/>
    <n v="69627"/>
    <m/>
    <n v="165"/>
    <n v="64060"/>
    <m/>
    <n v="456"/>
    <m/>
    <m/>
    <n v="38484"/>
    <n v="36287"/>
    <n v="25560"/>
    <n v="22908"/>
    <n v="168"/>
    <n v="51"/>
    <n v="12258"/>
    <m/>
    <n v="498"/>
    <n v="13208"/>
    <m/>
    <n v="120"/>
    <m/>
    <m/>
  </r>
  <r>
    <x v="0"/>
    <s v="University of South Alabama"/>
    <m/>
    <n v="102094"/>
    <x v="2"/>
    <n v="267274"/>
    <n v="271939"/>
    <n v="244306"/>
    <n v="246414"/>
    <n v="172"/>
    <n v="208"/>
    <n v="22796"/>
    <m/>
    <m/>
    <n v="25317"/>
    <m/>
    <m/>
    <m/>
    <m/>
    <n v="15612"/>
    <n v="18830"/>
    <n v="11456"/>
    <n v="14495"/>
    <m/>
    <m/>
    <n v="4156"/>
    <m/>
    <m/>
    <n v="4335"/>
    <m/>
    <m/>
    <m/>
    <m/>
  </r>
  <r>
    <x v="0"/>
    <s v="Alabama State University "/>
    <m/>
    <n v="100724"/>
    <x v="3"/>
    <n v="161087"/>
    <n v="152105"/>
    <n v="150872"/>
    <n v="139319"/>
    <n v="42"/>
    <n v="57"/>
    <n v="10173"/>
    <m/>
    <m/>
    <n v="12729"/>
    <m/>
    <m/>
    <m/>
    <m/>
    <n v="15174"/>
    <n v="15238"/>
    <n v="11775"/>
    <n v="12060"/>
    <n v="99"/>
    <n v="63"/>
    <n v="3300"/>
    <m/>
    <m/>
    <n v="3115"/>
    <m/>
    <m/>
    <m/>
    <m/>
  </r>
  <r>
    <x v="0"/>
    <s v="Auburn University at Montgomery"/>
    <m/>
    <n v="100830"/>
    <x v="3"/>
    <n v="107565"/>
    <n v="108187"/>
    <n v="86432"/>
    <n v="86321"/>
    <n v="2523"/>
    <n v="2052"/>
    <n v="18610"/>
    <m/>
    <m/>
    <n v="19814"/>
    <m/>
    <m/>
    <m/>
    <m/>
    <n v="12306"/>
    <n v="11092"/>
    <n v="6793"/>
    <n v="4875"/>
    <n v="411"/>
    <n v="126"/>
    <n v="5102"/>
    <m/>
    <m/>
    <n v="6091"/>
    <m/>
    <m/>
    <m/>
    <m/>
  </r>
  <r>
    <x v="0"/>
    <s v="University of North Alabama"/>
    <s v="Met the criteria for Four-Year 3 in 2014-15."/>
    <n v="101879"/>
    <x v="3"/>
    <n v="156277"/>
    <n v="149700"/>
    <n v="128813"/>
    <n v="123687"/>
    <n v="333"/>
    <m/>
    <n v="27131"/>
    <m/>
    <m/>
    <n v="26013"/>
    <m/>
    <m/>
    <m/>
    <m/>
    <n v="13746"/>
    <n v="13021"/>
    <n v="5098"/>
    <n v="4610"/>
    <n v="657"/>
    <m/>
    <n v="7991"/>
    <m/>
    <m/>
    <n v="8411"/>
    <m/>
    <m/>
    <m/>
    <m/>
  </r>
  <r>
    <x v="0"/>
    <s v="University of Montevallo"/>
    <m/>
    <n v="101709"/>
    <x v="4"/>
    <n v="74167"/>
    <n v="74112"/>
    <n v="72557"/>
    <n v="71789"/>
    <n v="95"/>
    <n v="75"/>
    <n v="1515"/>
    <m/>
    <m/>
    <n v="2248"/>
    <m/>
    <m/>
    <m/>
    <m/>
    <n v="8282.5"/>
    <n v="7559"/>
    <n v="6796.5"/>
    <n v="6272"/>
    <n v="98"/>
    <n v="113"/>
    <n v="1388"/>
    <m/>
    <m/>
    <n v="1174"/>
    <m/>
    <m/>
    <m/>
    <m/>
  </r>
  <r>
    <x v="0"/>
    <s v="University of West Alabama"/>
    <m/>
    <n v="101587"/>
    <x v="4"/>
    <n v="52363"/>
    <n v="51775"/>
    <n v="48201"/>
    <n v="47629"/>
    <n v="501"/>
    <n v="425"/>
    <n v="3661"/>
    <m/>
    <m/>
    <n v="3721"/>
    <m/>
    <m/>
    <m/>
    <m/>
    <n v="37813"/>
    <n v="32227"/>
    <n v="4667"/>
    <n v="3232"/>
    <n v="9"/>
    <m/>
    <n v="33137"/>
    <m/>
    <m/>
    <n v="28995"/>
    <m/>
    <m/>
    <m/>
    <m/>
  </r>
  <r>
    <x v="0"/>
    <s v="Athens State University"/>
    <m/>
    <n v="100812"/>
    <x v="5"/>
    <n v="79729"/>
    <n v="73371"/>
    <n v="26668"/>
    <n v="17326"/>
    <n v="4660"/>
    <n v="3472"/>
    <n v="48401"/>
    <m/>
    <m/>
    <n v="52573"/>
    <m/>
    <m/>
    <m/>
    <m/>
    <n v="0"/>
    <n v="0"/>
    <m/>
    <m/>
    <m/>
    <m/>
    <m/>
    <m/>
    <m/>
    <m/>
    <m/>
    <m/>
    <m/>
    <m/>
  </r>
  <r>
    <x v="0"/>
    <s v="Gadsden State Community College"/>
    <s v="Met the criteria for Two-Year 2 in 2013-14 and 2014-15."/>
    <n v="101240"/>
    <x v="6"/>
    <n v="138918"/>
    <n v="129944"/>
    <n v="116399"/>
    <n v="107713"/>
    <m/>
    <n v="0"/>
    <n v="22519"/>
    <m/>
    <m/>
    <n v="22231"/>
    <n v="0"/>
    <n v="0"/>
    <m/>
    <m/>
    <n v="0"/>
    <n v="0"/>
    <m/>
    <m/>
    <m/>
    <m/>
    <m/>
    <m/>
    <m/>
    <m/>
    <m/>
    <m/>
    <m/>
    <m/>
  </r>
  <r>
    <x v="0"/>
    <s v="Jefferson State Community College"/>
    <m/>
    <n v="101505"/>
    <x v="6"/>
    <n v="178385"/>
    <n v="173477"/>
    <n v="106046"/>
    <n v="100050"/>
    <n v="22954"/>
    <n v="22495"/>
    <n v="47935"/>
    <n v="1450"/>
    <m/>
    <n v="49410"/>
    <n v="1522"/>
    <n v="0"/>
    <m/>
    <m/>
    <n v="0"/>
    <n v="0"/>
    <m/>
    <m/>
    <m/>
    <m/>
    <m/>
    <m/>
    <m/>
    <m/>
    <m/>
    <m/>
    <m/>
    <m/>
  </r>
  <r>
    <x v="0"/>
    <s v="John C. Calhoun State Community College "/>
    <m/>
    <n v="101514"/>
    <x v="6"/>
    <n v="236477"/>
    <n v="231264"/>
    <n v="187467"/>
    <n v="169740"/>
    <m/>
    <n v="0"/>
    <n v="49010"/>
    <m/>
    <m/>
    <n v="61524"/>
    <n v="0"/>
    <n v="0"/>
    <m/>
    <m/>
    <n v="0"/>
    <n v="0"/>
    <m/>
    <m/>
    <m/>
    <m/>
    <m/>
    <m/>
    <m/>
    <m/>
    <m/>
    <m/>
    <m/>
    <m/>
  </r>
  <r>
    <x v="0"/>
    <s v="Wallace Community College - Hanceville"/>
    <s v="Reclassified: Met the criteria for Two-Year 2 in 2012-13, 2013-14, and 2014-15."/>
    <n v="101295"/>
    <x v="7"/>
    <n v="133233"/>
    <n v="132422"/>
    <n v="105022"/>
    <n v="103727"/>
    <m/>
    <n v="0"/>
    <n v="28211"/>
    <m/>
    <m/>
    <n v="28695"/>
    <n v="0"/>
    <n v="0"/>
    <m/>
    <m/>
    <n v="0"/>
    <n v="0"/>
    <m/>
    <m/>
    <m/>
    <m/>
    <m/>
    <m/>
    <m/>
    <m/>
    <m/>
    <m/>
    <m/>
    <m/>
  </r>
  <r>
    <x v="0"/>
    <s v="Bevill State Community College"/>
    <m/>
    <n v="102429"/>
    <x v="7"/>
    <n v="86442"/>
    <n v="83868"/>
    <n v="22608"/>
    <n v="21874"/>
    <n v="42627"/>
    <n v="40741"/>
    <n v="17057"/>
    <n v="4150"/>
    <m/>
    <n v="16717"/>
    <n v="4536"/>
    <n v="0"/>
    <m/>
    <m/>
    <n v="0"/>
    <n v="0"/>
    <m/>
    <m/>
    <m/>
    <m/>
    <m/>
    <m/>
    <m/>
    <m/>
    <m/>
    <m/>
    <m/>
    <m/>
  </r>
  <r>
    <x v="0"/>
    <s v="Bishop State Community College"/>
    <m/>
    <n v="102030"/>
    <x v="7"/>
    <n v="85871"/>
    <n v="79735"/>
    <n v="77380"/>
    <n v="71418"/>
    <n v="741"/>
    <n v="703"/>
    <n v="6749"/>
    <m/>
    <n v="1001"/>
    <n v="6549"/>
    <n v="0"/>
    <n v="1065"/>
    <m/>
    <m/>
    <n v="0"/>
    <n v="0"/>
    <m/>
    <m/>
    <m/>
    <m/>
    <m/>
    <m/>
    <m/>
    <m/>
    <m/>
    <m/>
    <m/>
    <m/>
  </r>
  <r>
    <x v="0"/>
    <s v="Central Alabama Community College"/>
    <s v="Reclassified: Met the criteria for Two-Year 3 in 2012-13, 2013-14, and 2014-15."/>
    <n v="100760"/>
    <x v="8"/>
    <n v="42469"/>
    <n v="40899"/>
    <n v="34960"/>
    <n v="33010"/>
    <m/>
    <n v="0"/>
    <n v="7509"/>
    <m/>
    <m/>
    <n v="7889"/>
    <n v="0"/>
    <n v="0"/>
    <m/>
    <m/>
    <n v="0"/>
    <n v="0"/>
    <m/>
    <m/>
    <m/>
    <m/>
    <m/>
    <m/>
    <m/>
    <m/>
    <m/>
    <m/>
    <m/>
    <m/>
  </r>
  <r>
    <x v="0"/>
    <s v="Enterprise State Community College"/>
    <s v="Met the criteria for Two-Year 3 in 2014-15."/>
    <n v="101143"/>
    <x v="7"/>
    <n v="60259"/>
    <n v="52649"/>
    <n v="51513"/>
    <n v="43319"/>
    <n v="312"/>
    <n v="177"/>
    <n v="8434"/>
    <m/>
    <m/>
    <n v="9153"/>
    <n v="0"/>
    <n v="0"/>
    <m/>
    <m/>
    <n v="0"/>
    <n v="0"/>
    <m/>
    <m/>
    <m/>
    <m/>
    <m/>
    <m/>
    <m/>
    <m/>
    <m/>
    <m/>
    <m/>
    <m/>
  </r>
  <r>
    <x v="0"/>
    <s v="George C. Wallace State Community College - Dothan"/>
    <m/>
    <n v="101286"/>
    <x v="7"/>
    <n v="108988"/>
    <n v="109528"/>
    <n v="78876"/>
    <n v="80398"/>
    <n v="5737"/>
    <n v="6019"/>
    <n v="24270"/>
    <m/>
    <n v="105"/>
    <n v="23111"/>
    <n v="0"/>
    <n v="0"/>
    <m/>
    <m/>
    <n v="0"/>
    <n v="0"/>
    <m/>
    <m/>
    <m/>
    <m/>
    <m/>
    <m/>
    <m/>
    <m/>
    <m/>
    <m/>
    <m/>
    <m/>
  </r>
  <r>
    <x v="0"/>
    <s v="James H. Faulkner State Community College"/>
    <m/>
    <n v="101161"/>
    <x v="7"/>
    <n v="111585"/>
    <n v="112230"/>
    <n v="54211"/>
    <n v="52423"/>
    <n v="35299"/>
    <n v="35439"/>
    <n v="20779"/>
    <m/>
    <n v="1296"/>
    <n v="23254"/>
    <n v="0"/>
    <n v="1114"/>
    <m/>
    <m/>
    <n v="0"/>
    <n v="0"/>
    <m/>
    <m/>
    <m/>
    <m/>
    <m/>
    <m/>
    <m/>
    <m/>
    <m/>
    <m/>
    <m/>
    <m/>
  </r>
  <r>
    <x v="0"/>
    <s v="Lawson State Community College "/>
    <m/>
    <n v="101569"/>
    <x v="7"/>
    <n v="77501"/>
    <n v="73746"/>
    <n v="71041"/>
    <n v="65336"/>
    <n v="869"/>
    <n v="595"/>
    <n v="5591"/>
    <m/>
    <m/>
    <n v="7815"/>
    <n v="0"/>
    <n v="0"/>
    <m/>
    <m/>
    <n v="0"/>
    <n v="0"/>
    <m/>
    <m/>
    <m/>
    <m/>
    <m/>
    <m/>
    <m/>
    <m/>
    <m/>
    <m/>
    <m/>
    <m/>
  </r>
  <r>
    <x v="0"/>
    <s v="Northeast Alabama State Community College "/>
    <m/>
    <n v="101897"/>
    <x v="7"/>
    <n v="68921"/>
    <n v="61324"/>
    <n v="45437"/>
    <n v="40831"/>
    <n v="5060"/>
    <n v="4641"/>
    <n v="18424"/>
    <m/>
    <m/>
    <n v="15852"/>
    <n v="0"/>
    <n v="0"/>
    <m/>
    <m/>
    <n v="0"/>
    <n v="0"/>
    <m/>
    <m/>
    <m/>
    <m/>
    <m/>
    <m/>
    <m/>
    <m/>
    <m/>
    <m/>
    <m/>
    <m/>
  </r>
  <r>
    <x v="0"/>
    <s v="Northwest-Shoals Community College"/>
    <m/>
    <n v="101736"/>
    <x v="7"/>
    <n v="81349"/>
    <n v="82992"/>
    <n v="72149"/>
    <n v="73551"/>
    <n v="232"/>
    <n v="262"/>
    <n v="7685"/>
    <n v="263"/>
    <n v="1020"/>
    <n v="8838"/>
    <n v="341"/>
    <n v="0"/>
    <m/>
    <m/>
    <n v="0"/>
    <n v="0"/>
    <m/>
    <m/>
    <m/>
    <m/>
    <m/>
    <m/>
    <m/>
    <m/>
    <m/>
    <m/>
    <m/>
    <m/>
  </r>
  <r>
    <x v="0"/>
    <s v="Shelton State Community College"/>
    <m/>
    <n v="102067"/>
    <x v="7"/>
    <n v="121600"/>
    <n v="117937"/>
    <n v="116656"/>
    <n v="110094"/>
    <m/>
    <n v="0"/>
    <n v="4944"/>
    <m/>
    <m/>
    <n v="7843"/>
    <n v="0"/>
    <n v="0"/>
    <m/>
    <m/>
    <n v="0"/>
    <n v="0"/>
    <m/>
    <m/>
    <m/>
    <m/>
    <m/>
    <m/>
    <m/>
    <m/>
    <m/>
    <m/>
    <m/>
    <m/>
  </r>
  <r>
    <x v="0"/>
    <s v="Southern Union State Community College"/>
    <m/>
    <n v="251260"/>
    <x v="7"/>
    <n v="121299"/>
    <n v="117831"/>
    <n v="15143"/>
    <n v="14957"/>
    <n v="87186"/>
    <n v="86906"/>
    <n v="18781"/>
    <n v="189"/>
    <m/>
    <n v="15956"/>
    <n v="12"/>
    <n v="0"/>
    <m/>
    <m/>
    <n v="0"/>
    <n v="0"/>
    <m/>
    <m/>
    <m/>
    <m/>
    <m/>
    <m/>
    <m/>
    <m/>
    <m/>
    <m/>
    <m/>
    <m/>
  </r>
  <r>
    <x v="0"/>
    <s v="Alabama Southern Community College"/>
    <m/>
    <n v="101949"/>
    <x v="8"/>
    <n v="34458"/>
    <n v="34538"/>
    <n v="12574"/>
    <n v="11946"/>
    <n v="18623"/>
    <n v="18712"/>
    <n v="3261"/>
    <m/>
    <m/>
    <n v="3880"/>
    <n v="0"/>
    <n v="0"/>
    <m/>
    <m/>
    <n v="0"/>
    <n v="0"/>
    <m/>
    <m/>
    <m/>
    <m/>
    <m/>
    <m/>
    <m/>
    <m/>
    <m/>
    <m/>
    <m/>
    <m/>
  </r>
  <r>
    <x v="0"/>
    <s v="Chattahoochee Valley State Community College "/>
    <m/>
    <n v="101028"/>
    <x v="8"/>
    <n v="44206"/>
    <n v="44710"/>
    <n v="41510"/>
    <n v="42112"/>
    <n v="83"/>
    <n v="264"/>
    <n v="2613"/>
    <m/>
    <m/>
    <n v="2334"/>
    <n v="0"/>
    <n v="0"/>
    <m/>
    <m/>
    <n v="0"/>
    <n v="0"/>
    <m/>
    <m/>
    <m/>
    <m/>
    <m/>
    <m/>
    <m/>
    <m/>
    <m/>
    <m/>
    <m/>
    <m/>
  </r>
  <r>
    <x v="0"/>
    <s v="George Corley Wallace State Community College - Selma"/>
    <m/>
    <n v="101301"/>
    <x v="8"/>
    <n v="46302"/>
    <n v="42675"/>
    <n v="29862"/>
    <n v="28005"/>
    <m/>
    <n v="0"/>
    <n v="16440"/>
    <m/>
    <m/>
    <n v="14670"/>
    <n v="0"/>
    <n v="0"/>
    <m/>
    <m/>
    <n v="0"/>
    <n v="0"/>
    <m/>
    <m/>
    <m/>
    <m/>
    <m/>
    <m/>
    <m/>
    <m/>
    <m/>
    <m/>
    <m/>
    <m/>
  </r>
  <r>
    <x v="0"/>
    <s v="Jefferson Davis Community College"/>
    <m/>
    <n v="101499"/>
    <x v="8"/>
    <n v="28260"/>
    <n v="28046"/>
    <n v="12266"/>
    <n v="13076"/>
    <n v="11732"/>
    <n v="11167"/>
    <n v="4145"/>
    <m/>
    <n v="117"/>
    <n v="3803"/>
    <n v="0"/>
    <n v="0"/>
    <m/>
    <m/>
    <n v="0"/>
    <n v="0"/>
    <m/>
    <m/>
    <m/>
    <m/>
    <m/>
    <m/>
    <m/>
    <m/>
    <m/>
    <m/>
    <m/>
    <m/>
  </r>
  <r>
    <x v="0"/>
    <s v="Lurleen B. Wallace Community College "/>
    <m/>
    <n v="101602"/>
    <x v="8"/>
    <n v="39424"/>
    <n v="39670"/>
    <n v="30727"/>
    <n v="30198"/>
    <n v="1130"/>
    <n v="846"/>
    <n v="7495"/>
    <m/>
    <n v="72"/>
    <n v="8626"/>
    <n v="0"/>
    <n v="0"/>
    <m/>
    <m/>
    <n v="0"/>
    <n v="0"/>
    <m/>
    <m/>
    <m/>
    <m/>
    <m/>
    <m/>
    <m/>
    <m/>
    <m/>
    <m/>
    <m/>
    <m/>
  </r>
  <r>
    <x v="0"/>
    <s v="Snead State Community College "/>
    <m/>
    <n v="102076"/>
    <x v="8"/>
    <n v="60193"/>
    <n v="59832"/>
    <n v="35044"/>
    <n v="33186"/>
    <m/>
    <n v="0"/>
    <n v="25149"/>
    <m/>
    <m/>
    <n v="26646"/>
    <n v="0"/>
    <n v="0"/>
    <m/>
    <m/>
    <n v="0"/>
    <n v="0"/>
    <m/>
    <m/>
    <m/>
    <m/>
    <m/>
    <m/>
    <m/>
    <m/>
    <m/>
    <m/>
    <m/>
    <m/>
  </r>
  <r>
    <x v="0"/>
    <s v="Trenholm State Technical College "/>
    <m/>
    <n v="102313"/>
    <x v="9"/>
    <n v="36995"/>
    <n v="34794"/>
    <n v="14855"/>
    <n v="29878"/>
    <n v="19442"/>
    <n v="2522"/>
    <n v="2698"/>
    <m/>
    <m/>
    <n v="2394"/>
    <n v="0"/>
    <n v="0"/>
    <m/>
    <m/>
    <n v="0"/>
    <n v="0"/>
    <m/>
    <m/>
    <m/>
    <m/>
    <m/>
    <m/>
    <m/>
    <m/>
    <m/>
    <m/>
    <m/>
    <m/>
  </r>
  <r>
    <x v="0"/>
    <s v="J.F. Drake State Technical College "/>
    <m/>
    <n v="101462"/>
    <x v="10"/>
    <n v="28855"/>
    <n v="26608"/>
    <n v="23265"/>
    <n v="22997"/>
    <n v="1154"/>
    <n v="501"/>
    <n v="4436"/>
    <m/>
    <m/>
    <n v="3110"/>
    <n v="0"/>
    <n v="0"/>
    <m/>
    <m/>
    <n v="0"/>
    <n v="0"/>
    <m/>
    <m/>
    <m/>
    <m/>
    <m/>
    <m/>
    <m/>
    <m/>
    <m/>
    <m/>
    <m/>
    <m/>
  </r>
  <r>
    <x v="0"/>
    <s v="J.F. Ingram State Technical College "/>
    <m/>
    <n v="101471"/>
    <x v="10"/>
    <n v="18230"/>
    <n v="17638"/>
    <n v="18230"/>
    <n v="17638"/>
    <m/>
    <n v="0"/>
    <m/>
    <m/>
    <m/>
    <n v="0"/>
    <n v="0"/>
    <n v="0"/>
    <m/>
    <m/>
    <n v="0"/>
    <n v="0"/>
    <m/>
    <m/>
    <m/>
    <m/>
    <m/>
    <m/>
    <m/>
    <m/>
    <m/>
    <m/>
    <m/>
    <m/>
  </r>
  <r>
    <x v="0"/>
    <s v="Reid State Technical College "/>
    <m/>
    <n v="101994"/>
    <x v="10"/>
    <n v="12581"/>
    <n v="13000"/>
    <n v="11067"/>
    <n v="10290"/>
    <n v="1439"/>
    <n v="2432"/>
    <n v="75"/>
    <m/>
    <m/>
    <n v="278"/>
    <n v="0"/>
    <n v="0"/>
    <m/>
    <m/>
    <n v="0"/>
    <n v="0"/>
    <m/>
    <m/>
    <m/>
    <m/>
    <m/>
    <m/>
    <m/>
    <m/>
    <m/>
    <m/>
    <m/>
    <m/>
  </r>
  <r>
    <x v="0"/>
    <s v="Marion Military Institute"/>
    <m/>
    <n v="101648"/>
    <x v="11"/>
    <n v="12980"/>
    <n v="13624"/>
    <n v="12980"/>
    <n v="13624"/>
    <m/>
    <n v="0"/>
    <m/>
    <m/>
    <m/>
    <n v="0"/>
    <n v="0"/>
    <n v="0"/>
    <m/>
    <m/>
    <n v="0"/>
    <n v="0"/>
    <m/>
    <m/>
    <m/>
    <m/>
    <m/>
    <m/>
    <m/>
    <m/>
    <m/>
    <m/>
    <m/>
    <m/>
  </r>
  <r>
    <x v="1"/>
    <s v="University of Arkansas, Fayetteville"/>
    <m/>
    <n v="106397"/>
    <x v="0"/>
    <n v="600640"/>
    <n v="621377"/>
    <n v="548055"/>
    <n v="551799"/>
    <n v="8905"/>
    <n v="9599"/>
    <n v="36786"/>
    <n v="875"/>
    <n v="27"/>
    <n v="55649"/>
    <n v="730"/>
    <n v="0"/>
    <n v="5992"/>
    <n v="3600"/>
    <n v="77596"/>
    <n v="79534"/>
    <n v="58384"/>
    <n v="57901"/>
    <n v="3207"/>
    <n v="3145"/>
    <n v="15306"/>
    <n v="0"/>
    <n v="699"/>
    <n v="18473"/>
    <n v="3"/>
    <n v="12"/>
    <n v="0"/>
    <n v="0"/>
  </r>
  <r>
    <x v="1"/>
    <s v="Arkansas State University"/>
    <m/>
    <n v="106458"/>
    <x v="2"/>
    <n v="275783"/>
    <n v="271755"/>
    <n v="179922"/>
    <n v="176688"/>
    <n v="19998"/>
    <n v="17865"/>
    <n v="72853"/>
    <n v="2938"/>
    <n v="72"/>
    <n v="74648"/>
    <n v="2554"/>
    <n v="0"/>
    <n v="0"/>
    <n v="0"/>
    <n v="72591"/>
    <n v="72457"/>
    <n v="23533"/>
    <n v="21869"/>
    <n v="33"/>
    <n v="54"/>
    <n v="48938"/>
    <n v="18"/>
    <n v="69"/>
    <n v="50459"/>
    <n v="0"/>
    <n v="75"/>
    <n v="0"/>
    <n v="0"/>
  </r>
  <r>
    <x v="1"/>
    <s v="Arkansas Tech University"/>
    <m/>
    <n v="106467"/>
    <x v="2"/>
    <n v="222615"/>
    <n v="229610"/>
    <n v="161070"/>
    <n v="161040"/>
    <n v="10754"/>
    <n v="13384"/>
    <n v="49999"/>
    <n v="0"/>
    <n v="792"/>
    <n v="53736"/>
    <n v="0"/>
    <n v="1450"/>
    <n v="0"/>
    <n v="0"/>
    <n v="15492"/>
    <n v="15322"/>
    <n v="5872"/>
    <n v="6701"/>
    <n v="1120"/>
    <n v="371"/>
    <n v="8261"/>
    <n v="0"/>
    <n v="239"/>
    <n v="7848"/>
    <n v="0"/>
    <n v="402"/>
    <n v="0"/>
    <n v="0"/>
  </r>
  <r>
    <x v="1"/>
    <s v="University of Arkansas at Little Rock"/>
    <s v="Reclassified: Met the criteria for Four-Year 2 in 2012-13, 2013-14, and 2014-15."/>
    <n v="106245"/>
    <x v="1"/>
    <n v="232360"/>
    <n v="215915"/>
    <n v="144271"/>
    <n v="132286"/>
    <n v="21770"/>
    <n v="17779"/>
    <n v="66319"/>
    <n v="0"/>
    <n v="0"/>
    <n v="65850"/>
    <n v="0"/>
    <n v="0"/>
    <n v="0"/>
    <n v="0"/>
    <n v="44745"/>
    <n v="42737"/>
    <n v="21764"/>
    <n v="21160"/>
    <n v="12458"/>
    <n v="12108"/>
    <n v="10523"/>
    <n v="0"/>
    <n v="0"/>
    <n v="9469"/>
    <n v="0"/>
    <n v="0"/>
    <n v="0"/>
    <n v="0"/>
  </r>
  <r>
    <x v="1"/>
    <s v="University of Central Arkansas "/>
    <m/>
    <n v="106704"/>
    <x v="2"/>
    <n v="268340"/>
    <n v="268070"/>
    <n v="254471"/>
    <n v="251994"/>
    <n v="2339"/>
    <n v="2340"/>
    <n v="11032"/>
    <n v="120"/>
    <n v="0"/>
    <n v="13469"/>
    <n v="102"/>
    <n v="0"/>
    <n v="378"/>
    <n v="165"/>
    <n v="34299"/>
    <n v="37624"/>
    <n v="21641"/>
    <n v="21098"/>
    <n v="0"/>
    <n v="0"/>
    <n v="10849"/>
    <n v="1809"/>
    <n v="0"/>
    <n v="12060"/>
    <n v="4466"/>
    <n v="0"/>
    <n v="0"/>
    <n v="0"/>
  </r>
  <r>
    <x v="1"/>
    <s v="Henderson State University"/>
    <m/>
    <n v="107071"/>
    <x v="3"/>
    <n v="93951"/>
    <n v="92151"/>
    <n v="80163"/>
    <n v="78777"/>
    <n v="789"/>
    <n v="1168"/>
    <n v="12999"/>
    <n v="0"/>
    <n v="0"/>
    <n v="12206"/>
    <n v="0"/>
    <n v="0"/>
    <n v="0"/>
    <n v="0"/>
    <n v="8210"/>
    <n v="8188"/>
    <n v="4841"/>
    <n v="3442"/>
    <n v="1485"/>
    <n v="2400"/>
    <n v="1884"/>
    <n v="0"/>
    <n v="0"/>
    <n v="2346"/>
    <n v="0"/>
    <n v="0"/>
    <n v="0"/>
    <n v="0"/>
  </r>
  <r>
    <x v="1"/>
    <s v="Southern Arkansas University"/>
    <m/>
    <n v="107983"/>
    <x v="3"/>
    <n v="81929"/>
    <n v="84332"/>
    <n v="67630"/>
    <n v="68504"/>
    <n v="2316"/>
    <n v="2387"/>
    <n v="11776"/>
    <n v="207"/>
    <n v="0"/>
    <n v="13372"/>
    <n v="69"/>
    <n v="0"/>
    <n v="0"/>
    <n v="0"/>
    <n v="7587"/>
    <n v="7793"/>
    <n v="1527"/>
    <n v="1520"/>
    <n v="51"/>
    <n v="0"/>
    <n v="6009"/>
    <n v="0"/>
    <n v="0"/>
    <n v="6273"/>
    <n v="0"/>
    <n v="0"/>
    <n v="0"/>
    <n v="0"/>
  </r>
  <r>
    <x v="1"/>
    <s v="University of Arkansas at Monticello"/>
    <m/>
    <n v="106485"/>
    <x v="4"/>
    <n v="68493"/>
    <n v="69456"/>
    <n v="53770"/>
    <n v="51599"/>
    <n v="1220"/>
    <n v="3886"/>
    <n v="10311"/>
    <n v="3192"/>
    <n v="0"/>
    <n v="12501"/>
    <n v="1470"/>
    <n v="0"/>
    <n v="0"/>
    <n v="0"/>
    <n v="2892"/>
    <n v="3407"/>
    <n v="1224"/>
    <n v="582"/>
    <n v="0"/>
    <n v="0"/>
    <n v="1668"/>
    <n v="0"/>
    <n v="0"/>
    <n v="2825"/>
    <n v="0"/>
    <n v="0"/>
    <n v="0"/>
    <n v="0"/>
  </r>
  <r>
    <x v="1"/>
    <s v="University of Arkansas at Fort Smith"/>
    <m/>
    <n v="108092"/>
    <x v="5"/>
    <n v="182249"/>
    <n v="171515"/>
    <n v="155290"/>
    <n v="140791"/>
    <n v="2063"/>
    <n v="2268"/>
    <n v="24497"/>
    <n v="399"/>
    <n v="0"/>
    <n v="28225"/>
    <n v="231"/>
    <n v="0"/>
    <n v="0"/>
    <n v="0"/>
    <n v="0"/>
    <n v="0"/>
    <n v="0"/>
    <n v="0"/>
    <n v="0"/>
    <n v="0"/>
    <n v="0"/>
    <n v="0"/>
    <n v="0"/>
    <n v="0"/>
    <n v="0"/>
    <n v="0"/>
    <n v="0"/>
    <n v="0"/>
  </r>
  <r>
    <x v="1"/>
    <s v="University of Arkansas at Pine Bluff"/>
    <m/>
    <n v="106412"/>
    <x v="5"/>
    <n v="71754"/>
    <n v="69195"/>
    <n v="61379"/>
    <n v="58133"/>
    <n v="194"/>
    <n v="81"/>
    <n v="10181"/>
    <n v="0"/>
    <n v="0"/>
    <n v="10981"/>
    <n v="0"/>
    <n v="0"/>
    <n v="0"/>
    <n v="0"/>
    <n v="1581"/>
    <n v="1504"/>
    <n v="1095"/>
    <n v="1150"/>
    <n v="0"/>
    <n v="0"/>
    <n v="486"/>
    <n v="0"/>
    <n v="0"/>
    <n v="354"/>
    <n v="0"/>
    <n v="0"/>
    <n v="0"/>
    <n v="0"/>
  </r>
  <r>
    <x v="1"/>
    <s v="Northwest Arkansas Community College "/>
    <m/>
    <n v="367459"/>
    <x v="6"/>
    <n v="165681"/>
    <n v="157406"/>
    <n v="105813"/>
    <n v="99141"/>
    <n v="20344"/>
    <n v="20330"/>
    <n v="39367"/>
    <n v="157"/>
    <n v="0"/>
    <n v="37829"/>
    <n v="106"/>
    <n v="0"/>
    <n v="0"/>
    <n v="0"/>
    <n v="0"/>
    <n v="0"/>
    <m/>
    <m/>
    <m/>
    <m/>
    <m/>
    <m/>
    <m/>
    <m/>
    <m/>
    <m/>
    <m/>
    <m/>
  </r>
  <r>
    <x v="1"/>
    <s v="Pulaski Technical College"/>
    <m/>
    <n v="107664"/>
    <x v="6"/>
    <n v="237583"/>
    <n v="205923"/>
    <n v="156449"/>
    <n v="135799"/>
    <n v="1291"/>
    <n v="897"/>
    <n v="79843"/>
    <n v="0"/>
    <n v="0"/>
    <n v="69227"/>
    <n v="0"/>
    <n v="0"/>
    <n v="0"/>
    <n v="0"/>
    <n v="0"/>
    <n v="0"/>
    <m/>
    <m/>
    <m/>
    <m/>
    <m/>
    <m/>
    <m/>
    <m/>
    <m/>
    <m/>
    <m/>
    <m/>
  </r>
  <r>
    <x v="1"/>
    <s v="Arkansas State University-Beebe"/>
    <m/>
    <n v="106449"/>
    <x v="7"/>
    <n v="98088"/>
    <n v="91414"/>
    <n v="65629"/>
    <n v="61933"/>
    <n v="10472"/>
    <n v="10053"/>
    <n v="21987"/>
    <n v="0"/>
    <n v="0"/>
    <n v="19428"/>
    <n v="0"/>
    <n v="0"/>
    <n v="0"/>
    <n v="0"/>
    <n v="0"/>
    <n v="0"/>
    <m/>
    <m/>
    <m/>
    <m/>
    <m/>
    <m/>
    <m/>
    <m/>
    <m/>
    <m/>
    <m/>
    <m/>
  </r>
  <r>
    <x v="1"/>
    <s v="National Park Community College"/>
    <m/>
    <n v="106980"/>
    <x v="7"/>
    <n v="64854"/>
    <n v="61755"/>
    <n v="53126"/>
    <n v="49925"/>
    <n v="19"/>
    <n v="79"/>
    <n v="11709"/>
    <n v="0"/>
    <n v="0"/>
    <n v="11751"/>
    <n v="0"/>
    <n v="0"/>
    <n v="0"/>
    <n v="0"/>
    <n v="0"/>
    <n v="0"/>
    <m/>
    <m/>
    <m/>
    <m/>
    <m/>
    <m/>
    <m/>
    <m/>
    <m/>
    <m/>
    <m/>
    <m/>
  </r>
  <r>
    <x v="1"/>
    <s v="Arkansas Northeastern College"/>
    <m/>
    <n v="107327"/>
    <x v="8"/>
    <n v="31196"/>
    <n v="26988"/>
    <n v="23551"/>
    <n v="20534"/>
    <n v="1318"/>
    <n v="366"/>
    <n v="5993"/>
    <n v="334"/>
    <n v="0"/>
    <n v="6088"/>
    <n v="0"/>
    <n v="0"/>
    <n v="0"/>
    <n v="0"/>
    <n v="0"/>
    <n v="0"/>
    <m/>
    <m/>
    <m/>
    <m/>
    <m/>
    <m/>
    <m/>
    <m/>
    <m/>
    <m/>
    <m/>
    <m/>
  </r>
  <r>
    <x v="1"/>
    <s v="Arkansas State University Mountain Home"/>
    <m/>
    <n v="420538"/>
    <x v="8"/>
    <n v="35896"/>
    <n v="33665"/>
    <n v="20453"/>
    <n v="18028"/>
    <n v="774"/>
    <n v="1941"/>
    <n v="14235"/>
    <n v="434"/>
    <n v="0"/>
    <n v="13302"/>
    <n v="394"/>
    <n v="0"/>
    <n v="0"/>
    <n v="0"/>
    <n v="0"/>
    <n v="0"/>
    <m/>
    <m/>
    <m/>
    <m/>
    <m/>
    <m/>
    <m/>
    <m/>
    <m/>
    <m/>
    <m/>
    <m/>
  </r>
  <r>
    <x v="1"/>
    <s v="Arkansas State University-Newport"/>
    <m/>
    <n v="440402"/>
    <x v="8"/>
    <n v="48217"/>
    <n v="48965"/>
    <n v="23225"/>
    <n v="23542"/>
    <n v="7751"/>
    <n v="7503"/>
    <n v="16295"/>
    <n v="946"/>
    <n v="0"/>
    <n v="17146"/>
    <n v="732"/>
    <n v="42"/>
    <n v="0"/>
    <n v="0"/>
    <n v="0"/>
    <n v="0"/>
    <m/>
    <m/>
    <m/>
    <m/>
    <m/>
    <m/>
    <m/>
    <m/>
    <m/>
    <m/>
    <m/>
    <m/>
  </r>
  <r>
    <x v="1"/>
    <s v="Black River Technical College"/>
    <m/>
    <n v="106625"/>
    <x v="8"/>
    <n v="56415"/>
    <n v="48824"/>
    <n v="38548"/>
    <n v="31523"/>
    <n v="2857"/>
    <n v="3106"/>
    <n v="12835"/>
    <n v="2175"/>
    <n v="0"/>
    <n v="12575"/>
    <n v="1620"/>
    <n v="0"/>
    <n v="0"/>
    <n v="0"/>
    <n v="0"/>
    <n v="0"/>
    <m/>
    <m/>
    <m/>
    <m/>
    <m/>
    <m/>
    <m/>
    <m/>
    <m/>
    <m/>
    <m/>
    <m/>
  </r>
  <r>
    <x v="1"/>
    <s v="College of the Ouachitas"/>
    <m/>
    <n v="107521"/>
    <x v="8"/>
    <n v="28610"/>
    <n v="27685"/>
    <n v="21261"/>
    <n v="20040"/>
    <n v="2069"/>
    <n v="2112"/>
    <n v="5280"/>
    <n v="0"/>
    <n v="0"/>
    <n v="5533"/>
    <n v="0"/>
    <n v="0"/>
    <n v="0"/>
    <n v="0"/>
    <n v="0"/>
    <n v="0"/>
    <m/>
    <m/>
    <m/>
    <m/>
    <m/>
    <m/>
    <m/>
    <m/>
    <m/>
    <m/>
    <m/>
    <m/>
  </r>
  <r>
    <x v="1"/>
    <s v="Cossatot Community College of the University of Arkansas"/>
    <m/>
    <n v="106795"/>
    <x v="8"/>
    <n v="30574"/>
    <n v="29800"/>
    <n v="7249"/>
    <n v="7469"/>
    <n v="9986"/>
    <n v="9395"/>
    <n v="9469"/>
    <n v="3870"/>
    <n v="0"/>
    <n v="9025"/>
    <n v="3911"/>
    <n v="0"/>
    <n v="0"/>
    <n v="0"/>
    <n v="0"/>
    <n v="0"/>
    <m/>
    <m/>
    <m/>
    <m/>
    <m/>
    <m/>
    <m/>
    <m/>
    <m/>
    <m/>
    <m/>
    <m/>
  </r>
  <r>
    <x v="1"/>
    <s v="East Arkansas Community College "/>
    <m/>
    <n v="106883"/>
    <x v="8"/>
    <n v="27567"/>
    <n v="24356"/>
    <n v="13486"/>
    <n v="11109"/>
    <n v="7128"/>
    <n v="6605"/>
    <n v="6830"/>
    <n v="123"/>
    <n v="0"/>
    <n v="6642"/>
    <n v="0"/>
    <n v="0"/>
    <n v="0"/>
    <n v="0"/>
    <n v="0"/>
    <n v="0"/>
    <m/>
    <m/>
    <m/>
    <m/>
    <m/>
    <m/>
    <m/>
    <m/>
    <m/>
    <m/>
    <m/>
    <m/>
  </r>
  <r>
    <x v="1"/>
    <s v="Mid-South Community College "/>
    <m/>
    <n v="107318"/>
    <x v="8"/>
    <n v="35704"/>
    <n v="34220"/>
    <n v="34223"/>
    <n v="31221"/>
    <n v="284"/>
    <n v="167"/>
    <n v="1197"/>
    <n v="0"/>
    <n v="0"/>
    <n v="2832"/>
    <n v="0"/>
    <n v="0"/>
    <n v="0"/>
    <n v="0"/>
    <n v="0"/>
    <n v="0"/>
    <m/>
    <m/>
    <m/>
    <m/>
    <m/>
    <m/>
    <m/>
    <m/>
    <m/>
    <m/>
    <m/>
    <m/>
  </r>
  <r>
    <x v="1"/>
    <s v="North Arkansas College"/>
    <m/>
    <n v="107460"/>
    <x v="8"/>
    <n v="49809"/>
    <n v="45279"/>
    <n v="39293"/>
    <n v="34647"/>
    <n v="3731"/>
    <n v="3436"/>
    <n v="6785"/>
    <n v="0"/>
    <n v="0"/>
    <n v="7196"/>
    <n v="0"/>
    <n v="0"/>
    <n v="0"/>
    <n v="0"/>
    <n v="0"/>
    <n v="0"/>
    <m/>
    <m/>
    <m/>
    <m/>
    <m/>
    <m/>
    <m/>
    <m/>
    <m/>
    <m/>
    <m/>
    <m/>
  </r>
  <r>
    <x v="1"/>
    <s v="Ozarka College "/>
    <m/>
    <n v="107549"/>
    <x v="8"/>
    <n v="35567"/>
    <n v="29876"/>
    <n v="18242"/>
    <n v="15226"/>
    <n v="1445"/>
    <n v="1349"/>
    <n v="14257"/>
    <n v="1623"/>
    <n v="0"/>
    <n v="12649"/>
    <n v="652"/>
    <n v="0"/>
    <n v="0"/>
    <n v="0"/>
    <n v="0"/>
    <n v="0"/>
    <m/>
    <m/>
    <m/>
    <m/>
    <m/>
    <m/>
    <m/>
    <m/>
    <m/>
    <m/>
    <m/>
    <m/>
  </r>
  <r>
    <x v="1"/>
    <s v="Phillips Community College of the Univ of Arkansas"/>
    <m/>
    <n v="107619"/>
    <x v="8"/>
    <n v="34964"/>
    <n v="31338"/>
    <n v="28968"/>
    <n v="24381"/>
    <n v="1538"/>
    <n v="2208"/>
    <n v="2678"/>
    <n v="1730"/>
    <n v="50"/>
    <n v="2330"/>
    <n v="2419"/>
    <n v="0"/>
    <n v="0"/>
    <n v="0"/>
    <n v="0"/>
    <n v="0"/>
    <m/>
    <m/>
    <m/>
    <m/>
    <m/>
    <m/>
    <m/>
    <m/>
    <m/>
    <m/>
    <m/>
    <m/>
  </r>
  <r>
    <x v="1"/>
    <s v="Rich Mountain Community College "/>
    <m/>
    <n v="107743"/>
    <x v="8"/>
    <n v="18587"/>
    <n v="17888"/>
    <n v="10902"/>
    <n v="11033"/>
    <n v="3950"/>
    <n v="3555"/>
    <n v="3096"/>
    <n v="639"/>
    <n v="0"/>
    <n v="2706"/>
    <n v="594"/>
    <n v="0"/>
    <n v="0"/>
    <n v="0"/>
    <n v="0"/>
    <n v="0"/>
    <m/>
    <m/>
    <m/>
    <m/>
    <m/>
    <m/>
    <m/>
    <m/>
    <m/>
    <m/>
    <m/>
    <m/>
  </r>
  <r>
    <x v="1"/>
    <s v="South Arkansas Community College"/>
    <m/>
    <n v="107974"/>
    <x v="8"/>
    <n v="36571"/>
    <n v="36786"/>
    <n v="25037"/>
    <n v="25098"/>
    <n v="3122"/>
    <n v="2446"/>
    <n v="8358"/>
    <n v="0"/>
    <n v="0"/>
    <n v="9218"/>
    <n v="0"/>
    <n v="0"/>
    <n v="54"/>
    <n v="24"/>
    <n v="0"/>
    <n v="0"/>
    <m/>
    <m/>
    <m/>
    <m/>
    <m/>
    <m/>
    <m/>
    <m/>
    <m/>
    <m/>
    <m/>
    <m/>
  </r>
  <r>
    <x v="1"/>
    <s v="Southeast Arkansas College"/>
    <m/>
    <n v="107637"/>
    <x v="8"/>
    <n v="35782"/>
    <n v="33624"/>
    <n v="31820"/>
    <n v="29409"/>
    <n v="1008"/>
    <n v="496"/>
    <n v="2954"/>
    <n v="0"/>
    <n v="0"/>
    <n v="3719"/>
    <n v="0"/>
    <n v="0"/>
    <n v="0"/>
    <n v="0"/>
    <n v="0"/>
    <n v="0"/>
    <m/>
    <m/>
    <m/>
    <m/>
    <m/>
    <m/>
    <m/>
    <m/>
    <m/>
    <m/>
    <m/>
    <m/>
  </r>
  <r>
    <x v="1"/>
    <s v="Southern Arkansas University Tech"/>
    <m/>
    <n v="107992"/>
    <x v="8"/>
    <n v="39973"/>
    <n v="36573"/>
    <n v="17084"/>
    <n v="15440"/>
    <n v="15769"/>
    <n v="15449"/>
    <n v="7120"/>
    <n v="0"/>
    <n v="0"/>
    <n v="5684"/>
    <n v="0"/>
    <n v="0"/>
    <n v="0"/>
    <n v="0"/>
    <n v="0"/>
    <n v="0"/>
    <m/>
    <m/>
    <m/>
    <m/>
    <m/>
    <m/>
    <m/>
    <m/>
    <m/>
    <m/>
    <m/>
    <m/>
  </r>
  <r>
    <x v="1"/>
    <s v="University of Arkansas Community College at Batesville"/>
    <m/>
    <n v="106999"/>
    <x v="8"/>
    <n v="30294"/>
    <n v="28576"/>
    <n v="23179"/>
    <n v="19866"/>
    <n v="1249"/>
    <n v="1439"/>
    <n v="5866"/>
    <n v="0"/>
    <n v="0"/>
    <n v="7271"/>
    <n v="0"/>
    <n v="0"/>
    <n v="0"/>
    <n v="0"/>
    <n v="0"/>
    <n v="0"/>
    <m/>
    <m/>
    <m/>
    <m/>
    <m/>
    <m/>
    <m/>
    <m/>
    <m/>
    <m/>
    <m/>
    <m/>
  </r>
  <r>
    <x v="1"/>
    <s v="University of Arkansas Community College at Hope"/>
    <m/>
    <n v="107725"/>
    <x v="8"/>
    <n v="31382"/>
    <n v="28524"/>
    <n v="22394"/>
    <n v="18994"/>
    <n v="5373"/>
    <n v="5599"/>
    <n v="3180"/>
    <n v="435"/>
    <n v="0"/>
    <n v="3733"/>
    <n v="198"/>
    <n v="0"/>
    <n v="0"/>
    <n v="0"/>
    <n v="0"/>
    <n v="0"/>
    <m/>
    <m/>
    <m/>
    <m/>
    <m/>
    <m/>
    <m/>
    <m/>
    <m/>
    <m/>
    <m/>
    <m/>
  </r>
  <r>
    <x v="1"/>
    <s v="University of Arkansas Community College at Morrilton"/>
    <m/>
    <n v="107585"/>
    <x v="8"/>
    <n v="51114"/>
    <n v="47971"/>
    <n v="47366"/>
    <n v="43548"/>
    <n v="9"/>
    <n v="0"/>
    <n v="3739"/>
    <n v="0"/>
    <n v="0"/>
    <n v="4423"/>
    <n v="0"/>
    <n v="0"/>
    <n v="0"/>
    <n v="0"/>
    <n v="0"/>
    <n v="0"/>
    <m/>
    <m/>
    <m/>
    <m/>
    <m/>
    <m/>
    <m/>
    <m/>
    <m/>
    <m/>
    <m/>
    <m/>
  </r>
  <r>
    <x v="1"/>
    <s v="University of Arkansas for Medical Sciences"/>
    <m/>
    <n v="106263"/>
    <x v="11"/>
    <n v="21270"/>
    <n v="19973"/>
    <n v="21270"/>
    <n v="19973"/>
    <n v="0"/>
    <n v="0"/>
    <n v="0"/>
    <n v="0"/>
    <n v="0"/>
    <n v="0"/>
    <n v="0"/>
    <n v="0"/>
    <n v="0"/>
    <n v="0"/>
    <n v="55946"/>
    <n v="59049"/>
    <n v="55946"/>
    <n v="59049"/>
    <n v="0"/>
    <n v="0"/>
    <n v="0"/>
    <n v="0"/>
    <n v="0"/>
    <n v="0"/>
    <n v="0"/>
    <n v="0"/>
    <n v="0"/>
    <n v="0"/>
  </r>
  <r>
    <x v="2"/>
    <s v="University of Delaware"/>
    <m/>
    <n v="130943"/>
    <x v="0"/>
    <n v="539838"/>
    <n v="553571"/>
    <n v="526015"/>
    <n v="537890"/>
    <n v="0"/>
    <m/>
    <n v="13823"/>
    <n v="0"/>
    <n v="0"/>
    <n v="15681"/>
    <n v="0"/>
    <n v="0"/>
    <m/>
    <m/>
    <n v="49520"/>
    <n v="48245"/>
    <n v="47220"/>
    <n v="44562"/>
    <m/>
    <m/>
    <n v="2300"/>
    <n v="0"/>
    <n v="0"/>
    <n v="3683"/>
    <n v="0"/>
    <n v="0"/>
    <m/>
    <m/>
  </r>
  <r>
    <x v="2"/>
    <s v="Delaware State University"/>
    <m/>
    <n v="130934"/>
    <x v="2"/>
    <n v="115112"/>
    <n v="115574"/>
    <n v="112994"/>
    <n v="113451"/>
    <n v="0"/>
    <n v="0"/>
    <n v="2118"/>
    <n v="0"/>
    <n v="0"/>
    <n v="2123"/>
    <n v="0"/>
    <n v="0"/>
    <m/>
    <n v="0"/>
    <n v="6684"/>
    <n v="5993"/>
    <n v="6545"/>
    <n v="5888"/>
    <m/>
    <m/>
    <n v="139"/>
    <n v="0"/>
    <n v="0"/>
    <n v="105"/>
    <n v="0"/>
    <n v="0"/>
    <m/>
    <m/>
  </r>
  <r>
    <x v="2"/>
    <s v="Delaware Technical and Community College--Stanton-Wilmington"/>
    <s v="Met the criteria for Two-Year 2 in 2013-14 and 2014-15."/>
    <n v="130916"/>
    <x v="6"/>
    <n v="149120"/>
    <n v="140278"/>
    <n v="137359"/>
    <n v="128527"/>
    <m/>
    <m/>
    <n v="10445"/>
    <n v="344"/>
    <n v="972"/>
    <n v="11411"/>
    <n v="322"/>
    <n v="18"/>
    <m/>
    <m/>
    <n v="0"/>
    <n v="0"/>
    <m/>
    <m/>
    <m/>
    <m/>
    <m/>
    <m/>
    <m/>
    <m/>
    <m/>
    <m/>
    <m/>
    <m/>
  </r>
  <r>
    <x v="2"/>
    <s v="Delaware Technical and Community College--Owens"/>
    <m/>
    <n v="130891"/>
    <x v="7"/>
    <n v="94853"/>
    <n v="91195"/>
    <n v="83903"/>
    <n v="80170"/>
    <m/>
    <m/>
    <n v="10555"/>
    <n v="395"/>
    <n v="0"/>
    <n v="10555"/>
    <n v="386"/>
    <n v="84"/>
    <m/>
    <m/>
    <n v="0"/>
    <n v="0"/>
    <m/>
    <m/>
    <m/>
    <m/>
    <m/>
    <m/>
    <m/>
    <m/>
    <m/>
    <m/>
    <m/>
    <m/>
  </r>
  <r>
    <x v="2"/>
    <s v="Delaware Technical and Community College--Terry"/>
    <m/>
    <n v="130907"/>
    <x v="7"/>
    <n v="67884"/>
    <n v="65934"/>
    <n v="59475"/>
    <n v="57168"/>
    <m/>
    <m/>
    <n v="7816"/>
    <n v="204"/>
    <n v="389"/>
    <n v="8440"/>
    <n v="242"/>
    <n v="84"/>
    <m/>
    <m/>
    <n v="0"/>
    <n v="0"/>
    <m/>
    <m/>
    <m/>
    <m/>
    <m/>
    <m/>
    <m/>
    <m/>
    <m/>
    <m/>
    <m/>
    <m/>
  </r>
  <r>
    <x v="3"/>
    <s v="Florida International University"/>
    <m/>
    <n v="133951"/>
    <x v="0"/>
    <n v="809826"/>
    <n v="1073939"/>
    <n v="634290"/>
    <n v="628229"/>
    <n v="160153"/>
    <n v="147418"/>
    <n v="15383"/>
    <m/>
    <m/>
    <n v="295090"/>
    <m/>
    <m/>
    <m/>
    <n v="3202"/>
    <n v="156753"/>
    <n v="191400"/>
    <n v="126727"/>
    <n v="115456"/>
    <n v="28133"/>
    <n v="39367"/>
    <n v="1893"/>
    <m/>
    <m/>
    <n v="36031"/>
    <m/>
    <m/>
    <m/>
    <n v="546"/>
  </r>
  <r>
    <x v="3"/>
    <s v="Florida State University "/>
    <m/>
    <n v="134097"/>
    <x v="0"/>
    <n v="938903"/>
    <n v="936327.5"/>
    <n v="809821"/>
    <n v="777177.5"/>
    <n v="65271"/>
    <n v="67653"/>
    <n v="58618"/>
    <n v="5193"/>
    <m/>
    <n v="86082"/>
    <n v="537"/>
    <n v="4878"/>
    <m/>
    <m/>
    <n v="164858"/>
    <n v="177091"/>
    <n v="147005"/>
    <n v="144286"/>
    <n v="11294"/>
    <n v="9083"/>
    <n v="6288"/>
    <n v="271"/>
    <m/>
    <n v="22521"/>
    <n v="1057"/>
    <n v="138"/>
    <m/>
    <n v="6"/>
  </r>
  <r>
    <x v="3"/>
    <s v="University of Central Florida "/>
    <m/>
    <n v="132903"/>
    <x v="0"/>
    <n v="1067669"/>
    <n v="1042371"/>
    <n v="811030"/>
    <n v="787130"/>
    <n v="91320"/>
    <n v="74071"/>
    <n v="165319"/>
    <m/>
    <m/>
    <n v="181170"/>
    <m/>
    <m/>
    <m/>
    <m/>
    <n v="106049.5"/>
    <n v="101976.5"/>
    <n v="75005.5"/>
    <n v="70523.5"/>
    <n v="9959"/>
    <n v="9388"/>
    <n v="21085"/>
    <m/>
    <m/>
    <n v="22065"/>
    <m/>
    <m/>
    <m/>
    <m/>
  </r>
  <r>
    <x v="3"/>
    <s v="University of Florida"/>
    <m/>
    <n v="134130"/>
    <x v="0"/>
    <n v="969341"/>
    <n v="979793"/>
    <n v="762676"/>
    <n v="712374"/>
    <m/>
    <m/>
    <n v="200131"/>
    <n v="27"/>
    <n v="27"/>
    <n v="264017"/>
    <m/>
    <n v="69"/>
    <n v="6480"/>
    <n v="3333"/>
    <n v="348277"/>
    <n v="336017"/>
    <n v="256236"/>
    <n v="237653"/>
    <m/>
    <m/>
    <n v="89234"/>
    <n v="54"/>
    <n v="164"/>
    <n v="98303"/>
    <m/>
    <n v="61"/>
    <n v="2589"/>
    <m/>
  </r>
  <r>
    <x v="3"/>
    <s v="University of South Florida "/>
    <m/>
    <n v="137351"/>
    <x v="0"/>
    <n v="804124"/>
    <n v="774380"/>
    <n v="660671"/>
    <n v="645633"/>
    <n v="113549"/>
    <n v="103141"/>
    <n v="25225"/>
    <n v="4679"/>
    <m/>
    <n v="21808"/>
    <n v="3798"/>
    <m/>
    <m/>
    <m/>
    <n v="147339"/>
    <n v="151689"/>
    <n v="130299"/>
    <n v="136033"/>
    <n v="13846"/>
    <n v="12604"/>
    <n v="3194"/>
    <m/>
    <m/>
    <n v="3052"/>
    <m/>
    <m/>
    <m/>
    <m/>
  </r>
  <r>
    <x v="3"/>
    <s v="Florida Atlantic University "/>
    <s v="Reclassified: Met the criteria for Four-Year 1 in 2012-13, 2013-14, and 2014-15."/>
    <n v="133669"/>
    <x v="0"/>
    <n v="614655"/>
    <n v="617158"/>
    <n v="440745"/>
    <n v="422335"/>
    <n v="86137"/>
    <n v="76266"/>
    <n v="87471"/>
    <n v="302"/>
    <m/>
    <n v="118271"/>
    <n v="286"/>
    <m/>
    <m/>
    <m/>
    <n v="71073"/>
    <n v="65783"/>
    <n v="47100"/>
    <n v="46082"/>
    <n v="11413"/>
    <n v="6819"/>
    <n v="12243"/>
    <n v="317"/>
    <m/>
    <n v="12404"/>
    <n v="478"/>
    <m/>
    <m/>
    <m/>
  </r>
  <r>
    <x v="3"/>
    <s v="Florida Agricultural &amp; Mechanical University "/>
    <m/>
    <n v="133650"/>
    <x v="2"/>
    <n v="288708"/>
    <n v="249477"/>
    <n v="283949"/>
    <n v="242514"/>
    <n v="3251"/>
    <n v="4724"/>
    <n v="1508"/>
    <m/>
    <m/>
    <n v="2239"/>
    <m/>
    <m/>
    <m/>
    <m/>
    <n v="49707"/>
    <n v="43717"/>
    <n v="29439"/>
    <n v="29201"/>
    <n v="18261"/>
    <n v="13575"/>
    <n v="2007"/>
    <m/>
    <m/>
    <n v="941"/>
    <m/>
    <m/>
    <m/>
    <m/>
  </r>
  <r>
    <x v="3"/>
    <s v="University of North Florida"/>
    <m/>
    <n v="136172"/>
    <x v="2"/>
    <n v="349746"/>
    <n v="323034"/>
    <n v="340074"/>
    <n v="313670"/>
    <n v="4422"/>
    <n v="3437"/>
    <n v="5250"/>
    <m/>
    <m/>
    <n v="5927"/>
    <m/>
    <m/>
    <m/>
    <m/>
    <n v="26724"/>
    <n v="26753"/>
    <n v="22572"/>
    <n v="23319"/>
    <n v="2034"/>
    <n v="2391"/>
    <n v="2118"/>
    <m/>
    <m/>
    <n v="1043"/>
    <m/>
    <m/>
    <m/>
    <m/>
  </r>
  <r>
    <x v="3"/>
    <s v="University of West Florida"/>
    <m/>
    <n v="138354"/>
    <x v="2"/>
    <n v="262581.5"/>
    <n v="255681"/>
    <n v="151179.5"/>
    <n v="155115"/>
    <n v="2841"/>
    <n v="2979"/>
    <n v="87871"/>
    <n v="20690"/>
    <m/>
    <n v="80206"/>
    <n v="17381"/>
    <m/>
    <m/>
    <m/>
    <n v="34189.5"/>
    <n v="39260"/>
    <n v="9409"/>
    <n v="9889"/>
    <n v="348"/>
    <n v="587"/>
    <n v="19110.5"/>
    <n v="5322"/>
    <m/>
    <n v="24618"/>
    <n v="4166"/>
    <m/>
    <m/>
    <m/>
  </r>
  <r>
    <x v="3"/>
    <s v="Florida Gulf Coast University"/>
    <m/>
    <n v="433660"/>
    <x v="3"/>
    <n v="311494"/>
    <n v="336513"/>
    <n v="247805"/>
    <n v="265796"/>
    <n v="9361"/>
    <n v="9596"/>
    <n v="54321"/>
    <n v="7"/>
    <m/>
    <n v="61121"/>
    <m/>
    <m/>
    <m/>
    <m/>
    <n v="21732"/>
    <n v="20490"/>
    <n v="11104"/>
    <n v="11487"/>
    <n v="2658"/>
    <n v="2324"/>
    <n v="7970"/>
    <m/>
    <m/>
    <n v="6679"/>
    <m/>
    <m/>
    <m/>
    <m/>
  </r>
  <r>
    <x v="3"/>
    <s v="New College of Florida"/>
    <m/>
    <n v="262129"/>
    <x v="5"/>
    <n v="28384"/>
    <n v="27640"/>
    <n v="28384"/>
    <n v="27640"/>
    <m/>
    <m/>
    <m/>
    <m/>
    <m/>
    <m/>
    <m/>
    <m/>
    <m/>
    <m/>
    <n v="0"/>
    <n v="0"/>
    <m/>
    <m/>
    <m/>
    <m/>
    <m/>
    <m/>
    <m/>
    <m/>
    <m/>
    <m/>
    <m/>
    <m/>
  </r>
  <r>
    <x v="3"/>
    <s v="Broward College "/>
    <m/>
    <n v="132709"/>
    <x v="12"/>
    <n v="900437"/>
    <n v="898394"/>
    <n v="704435"/>
    <n v="682231"/>
    <n v="73550"/>
    <n v="73576"/>
    <n v="119137"/>
    <n v="0"/>
    <n v="3315"/>
    <n v="137166"/>
    <n v="0"/>
    <n v="5421"/>
    <n v="0"/>
    <n v="0"/>
    <n v="0"/>
    <n v="0"/>
    <m/>
    <m/>
    <m/>
    <m/>
    <m/>
    <m/>
    <m/>
    <m/>
    <m/>
    <m/>
    <m/>
    <m/>
  </r>
  <r>
    <x v="3"/>
    <s v="Chipola College "/>
    <m/>
    <n v="133021"/>
    <x v="12"/>
    <n v="42598"/>
    <n v="39950"/>
    <n v="34057"/>
    <n v="31859"/>
    <n v="2432"/>
    <n v="2190"/>
    <n v="6109"/>
    <n v="0"/>
    <n v="0"/>
    <n v="5901"/>
    <n v="0"/>
    <n v="0"/>
    <n v="0"/>
    <n v="0"/>
    <n v="0"/>
    <n v="0"/>
    <m/>
    <m/>
    <m/>
    <m/>
    <m/>
    <m/>
    <m/>
    <m/>
    <m/>
    <m/>
    <m/>
    <m/>
  </r>
  <r>
    <x v="3"/>
    <s v="Daytona State College "/>
    <m/>
    <n v="133386"/>
    <x v="12"/>
    <n v="307561"/>
    <n v="291278"/>
    <n v="214230"/>
    <n v="192533"/>
    <n v="0"/>
    <n v="0"/>
    <n v="93331"/>
    <n v="0"/>
    <n v="0"/>
    <n v="98745"/>
    <n v="0"/>
    <n v="0"/>
    <n v="0"/>
    <n v="0"/>
    <n v="0"/>
    <n v="0"/>
    <m/>
    <m/>
    <m/>
    <m/>
    <m/>
    <m/>
    <m/>
    <m/>
    <m/>
    <m/>
    <m/>
    <m/>
  </r>
  <r>
    <x v="3"/>
    <s v="Florida SouthWestern State College"/>
    <m/>
    <n v="133508"/>
    <x v="12"/>
    <n v="309711"/>
    <n v="297764"/>
    <n v="236154"/>
    <n v="217936"/>
    <n v="10726"/>
    <n v="10996"/>
    <n v="60081"/>
    <n v="0"/>
    <n v="21"/>
    <n v="68824"/>
    <n v="0"/>
    <n v="0"/>
    <n v="2729"/>
    <n v="8"/>
    <n v="0"/>
    <n v="0"/>
    <m/>
    <m/>
    <m/>
    <m/>
    <m/>
    <m/>
    <m/>
    <m/>
    <m/>
    <m/>
    <m/>
    <m/>
  </r>
  <r>
    <x v="3"/>
    <s v="Florida State College at Jacksonville"/>
    <m/>
    <n v="133702"/>
    <x v="12"/>
    <n v="591874"/>
    <n v="560434"/>
    <n v="399917"/>
    <n v="371193"/>
    <n v="18399"/>
    <n v="17743"/>
    <n v="173558"/>
    <n v="0"/>
    <n v="0"/>
    <n v="171498"/>
    <n v="0"/>
    <n v="0"/>
    <n v="0"/>
    <n v="0"/>
    <n v="0"/>
    <n v="0"/>
    <m/>
    <m/>
    <m/>
    <m/>
    <m/>
    <m/>
    <m/>
    <m/>
    <m/>
    <m/>
    <m/>
    <m/>
  </r>
  <r>
    <x v="3"/>
    <s v="Indian River State College "/>
    <m/>
    <n v="134608"/>
    <x v="12"/>
    <n v="333848.5"/>
    <n v="330168"/>
    <n v="232418.5"/>
    <n v="229830"/>
    <n v="21206"/>
    <n v="18212"/>
    <n v="75080"/>
    <n v="4722"/>
    <n v="0"/>
    <n v="81716"/>
    <n v="0"/>
    <n v="0"/>
    <n v="422"/>
    <n v="410"/>
    <n v="0"/>
    <n v="0"/>
    <m/>
    <m/>
    <m/>
    <m/>
    <m/>
    <m/>
    <m/>
    <m/>
    <m/>
    <m/>
    <m/>
    <m/>
  </r>
  <r>
    <x v="3"/>
    <s v="Miami Dade College "/>
    <m/>
    <n v="135717"/>
    <x v="12"/>
    <n v="1544556"/>
    <n v="1513655"/>
    <n v="1416762"/>
    <n v="1385524"/>
    <n v="11001"/>
    <n v="8692"/>
    <n v="116793"/>
    <n v="0"/>
    <n v="0"/>
    <n v="119439"/>
    <n v="0"/>
    <n v="0"/>
    <n v="0"/>
    <n v="0"/>
    <n v="0"/>
    <n v="0"/>
    <m/>
    <m/>
    <m/>
    <m/>
    <m/>
    <m/>
    <m/>
    <m/>
    <m/>
    <m/>
    <m/>
    <m/>
  </r>
  <r>
    <x v="3"/>
    <s v="Northwest Florida State College"/>
    <m/>
    <n v="136233"/>
    <x v="12"/>
    <n v="144671"/>
    <n v="135605"/>
    <n v="94716"/>
    <n v="89310"/>
    <n v="15153"/>
    <n v="13122"/>
    <n v="33941"/>
    <n v="0"/>
    <n v="0"/>
    <n v="33173"/>
    <n v="0"/>
    <n v="0"/>
    <n v="861"/>
    <n v="0"/>
    <n v="0"/>
    <n v="0"/>
    <m/>
    <m/>
    <m/>
    <m/>
    <m/>
    <m/>
    <m/>
    <m/>
    <m/>
    <m/>
    <m/>
    <m/>
  </r>
  <r>
    <x v="3"/>
    <s v="Palm Beach State College "/>
    <m/>
    <n v="136358"/>
    <x v="12"/>
    <n v="560158"/>
    <n v="559732"/>
    <n v="466381"/>
    <n v="454045"/>
    <n v="10962"/>
    <n v="10698"/>
    <n v="80445"/>
    <n v="0"/>
    <n v="2370"/>
    <n v="92471"/>
    <n v="0"/>
    <n v="2518"/>
    <n v="0"/>
    <n v="0"/>
    <n v="0"/>
    <n v="0"/>
    <m/>
    <m/>
    <m/>
    <m/>
    <m/>
    <m/>
    <m/>
    <m/>
    <m/>
    <m/>
    <m/>
    <m/>
  </r>
  <r>
    <x v="3"/>
    <s v="Polk State College "/>
    <m/>
    <n v="136516"/>
    <x v="12"/>
    <n v="233153"/>
    <n v="229208"/>
    <n v="156822"/>
    <n v="149261"/>
    <n v="19737"/>
    <n v="18695"/>
    <n v="56594"/>
    <n v="0"/>
    <n v="0"/>
    <n v="61252"/>
    <n v="0"/>
    <n v="0"/>
    <n v="0"/>
    <n v="0"/>
    <n v="0"/>
    <n v="0"/>
    <m/>
    <m/>
    <m/>
    <m/>
    <m/>
    <m/>
    <m/>
    <m/>
    <m/>
    <m/>
    <m/>
    <m/>
  </r>
  <r>
    <x v="3"/>
    <s v="St. Johns River State College "/>
    <m/>
    <n v="137281"/>
    <x v="12"/>
    <n v="135979"/>
    <n v="136363"/>
    <n v="92589"/>
    <n v="88649"/>
    <n v="11128"/>
    <n v="13661"/>
    <n v="32262"/>
    <n v="0"/>
    <n v="0"/>
    <n v="34053"/>
    <n v="0"/>
    <n v="0"/>
    <n v="0"/>
    <n v="0"/>
    <n v="0"/>
    <n v="0"/>
    <m/>
    <m/>
    <m/>
    <m/>
    <m/>
    <m/>
    <m/>
    <m/>
    <m/>
    <m/>
    <m/>
    <m/>
  </r>
  <r>
    <x v="3"/>
    <s v="St. Petersburg College "/>
    <m/>
    <n v="137078"/>
    <x v="12"/>
    <n v="624652"/>
    <n v="617308"/>
    <n v="378029"/>
    <n v="367771"/>
    <n v="0"/>
    <n v="0"/>
    <n v="246403"/>
    <n v="213"/>
    <n v="0"/>
    <n v="249345"/>
    <n v="180"/>
    <n v="0"/>
    <n v="7"/>
    <n v="12"/>
    <n v="0"/>
    <n v="0"/>
    <m/>
    <m/>
    <m/>
    <m/>
    <m/>
    <m/>
    <m/>
    <m/>
    <m/>
    <m/>
    <m/>
    <m/>
  </r>
  <r>
    <x v="3"/>
    <s v="State College of Florida, Manatee-Sarasota"/>
    <m/>
    <n v="135391"/>
    <x v="12"/>
    <n v="233834"/>
    <n v="226357"/>
    <n v="164883"/>
    <n v="156142"/>
    <n v="9956"/>
    <n v="9119"/>
    <n v="0"/>
    <n v="58995"/>
    <n v="0"/>
    <n v="37360"/>
    <n v="23736"/>
    <n v="0"/>
    <n v="0"/>
    <n v="0"/>
    <n v="0"/>
    <n v="0"/>
    <m/>
    <m/>
    <m/>
    <m/>
    <m/>
    <m/>
    <m/>
    <m/>
    <m/>
    <m/>
    <m/>
    <m/>
  </r>
  <r>
    <x v="3"/>
    <s v="College of Central Florida"/>
    <s v="Met the criteria for Two-Year with Bachelor's in 2013-14 and 2014-15."/>
    <n v="132851"/>
    <x v="6"/>
    <n v="169836"/>
    <n v="166079"/>
    <n v="125220"/>
    <n v="118025"/>
    <n v="0"/>
    <n v="0"/>
    <n v="32367"/>
    <n v="12249"/>
    <n v="0"/>
    <n v="48054"/>
    <n v="0"/>
    <n v="0"/>
    <n v="0"/>
    <n v="0"/>
    <n v="0"/>
    <n v="0"/>
    <m/>
    <m/>
    <m/>
    <m/>
    <m/>
    <m/>
    <m/>
    <m/>
    <m/>
    <m/>
    <m/>
    <m/>
  </r>
  <r>
    <x v="3"/>
    <s v="Eastern Florida State College"/>
    <m/>
    <n v="132693"/>
    <x v="6"/>
    <n v="329248"/>
    <n v="316935"/>
    <n v="251196"/>
    <n v="237322"/>
    <n v="8101"/>
    <n v="7125"/>
    <n v="69951"/>
    <n v="0"/>
    <n v="0"/>
    <n v="72488"/>
    <n v="0"/>
    <n v="0"/>
    <n v="0"/>
    <n v="0"/>
    <n v="0"/>
    <n v="0"/>
    <m/>
    <m/>
    <m/>
    <m/>
    <m/>
    <m/>
    <m/>
    <m/>
    <m/>
    <m/>
    <m/>
    <m/>
  </r>
  <r>
    <x v="3"/>
    <s v="Hillsborough Community College "/>
    <m/>
    <n v="134495"/>
    <x v="6"/>
    <n v="557763"/>
    <n v="559040"/>
    <n v="461009"/>
    <n v="450536"/>
    <n v="15918"/>
    <n v="16654"/>
    <n v="79662"/>
    <n v="0"/>
    <n v="1174"/>
    <n v="90510"/>
    <n v="0"/>
    <n v="1340"/>
    <n v="0"/>
    <n v="0"/>
    <n v="0"/>
    <n v="0"/>
    <m/>
    <m/>
    <m/>
    <m/>
    <m/>
    <m/>
    <m/>
    <m/>
    <m/>
    <m/>
    <m/>
    <m/>
  </r>
  <r>
    <x v="3"/>
    <s v="Pasco-Hernando Community College "/>
    <m/>
    <n v="136400"/>
    <x v="6"/>
    <n v="199357"/>
    <n v="213167"/>
    <n v="148949"/>
    <n v="152798"/>
    <n v="8351"/>
    <n v="8237"/>
    <n v="42057"/>
    <n v="0"/>
    <n v="0"/>
    <n v="52132"/>
    <n v="0"/>
    <n v="0"/>
    <n v="0"/>
    <n v="0"/>
    <n v="0"/>
    <n v="0"/>
    <m/>
    <m/>
    <m/>
    <m/>
    <m/>
    <m/>
    <m/>
    <m/>
    <m/>
    <m/>
    <m/>
    <m/>
  </r>
  <r>
    <x v="3"/>
    <s v="Pensacola State College "/>
    <s v="Reclassified: Met the criteria for Two-Year with Bachelor's in 2012-13, 2013-14, and 2014-15."/>
    <n v="136473"/>
    <x v="12"/>
    <n v="238057"/>
    <n v="213505"/>
    <n v="173553"/>
    <n v="149512"/>
    <n v="22580"/>
    <n v="21474"/>
    <n v="41924"/>
    <n v="0"/>
    <n v="0"/>
    <n v="42519"/>
    <n v="0"/>
    <n v="0"/>
    <n v="0"/>
    <n v="0"/>
    <n v="0"/>
    <n v="0"/>
    <m/>
    <m/>
    <m/>
    <m/>
    <m/>
    <m/>
    <m/>
    <m/>
    <m/>
    <m/>
    <m/>
    <m/>
  </r>
  <r>
    <x v="3"/>
    <s v="Santa Fe College "/>
    <s v="Reclassified: Met the criteria for Two-Year with Bachelor's in 2012-13, 2013-14, and 2014-15."/>
    <n v="137096"/>
    <x v="12"/>
    <n v="337717"/>
    <n v="323237"/>
    <n v="262537"/>
    <n v="245481"/>
    <n v="4462"/>
    <n v="4391"/>
    <n v="70718"/>
    <n v="0"/>
    <n v="0"/>
    <n v="73365"/>
    <n v="0"/>
    <n v="0"/>
    <n v="0"/>
    <n v="0"/>
    <n v="0"/>
    <n v="0"/>
    <m/>
    <m/>
    <m/>
    <m/>
    <m/>
    <m/>
    <m/>
    <m/>
    <m/>
    <m/>
    <m/>
    <m/>
  </r>
  <r>
    <x v="3"/>
    <s v="Seminole State College of Florida"/>
    <s v="Reclassified: Met the criteria for Two-Year with Bachelor's in 2012-13, 2013-14, and 2014-15."/>
    <n v="137209"/>
    <x v="12"/>
    <n v="387447"/>
    <n v="363602"/>
    <n v="303212"/>
    <n v="269074"/>
    <n v="0"/>
    <n v="0"/>
    <n v="84235"/>
    <n v="0"/>
    <n v="0"/>
    <n v="94528"/>
    <n v="0"/>
    <n v="0"/>
    <n v="0"/>
    <n v="0"/>
    <n v="0"/>
    <n v="0"/>
    <m/>
    <m/>
    <m/>
    <m/>
    <m/>
    <m/>
    <m/>
    <m/>
    <m/>
    <m/>
    <m/>
    <m/>
  </r>
  <r>
    <x v="3"/>
    <s v="Tallahassee Community College "/>
    <m/>
    <n v="137759"/>
    <x v="6"/>
    <n v="301715"/>
    <n v="286053"/>
    <n v="246011"/>
    <n v="230658"/>
    <n v="11506"/>
    <n v="11202"/>
    <n v="44198"/>
    <n v="0"/>
    <n v="0"/>
    <n v="44193"/>
    <n v="0"/>
    <n v="0"/>
    <n v="0"/>
    <n v="0"/>
    <n v="0"/>
    <n v="0"/>
    <m/>
    <m/>
    <m/>
    <m/>
    <m/>
    <m/>
    <m/>
    <m/>
    <m/>
    <m/>
    <m/>
    <m/>
  </r>
  <r>
    <x v="3"/>
    <s v="Valencia College "/>
    <s v="Met the criteria for Two-Year with Bachelor's in 2013-14 and 2014-15."/>
    <n v="138187"/>
    <x v="6"/>
    <n v="886362"/>
    <n v="889398"/>
    <n v="702893"/>
    <n v="677017"/>
    <n v="39"/>
    <n v="5944"/>
    <n v="183430"/>
    <n v="0"/>
    <n v="0"/>
    <n v="206437"/>
    <n v="0"/>
    <n v="0"/>
    <n v="0"/>
    <n v="0"/>
    <n v="0"/>
    <n v="0"/>
    <m/>
    <m/>
    <m/>
    <m/>
    <m/>
    <m/>
    <m/>
    <m/>
    <m/>
    <m/>
    <m/>
    <m/>
  </r>
  <r>
    <x v="3"/>
    <s v="Florida Gateway College"/>
    <s v="Met the criteria for Two-Year with Bachelor's in 2014-15."/>
    <n v="135160"/>
    <x v="7"/>
    <n v="56066"/>
    <n v="53392"/>
    <n v="30247"/>
    <n v="28496"/>
    <n v="4494"/>
    <n v="3544"/>
    <n v="21325"/>
    <n v="0"/>
    <n v="0"/>
    <n v="21352"/>
    <n v="0"/>
    <n v="0"/>
    <n v="0"/>
    <n v="0"/>
    <n v="0"/>
    <n v="0"/>
    <m/>
    <m/>
    <m/>
    <m/>
    <m/>
    <m/>
    <m/>
    <m/>
    <m/>
    <m/>
    <m/>
    <m/>
  </r>
  <r>
    <x v="3"/>
    <s v="Gulf Coast State College "/>
    <s v="Reclassified: Met the criteria for Two-Year with Bachelor's in 2012-13, 2013-14, and 2014-15."/>
    <n v="134343"/>
    <x v="12"/>
    <n v="125069"/>
    <n v="119661"/>
    <n v="77296"/>
    <n v="73744"/>
    <n v="15179"/>
    <n v="13482"/>
    <n v="32594"/>
    <n v="0"/>
    <n v="0"/>
    <n v="32435"/>
    <n v="0"/>
    <n v="0"/>
    <n v="0"/>
    <n v="0"/>
    <n v="0"/>
    <n v="0"/>
    <m/>
    <m/>
    <m/>
    <m/>
    <m/>
    <m/>
    <m/>
    <m/>
    <m/>
    <m/>
    <m/>
    <m/>
  </r>
  <r>
    <x v="3"/>
    <s v="Lake-Sumter State College "/>
    <m/>
    <n v="135188"/>
    <x v="7"/>
    <n v="85932"/>
    <n v="83509"/>
    <n v="72097"/>
    <n v="66076"/>
    <n v="0"/>
    <n v="0"/>
    <n v="13835"/>
    <n v="0"/>
    <n v="0"/>
    <n v="17433"/>
    <n v="0"/>
    <n v="0"/>
    <n v="0"/>
    <n v="0"/>
    <n v="0"/>
    <n v="0"/>
    <m/>
    <m/>
    <m/>
    <m/>
    <m/>
    <m/>
    <m/>
    <m/>
    <m/>
    <m/>
    <m/>
    <m/>
  </r>
  <r>
    <x v="3"/>
    <s v="South Florida State College "/>
    <m/>
    <n v="137315"/>
    <x v="7"/>
    <n v="45149.5"/>
    <n v="46699"/>
    <n v="26572.5"/>
    <n v="26589"/>
    <n v="10694"/>
    <n v="11151"/>
    <n v="6642"/>
    <n v="1215"/>
    <n v="26"/>
    <n v="7889"/>
    <n v="1019"/>
    <n v="51"/>
    <n v="0"/>
    <n v="0"/>
    <n v="0"/>
    <n v="0"/>
    <m/>
    <m/>
    <m/>
    <m/>
    <m/>
    <m/>
    <m/>
    <m/>
    <m/>
    <m/>
    <m/>
    <m/>
  </r>
  <r>
    <x v="3"/>
    <s v="Florida Keys Community College "/>
    <m/>
    <n v="133960"/>
    <x v="8"/>
    <n v="23060"/>
    <n v="21013"/>
    <n v="18275"/>
    <n v="16131"/>
    <n v="589"/>
    <n v="914"/>
    <n v="4196"/>
    <n v="0"/>
    <n v="0"/>
    <n v="3968"/>
    <n v="0"/>
    <n v="0"/>
    <n v="0"/>
    <n v="0"/>
    <n v="0"/>
    <n v="0"/>
    <m/>
    <m/>
    <m/>
    <m/>
    <m/>
    <m/>
    <m/>
    <m/>
    <m/>
    <m/>
    <m/>
    <m/>
  </r>
  <r>
    <x v="3"/>
    <s v="North Florida Community College "/>
    <m/>
    <n v="136145"/>
    <x v="8"/>
    <n v="22415"/>
    <n v="21277"/>
    <n v="15703"/>
    <n v="14372"/>
    <n v="1061"/>
    <n v="1116"/>
    <n v="5651"/>
    <n v="0"/>
    <n v="0"/>
    <n v="5765"/>
    <n v="24"/>
    <n v="0"/>
    <n v="0"/>
    <n v="0"/>
    <n v="0"/>
    <n v="0"/>
    <m/>
    <m/>
    <m/>
    <m/>
    <m/>
    <m/>
    <m/>
    <m/>
    <m/>
    <m/>
    <m/>
    <m/>
  </r>
  <r>
    <x v="4"/>
    <s v="Georgia State University "/>
    <m/>
    <n v="139940"/>
    <x v="0"/>
    <n v="0"/>
    <n v="665386"/>
    <m/>
    <n v="620444"/>
    <m/>
    <n v="6395"/>
    <m/>
    <m/>
    <m/>
    <n v="38547"/>
    <m/>
    <m/>
    <m/>
    <m/>
    <n v="0"/>
    <n v="228732.5"/>
    <m/>
    <n v="196482"/>
    <m/>
    <n v="22090.5"/>
    <m/>
    <m/>
    <m/>
    <n v="10160"/>
    <m/>
    <m/>
    <m/>
    <m/>
  </r>
  <r>
    <x v="4"/>
    <s v="University of Georgia"/>
    <m/>
    <n v="139959"/>
    <x v="0"/>
    <n v="0"/>
    <n v="761126.5"/>
    <m/>
    <n v="734368"/>
    <m/>
    <n v="16007.5"/>
    <m/>
    <m/>
    <m/>
    <n v="8467"/>
    <m/>
    <n v="2284"/>
    <m/>
    <m/>
    <n v="0"/>
    <n v="244556.4"/>
    <m/>
    <n v="215163.6"/>
    <m/>
    <n v="22682.799999999999"/>
    <m/>
    <m/>
    <m/>
    <n v="4267"/>
    <m/>
    <n v="2443"/>
    <m/>
    <m/>
  </r>
  <r>
    <x v="4"/>
    <s v="Georgia Institute of Technology"/>
    <m/>
    <n v="139755"/>
    <x v="1"/>
    <n v="0"/>
    <n v="428851"/>
    <m/>
    <n v="415083"/>
    <m/>
    <n v="13034"/>
    <m/>
    <m/>
    <m/>
    <n v="734"/>
    <m/>
    <m/>
    <m/>
    <m/>
    <n v="0"/>
    <n v="242746"/>
    <m/>
    <n v="230463"/>
    <m/>
    <n v="3149"/>
    <m/>
    <m/>
    <m/>
    <n v="9134"/>
    <m/>
    <m/>
    <m/>
    <m/>
  </r>
  <r>
    <x v="4"/>
    <s v="Georgia Southern University"/>
    <m/>
    <n v="139931"/>
    <x v="2"/>
    <n v="0"/>
    <n v="514285"/>
    <m/>
    <n v="438408"/>
    <m/>
    <n v="4343"/>
    <m/>
    <m/>
    <m/>
    <n v="71194"/>
    <m/>
    <n v="340"/>
    <m/>
    <m/>
    <n v="0"/>
    <n v="44622"/>
    <m/>
    <n v="17549"/>
    <m/>
    <n v="722"/>
    <m/>
    <m/>
    <m/>
    <n v="26351"/>
    <m/>
    <m/>
    <m/>
    <m/>
  </r>
  <r>
    <x v="4"/>
    <s v="Kennesaw State University"/>
    <m/>
    <n v="140164"/>
    <x v="2"/>
    <n v="0"/>
    <n v="601582"/>
    <m/>
    <n v="493536"/>
    <m/>
    <n v="4231"/>
    <m/>
    <m/>
    <m/>
    <n v="103815"/>
    <m/>
    <m/>
    <m/>
    <m/>
    <n v="0"/>
    <n v="40135"/>
    <m/>
    <n v="23031"/>
    <m/>
    <n v="1983"/>
    <m/>
    <m/>
    <m/>
    <n v="15121"/>
    <m/>
    <m/>
    <m/>
    <m/>
  </r>
  <r>
    <x v="4"/>
    <s v="University of West Georgia"/>
    <m/>
    <n v="141334"/>
    <x v="2"/>
    <n v="0"/>
    <n v="277066"/>
    <m/>
    <n v="210228"/>
    <m/>
    <n v="7654"/>
    <m/>
    <m/>
    <m/>
    <n v="59184"/>
    <m/>
    <m/>
    <m/>
    <m/>
    <n v="0"/>
    <n v="32944"/>
    <m/>
    <n v="8369"/>
    <m/>
    <n v="838"/>
    <m/>
    <m/>
    <m/>
    <n v="23737"/>
    <m/>
    <m/>
    <m/>
    <m/>
  </r>
  <r>
    <x v="4"/>
    <s v="Valdosta State University "/>
    <m/>
    <n v="141264"/>
    <x v="2"/>
    <n v="0"/>
    <n v="259468"/>
    <m/>
    <n v="226068"/>
    <m/>
    <n v="3975"/>
    <m/>
    <m/>
    <m/>
    <n v="29109"/>
    <n v="316"/>
    <m/>
    <m/>
    <m/>
    <n v="0"/>
    <n v="40261"/>
    <m/>
    <n v="13852"/>
    <m/>
    <n v="1938"/>
    <m/>
    <m/>
    <m/>
    <n v="24465"/>
    <n v="6"/>
    <m/>
    <m/>
    <m/>
  </r>
  <r>
    <x v="4"/>
    <s v="Albany State University "/>
    <m/>
    <n v="138716"/>
    <x v="3"/>
    <n v="0"/>
    <n v="92642"/>
    <m/>
    <n v="74785"/>
    <m/>
    <n v="1713"/>
    <m/>
    <m/>
    <m/>
    <n v="16045"/>
    <m/>
    <n v="99"/>
    <m/>
    <m/>
    <n v="0"/>
    <n v="10037"/>
    <m/>
    <n v="5226"/>
    <m/>
    <n v="393"/>
    <m/>
    <m/>
    <m/>
    <n v="4301"/>
    <m/>
    <n v="117"/>
    <m/>
    <m/>
  </r>
  <r>
    <x v="4"/>
    <s v="Armstrong State University"/>
    <m/>
    <n v="138789"/>
    <x v="3"/>
    <n v="0"/>
    <n v="167958"/>
    <m/>
    <n v="143822"/>
    <m/>
    <n v="5977"/>
    <m/>
    <m/>
    <m/>
    <n v="18159"/>
    <m/>
    <m/>
    <m/>
    <m/>
    <n v="0"/>
    <n v="14780"/>
    <m/>
    <n v="11495"/>
    <m/>
    <n v="144"/>
    <m/>
    <m/>
    <m/>
    <n v="3141"/>
    <m/>
    <m/>
    <m/>
    <m/>
  </r>
  <r>
    <x v="4"/>
    <s v="Columbus State University"/>
    <m/>
    <n v="139366"/>
    <x v="3"/>
    <n v="0"/>
    <n v="180245"/>
    <m/>
    <n v="142194"/>
    <m/>
    <n v="6422"/>
    <m/>
    <m/>
    <m/>
    <n v="31136"/>
    <n v="6"/>
    <n v="442"/>
    <m/>
    <n v="45"/>
    <n v="0"/>
    <n v="21545"/>
    <m/>
    <n v="11291"/>
    <m/>
    <n v="608"/>
    <m/>
    <m/>
    <m/>
    <n v="9646"/>
    <m/>
    <m/>
    <m/>
    <m/>
  </r>
  <r>
    <x v="4"/>
    <s v="Georgia College and State University"/>
    <m/>
    <n v="139861"/>
    <x v="3"/>
    <n v="0"/>
    <n v="174645"/>
    <m/>
    <n v="161384.5"/>
    <m/>
    <n v="2820.5"/>
    <m/>
    <m/>
    <m/>
    <n v="10440"/>
    <m/>
    <m/>
    <m/>
    <m/>
    <n v="0"/>
    <n v="17380"/>
    <m/>
    <n v="6014"/>
    <m/>
    <n v="6697"/>
    <m/>
    <m/>
    <m/>
    <n v="4669"/>
    <m/>
    <m/>
    <m/>
    <m/>
  </r>
  <r>
    <x v="4"/>
    <s v="Georgia Regents University"/>
    <m/>
    <n v="482149"/>
    <x v="3"/>
    <n v="0"/>
    <n v="144036"/>
    <m/>
    <n v="128425"/>
    <m/>
    <n v="1772"/>
    <m/>
    <m/>
    <m/>
    <n v="13469"/>
    <n v="237"/>
    <n v="133"/>
    <m/>
    <m/>
    <n v="0"/>
    <n v="182666"/>
    <m/>
    <n v="157040"/>
    <m/>
    <n v="16181"/>
    <m/>
    <m/>
    <m/>
    <n v="9375"/>
    <m/>
    <n v="70"/>
    <m/>
    <m/>
  </r>
  <r>
    <x v="4"/>
    <s v="University of North Georgia"/>
    <m/>
    <n v="482680"/>
    <x v="3"/>
    <n v="0"/>
    <n v="376762"/>
    <m/>
    <n v="346706"/>
    <m/>
    <n v="5152"/>
    <m/>
    <m/>
    <m/>
    <n v="24904"/>
    <m/>
    <m/>
    <m/>
    <m/>
    <n v="0"/>
    <n v="11685"/>
    <m/>
    <n v="8458"/>
    <m/>
    <n v="604"/>
    <m/>
    <m/>
    <m/>
    <n v="2623"/>
    <m/>
    <m/>
    <m/>
    <m/>
  </r>
  <r>
    <x v="4"/>
    <s v="Clayton State University"/>
    <s v="Reclassified: met the criteria for Four-Year 4 in 2012-13, 2013-14, and 2014-15."/>
    <n v="139311"/>
    <x v="3"/>
    <n v="0"/>
    <n v="158774"/>
    <m/>
    <n v="125069"/>
    <m/>
    <n v="3324"/>
    <m/>
    <m/>
    <m/>
    <n v="30321"/>
    <n v="60"/>
    <m/>
    <m/>
    <m/>
    <n v="0"/>
    <n v="6821"/>
    <m/>
    <n v="5307"/>
    <m/>
    <n v="323"/>
    <m/>
    <m/>
    <m/>
    <n v="1182"/>
    <n v="9"/>
    <m/>
    <m/>
    <m/>
  </r>
  <r>
    <x v="4"/>
    <s v="Fort Valley State University"/>
    <s v="Met the criteria for Four-Year 4 in 2013-14 and 2014-15."/>
    <n v="139719"/>
    <x v="4"/>
    <n v="0"/>
    <n v="68639"/>
    <m/>
    <n v="57906"/>
    <m/>
    <n v="69"/>
    <m/>
    <m/>
    <m/>
    <n v="9265"/>
    <m/>
    <n v="54"/>
    <m/>
    <n v="1345"/>
    <n v="0"/>
    <n v="5481"/>
    <m/>
    <n v="3678"/>
    <m/>
    <n v="238"/>
    <m/>
    <m/>
    <m/>
    <n v="1528"/>
    <m/>
    <m/>
    <m/>
    <n v="37"/>
  </r>
  <r>
    <x v="4"/>
    <s v="Georgia Southwestern State University"/>
    <m/>
    <n v="139764"/>
    <x v="4"/>
    <n v="0"/>
    <n v="66073"/>
    <m/>
    <n v="43087"/>
    <m/>
    <n v="1558"/>
    <m/>
    <m/>
    <m/>
    <n v="21428"/>
    <m/>
    <m/>
    <m/>
    <m/>
    <n v="0"/>
    <n v="3183"/>
    <m/>
    <n v="1467"/>
    <m/>
    <m/>
    <m/>
    <m/>
    <m/>
    <n v="1716"/>
    <m/>
    <m/>
    <m/>
    <m/>
  </r>
  <r>
    <x v="4"/>
    <s v="Savannah State University"/>
    <m/>
    <n v="140960"/>
    <x v="4"/>
    <n v="0"/>
    <n v="132276"/>
    <m/>
    <n v="126216"/>
    <m/>
    <n v="78"/>
    <m/>
    <m/>
    <m/>
    <n v="5982"/>
    <m/>
    <m/>
    <m/>
    <m/>
    <n v="0"/>
    <n v="3708"/>
    <m/>
    <n v="2487"/>
    <m/>
    <n v="1188"/>
    <m/>
    <m/>
    <m/>
    <n v="33"/>
    <m/>
    <m/>
    <m/>
    <m/>
  </r>
  <r>
    <x v="4"/>
    <s v="Dalton State College "/>
    <m/>
    <n v="139463"/>
    <x v="5"/>
    <n v="0"/>
    <n v="111767"/>
    <m/>
    <n v="102093"/>
    <m/>
    <n v="5165"/>
    <m/>
    <m/>
    <m/>
    <n v="4509"/>
    <m/>
    <m/>
    <m/>
    <m/>
    <n v="0"/>
    <n v="0"/>
    <m/>
    <m/>
    <m/>
    <m/>
    <m/>
    <m/>
    <m/>
    <m/>
    <m/>
    <m/>
    <m/>
    <m/>
  </r>
  <r>
    <x v="4"/>
    <s v="Georgia Gwinnett College"/>
    <m/>
    <n v="447689"/>
    <x v="5"/>
    <n v="0"/>
    <n v="263343"/>
    <m/>
    <n v="263143"/>
    <m/>
    <n v="78"/>
    <m/>
    <m/>
    <m/>
    <n v="122"/>
    <m/>
    <m/>
    <m/>
    <m/>
    <n v="0"/>
    <n v="0"/>
    <m/>
    <m/>
    <m/>
    <m/>
    <m/>
    <m/>
    <m/>
    <m/>
    <m/>
    <m/>
    <m/>
    <m/>
  </r>
  <r>
    <x v="4"/>
    <s v="Middle Georgia State College"/>
    <m/>
    <n v="482158"/>
    <x v="5"/>
    <n v="0"/>
    <n v="192034"/>
    <m/>
    <n v="124229"/>
    <m/>
    <n v="29029"/>
    <m/>
    <m/>
    <m/>
    <n v="38776"/>
    <m/>
    <m/>
    <m/>
    <m/>
    <n v="0"/>
    <n v="0"/>
    <m/>
    <m/>
    <m/>
    <m/>
    <m/>
    <m/>
    <m/>
    <m/>
    <m/>
    <m/>
    <m/>
    <m/>
  </r>
  <r>
    <x v="4"/>
    <s v="Abraham Baldwin Agricultural College "/>
    <m/>
    <n v="138558"/>
    <x v="12"/>
    <n v="0"/>
    <n v="83729"/>
    <m/>
    <n v="77766"/>
    <m/>
    <n v="3631"/>
    <m/>
    <m/>
    <m/>
    <n v="2170"/>
    <m/>
    <n v="102"/>
    <m/>
    <n v="60"/>
    <n v="0"/>
    <n v="0"/>
    <m/>
    <m/>
    <m/>
    <m/>
    <m/>
    <m/>
    <m/>
    <m/>
    <m/>
    <m/>
    <m/>
    <m/>
  </r>
  <r>
    <x v="4"/>
    <s v="College of Coastal Georgia "/>
    <s v="Met the criteria for Four-Year 6 in 2014-15. "/>
    <n v="139250"/>
    <x v="12"/>
    <n v="0"/>
    <n v="70526"/>
    <m/>
    <n v="62124"/>
    <m/>
    <n v="1067"/>
    <m/>
    <m/>
    <m/>
    <n v="7335"/>
    <m/>
    <m/>
    <m/>
    <m/>
    <n v="0"/>
    <n v="0"/>
    <m/>
    <m/>
    <m/>
    <m/>
    <m/>
    <m/>
    <m/>
    <m/>
    <m/>
    <m/>
    <m/>
    <m/>
  </r>
  <r>
    <x v="4"/>
    <s v="Gordon State College "/>
    <m/>
    <n v="139968"/>
    <x v="12"/>
    <n v="0"/>
    <n v="96722"/>
    <m/>
    <n v="86418"/>
    <m/>
    <n v="2765"/>
    <m/>
    <m/>
    <m/>
    <n v="4976"/>
    <m/>
    <n v="2563"/>
    <m/>
    <m/>
    <n v="0"/>
    <n v="0"/>
    <m/>
    <m/>
    <m/>
    <m/>
    <m/>
    <m/>
    <m/>
    <m/>
    <m/>
    <m/>
    <m/>
    <m/>
  </r>
  <r>
    <x v="4"/>
    <s v="Georgia Perimeter College "/>
    <m/>
    <n v="244437"/>
    <x v="6"/>
    <n v="0"/>
    <n v="461341"/>
    <m/>
    <n v="358603"/>
    <m/>
    <n v="3167"/>
    <m/>
    <m/>
    <m/>
    <n v="87024"/>
    <m/>
    <n v="12547"/>
    <m/>
    <m/>
    <n v="0"/>
    <n v="0"/>
    <m/>
    <m/>
    <m/>
    <m/>
    <m/>
    <m/>
    <m/>
    <m/>
    <m/>
    <m/>
    <m/>
    <m/>
  </r>
  <r>
    <x v="4"/>
    <s v="Atlanta Metropolitan State College"/>
    <s v="Met the criteria for Two-Year with Bachelor's in 2014-15. "/>
    <n v="138901"/>
    <x v="7"/>
    <n v="0"/>
    <n v="73188"/>
    <m/>
    <n v="55163"/>
    <m/>
    <n v="405"/>
    <m/>
    <m/>
    <m/>
    <n v="17509"/>
    <m/>
    <n v="111"/>
    <m/>
    <m/>
    <n v="0"/>
    <n v="0"/>
    <m/>
    <m/>
    <m/>
    <m/>
    <m/>
    <m/>
    <m/>
    <m/>
    <m/>
    <m/>
    <m/>
    <m/>
  </r>
  <r>
    <x v="4"/>
    <s v="Bainbridge State College "/>
    <s v="Met the criteria for Two-Year 3 in 2014-15."/>
    <n v="139010"/>
    <x v="7"/>
    <n v="0"/>
    <n v="57994"/>
    <m/>
    <n v="32330"/>
    <m/>
    <n v="9191"/>
    <m/>
    <m/>
    <m/>
    <n v="16473"/>
    <m/>
    <m/>
    <m/>
    <m/>
    <n v="0"/>
    <n v="0"/>
    <m/>
    <m/>
    <m/>
    <m/>
    <m/>
    <m/>
    <m/>
    <m/>
    <m/>
    <m/>
    <m/>
    <m/>
  </r>
  <r>
    <x v="4"/>
    <s v="Darton State College "/>
    <s v="Met the criteria for Two-Year with Bachelor's in 2014-15. "/>
    <n v="138691"/>
    <x v="7"/>
    <n v="0"/>
    <n v="133516.5"/>
    <m/>
    <n v="70163.5"/>
    <m/>
    <n v="7011"/>
    <m/>
    <m/>
    <m/>
    <n v="56230"/>
    <m/>
    <n v="112"/>
    <m/>
    <m/>
    <n v="0"/>
    <n v="0"/>
    <m/>
    <m/>
    <m/>
    <m/>
    <m/>
    <m/>
    <m/>
    <m/>
    <m/>
    <m/>
    <m/>
    <m/>
  </r>
  <r>
    <x v="4"/>
    <s v="East Georgia State College"/>
    <s v="Met the criteria for Two-Year with Bachelor's in 2014-15. "/>
    <n v="139621"/>
    <x v="7"/>
    <n v="0"/>
    <n v="68721"/>
    <m/>
    <n v="45104"/>
    <m/>
    <n v="11425"/>
    <m/>
    <m/>
    <m/>
    <n v="12189"/>
    <m/>
    <n v="3"/>
    <m/>
    <m/>
    <n v="0"/>
    <n v="0"/>
    <m/>
    <m/>
    <m/>
    <m/>
    <m/>
    <m/>
    <m/>
    <m/>
    <m/>
    <m/>
    <m/>
    <m/>
  </r>
  <r>
    <x v="4"/>
    <s v="Georgia Highlands College"/>
    <m/>
    <n v="139700"/>
    <x v="7"/>
    <n v="0"/>
    <n v="118303"/>
    <m/>
    <n v="82247"/>
    <m/>
    <n v="17675"/>
    <m/>
    <m/>
    <m/>
    <n v="16704"/>
    <n v="528"/>
    <n v="669"/>
    <m/>
    <n v="480"/>
    <n v="0"/>
    <n v="0"/>
    <m/>
    <m/>
    <m/>
    <m/>
    <m/>
    <m/>
    <m/>
    <m/>
    <m/>
    <m/>
    <m/>
    <m/>
  </r>
  <r>
    <x v="4"/>
    <s v="South Georgia State College"/>
    <s v="Met the criteria for Two-Year with Bachelor's in 2014-15. "/>
    <n v="482699"/>
    <x v="7"/>
    <n v="0"/>
    <n v="61969"/>
    <m/>
    <n v="29360"/>
    <m/>
    <n v="28575"/>
    <m/>
    <m/>
    <m/>
    <n v="4034"/>
    <m/>
    <m/>
    <m/>
    <m/>
    <n v="0"/>
    <n v="0"/>
    <m/>
    <m/>
    <m/>
    <m/>
    <m/>
    <m/>
    <m/>
    <m/>
    <m/>
    <m/>
    <m/>
    <m/>
  </r>
  <r>
    <x v="4"/>
    <s v="Southern Polytechnic State University"/>
    <m/>
    <n v="141097"/>
    <x v="11"/>
    <n v="0"/>
    <n v="154779"/>
    <m/>
    <n v="127169"/>
    <m/>
    <n v="24"/>
    <m/>
    <m/>
    <m/>
    <n v="24677"/>
    <m/>
    <n v="2906"/>
    <m/>
    <n v="3"/>
    <n v="0"/>
    <n v="12547.5"/>
    <m/>
    <n v="2730"/>
    <m/>
    <n v="12"/>
    <m/>
    <m/>
    <m/>
    <n v="9800.5"/>
    <m/>
    <n v="2"/>
    <m/>
    <n v="3"/>
  </r>
  <r>
    <x v="4"/>
    <s v="Albany Technical College"/>
    <m/>
    <n v="138682"/>
    <x v="9"/>
    <n v="112202"/>
    <n v="107540"/>
    <n v="67041"/>
    <n v="63195"/>
    <m/>
    <m/>
    <n v="45161"/>
    <n v="0"/>
    <m/>
    <n v="44345"/>
    <n v="0"/>
    <n v="0"/>
    <m/>
    <m/>
    <n v="0"/>
    <n v="0"/>
    <m/>
    <m/>
    <m/>
    <m/>
    <m/>
    <m/>
    <m/>
    <m/>
    <m/>
    <m/>
    <m/>
    <m/>
  </r>
  <r>
    <x v="4"/>
    <s v="Athens Technical College"/>
    <m/>
    <n v="246813"/>
    <x v="9"/>
    <n v="93787"/>
    <n v="86355"/>
    <n v="77589"/>
    <n v="70305"/>
    <m/>
    <m/>
    <n v="14757"/>
    <n v="1441"/>
    <m/>
    <n v="14306"/>
    <n v="1744"/>
    <n v="0"/>
    <m/>
    <m/>
    <n v="0"/>
    <n v="0"/>
    <m/>
    <m/>
    <m/>
    <m/>
    <m/>
    <m/>
    <m/>
    <m/>
    <m/>
    <m/>
    <m/>
    <m/>
  </r>
  <r>
    <x v="4"/>
    <s v="Atlanta Technical College"/>
    <m/>
    <n v="138840"/>
    <x v="9"/>
    <n v="130449"/>
    <n v="118620"/>
    <n v="102031"/>
    <n v="90100"/>
    <m/>
    <m/>
    <n v="28418"/>
    <n v="0"/>
    <m/>
    <n v="28520"/>
    <n v="0"/>
    <n v="0"/>
    <m/>
    <m/>
    <n v="0"/>
    <n v="0"/>
    <m/>
    <m/>
    <m/>
    <m/>
    <m/>
    <m/>
    <m/>
    <m/>
    <m/>
    <m/>
    <m/>
    <m/>
  </r>
  <r>
    <x v="4"/>
    <s v="Augusta Technical College"/>
    <m/>
    <n v="138956"/>
    <x v="9"/>
    <n v="107049"/>
    <n v="99888"/>
    <n v="92623"/>
    <n v="88338"/>
    <m/>
    <m/>
    <n v="14426"/>
    <n v="0"/>
    <m/>
    <n v="11550"/>
    <n v="0"/>
    <n v="0"/>
    <m/>
    <m/>
    <n v="0"/>
    <n v="0"/>
    <m/>
    <m/>
    <m/>
    <m/>
    <m/>
    <m/>
    <m/>
    <m/>
    <m/>
    <m/>
    <m/>
    <m/>
  </r>
  <r>
    <x v="4"/>
    <s v="Central Georgia Technical College"/>
    <m/>
    <n v="483045"/>
    <x v="9"/>
    <n v="200035"/>
    <n v="192474"/>
    <n v="125217"/>
    <n v="117246"/>
    <m/>
    <m/>
    <n v="69886"/>
    <n v="4932"/>
    <m/>
    <n v="69908"/>
    <n v="5320"/>
    <n v="0"/>
    <m/>
    <m/>
    <n v="0"/>
    <n v="0"/>
    <m/>
    <m/>
    <m/>
    <m/>
    <m/>
    <m/>
    <m/>
    <m/>
    <m/>
    <m/>
    <m/>
    <m/>
  </r>
  <r>
    <x v="4"/>
    <s v="Chattahoochee Technical College"/>
    <m/>
    <n v="140331"/>
    <x v="9"/>
    <n v="229034"/>
    <n v="211273"/>
    <n v="140816"/>
    <n v="126392"/>
    <m/>
    <m/>
    <n v="88218"/>
    <n v="0"/>
    <m/>
    <n v="84881"/>
    <n v="0"/>
    <n v="0"/>
    <m/>
    <m/>
    <n v="0"/>
    <n v="0"/>
    <m/>
    <m/>
    <m/>
    <m/>
    <m/>
    <m/>
    <m/>
    <m/>
    <m/>
    <m/>
    <m/>
    <m/>
  </r>
  <r>
    <x v="4"/>
    <s v="Coastal Pines Technical College"/>
    <m/>
    <n v="485458"/>
    <x v="9"/>
    <n v="58418"/>
    <n v="51755"/>
    <n v="49178"/>
    <n v="44039"/>
    <m/>
    <m/>
    <n v="9171"/>
    <n v="69"/>
    <n v="0"/>
    <n v="7716"/>
    <n v="0"/>
    <n v="0"/>
    <m/>
    <m/>
    <n v="0"/>
    <n v="0"/>
    <m/>
    <m/>
    <m/>
    <m/>
    <m/>
    <m/>
    <m/>
    <m/>
    <m/>
    <m/>
    <m/>
    <m/>
  </r>
  <r>
    <x v="4"/>
    <s v="Columbus Technical College"/>
    <m/>
    <n v="139357"/>
    <x v="9"/>
    <n v="95319"/>
    <n v="82008"/>
    <n v="64047"/>
    <n v="52180"/>
    <m/>
    <m/>
    <n v="31272"/>
    <n v="0"/>
    <m/>
    <n v="29828"/>
    <n v="0"/>
    <n v="0"/>
    <m/>
    <m/>
    <n v="0"/>
    <n v="0"/>
    <m/>
    <m/>
    <m/>
    <m/>
    <m/>
    <m/>
    <m/>
    <m/>
    <m/>
    <m/>
    <m/>
    <m/>
  </r>
  <r>
    <x v="4"/>
    <s v="Georgia Northwestern Technical College"/>
    <m/>
    <n v="139384"/>
    <x v="9"/>
    <n v="137220"/>
    <n v="127581"/>
    <n v="101010"/>
    <n v="91528"/>
    <m/>
    <m/>
    <n v="36210"/>
    <n v="0"/>
    <m/>
    <n v="36053"/>
    <n v="0"/>
    <n v="0"/>
    <m/>
    <m/>
    <n v="0"/>
    <n v="0"/>
    <m/>
    <m/>
    <m/>
    <m/>
    <m/>
    <m/>
    <m/>
    <m/>
    <m/>
    <m/>
    <m/>
    <m/>
  </r>
  <r>
    <x v="4"/>
    <s v="Georgia Piedmont Technical College"/>
    <m/>
    <n v="244446"/>
    <x v="9"/>
    <n v="107091"/>
    <n v="93526"/>
    <n v="43154"/>
    <n v="48368"/>
    <m/>
    <m/>
    <n v="63517"/>
    <n v="420"/>
    <m/>
    <n v="44999"/>
    <n v="159"/>
    <n v="0"/>
    <m/>
    <m/>
    <n v="0"/>
    <n v="0"/>
    <m/>
    <m/>
    <m/>
    <m/>
    <m/>
    <m/>
    <m/>
    <m/>
    <m/>
    <m/>
    <m/>
    <m/>
  </r>
  <r>
    <x v="4"/>
    <s v="Gwinnett Technical College"/>
    <m/>
    <n v="140012"/>
    <x v="9"/>
    <n v="155142"/>
    <n v="150763"/>
    <n v="81817"/>
    <n v="81917"/>
    <m/>
    <m/>
    <n v="73325"/>
    <n v="0"/>
    <m/>
    <n v="68846"/>
    <n v="0"/>
    <n v="0"/>
    <m/>
    <m/>
    <n v="0"/>
    <n v="0"/>
    <m/>
    <m/>
    <m/>
    <m/>
    <m/>
    <m/>
    <m/>
    <m/>
    <m/>
    <m/>
    <m/>
    <m/>
  </r>
  <r>
    <x v="4"/>
    <s v="Lanier Technical College"/>
    <m/>
    <n v="140243"/>
    <x v="9"/>
    <n v="74056"/>
    <n v="77851"/>
    <n v="43987"/>
    <n v="49354"/>
    <m/>
    <m/>
    <n v="30069"/>
    <n v="0"/>
    <m/>
    <n v="28497"/>
    <n v="0"/>
    <n v="0"/>
    <m/>
    <m/>
    <n v="0"/>
    <n v="0"/>
    <m/>
    <m/>
    <m/>
    <m/>
    <m/>
    <m/>
    <m/>
    <m/>
    <m/>
    <m/>
    <m/>
    <m/>
  </r>
  <r>
    <x v="4"/>
    <s v="Moultrie Technical College"/>
    <m/>
    <n v="140599"/>
    <x v="9"/>
    <n v="44514"/>
    <n v="44666"/>
    <n v="36019"/>
    <n v="35706"/>
    <m/>
    <m/>
    <n v="8495"/>
    <n v="0"/>
    <m/>
    <n v="8960"/>
    <n v="0"/>
    <n v="0"/>
    <m/>
    <m/>
    <n v="0"/>
    <n v="0"/>
    <m/>
    <m/>
    <m/>
    <m/>
    <m/>
    <m/>
    <m/>
    <m/>
    <m/>
    <m/>
    <m/>
    <m/>
  </r>
  <r>
    <x v="4"/>
    <s v="North Georgia Technical College"/>
    <m/>
    <n v="140678"/>
    <x v="9"/>
    <n v="59703"/>
    <n v="57759"/>
    <n v="43291"/>
    <n v="40005"/>
    <m/>
    <m/>
    <n v="15125"/>
    <n v="1287"/>
    <m/>
    <n v="17754"/>
    <n v="0"/>
    <n v="0"/>
    <m/>
    <m/>
    <n v="0"/>
    <n v="0"/>
    <m/>
    <m/>
    <m/>
    <m/>
    <m/>
    <m/>
    <m/>
    <m/>
    <m/>
    <m/>
    <m/>
    <m/>
  </r>
  <r>
    <x v="4"/>
    <s v="Oconee Fall Line Technical College"/>
    <m/>
    <n v="420431"/>
    <x v="9"/>
    <n v="43276"/>
    <n v="38711"/>
    <n v="31541"/>
    <n v="26100"/>
    <m/>
    <m/>
    <n v="11735"/>
    <n v="0"/>
    <m/>
    <n v="12611"/>
    <n v="0"/>
    <n v="0"/>
    <m/>
    <m/>
    <n v="0"/>
    <n v="0"/>
    <m/>
    <m/>
    <m/>
    <m/>
    <m/>
    <m/>
    <m/>
    <m/>
    <m/>
    <m/>
    <m/>
    <m/>
  </r>
  <r>
    <x v="4"/>
    <s v="Ogeechee Technical College"/>
    <m/>
    <n v="366465"/>
    <x v="9"/>
    <n v="59409"/>
    <n v="59667"/>
    <n v="42083"/>
    <n v="43177"/>
    <m/>
    <m/>
    <n v="17326"/>
    <n v="0"/>
    <m/>
    <n v="16490"/>
    <n v="0"/>
    <n v="0"/>
    <m/>
    <m/>
    <n v="0"/>
    <n v="0"/>
    <m/>
    <m/>
    <m/>
    <m/>
    <m/>
    <m/>
    <m/>
    <m/>
    <m/>
    <m/>
    <m/>
    <m/>
  </r>
  <r>
    <x v="4"/>
    <s v="Savannah Technical College"/>
    <m/>
    <n v="140942"/>
    <x v="9"/>
    <n v="110615"/>
    <n v="107493"/>
    <n v="76688"/>
    <n v="77654"/>
    <m/>
    <m/>
    <n v="32950"/>
    <n v="977"/>
    <m/>
    <n v="29665"/>
    <n v="174"/>
    <n v="0"/>
    <m/>
    <m/>
    <n v="0"/>
    <n v="0"/>
    <m/>
    <m/>
    <m/>
    <m/>
    <m/>
    <m/>
    <m/>
    <m/>
    <m/>
    <m/>
    <m/>
    <m/>
  </r>
  <r>
    <x v="4"/>
    <s v="South Georgia Technical College"/>
    <m/>
    <n v="141006"/>
    <x v="9"/>
    <n v="48200"/>
    <n v="43690.5"/>
    <n v="42745"/>
    <n v="42402.5"/>
    <m/>
    <m/>
    <n v="5455"/>
    <n v="0"/>
    <m/>
    <n v="1288"/>
    <n v="0"/>
    <n v="0"/>
    <m/>
    <m/>
    <n v="0"/>
    <n v="0"/>
    <m/>
    <m/>
    <m/>
    <m/>
    <m/>
    <m/>
    <m/>
    <m/>
    <m/>
    <m/>
    <m/>
    <m/>
  </r>
  <r>
    <x v="4"/>
    <s v="Southeastern Technical College"/>
    <m/>
    <n v="368911"/>
    <x v="9"/>
    <n v="37383"/>
    <n v="33933"/>
    <n v="30471"/>
    <n v="27937"/>
    <m/>
    <m/>
    <n v="6912"/>
    <n v="0"/>
    <m/>
    <n v="5996"/>
    <n v="0"/>
    <n v="0"/>
    <m/>
    <m/>
    <n v="0"/>
    <n v="0"/>
    <m/>
    <m/>
    <m/>
    <m/>
    <m/>
    <m/>
    <m/>
    <m/>
    <m/>
    <m/>
    <m/>
    <m/>
  </r>
  <r>
    <x v="4"/>
    <s v="Southern Crescent Technical College"/>
    <m/>
    <n v="139986"/>
    <x v="9"/>
    <n v="123033"/>
    <n v="107995"/>
    <n v="90630"/>
    <n v="77351"/>
    <m/>
    <m/>
    <n v="32403"/>
    <n v="0"/>
    <m/>
    <n v="30644"/>
    <n v="0"/>
    <n v="0"/>
    <m/>
    <m/>
    <n v="0"/>
    <n v="0"/>
    <m/>
    <m/>
    <m/>
    <m/>
    <m/>
    <m/>
    <m/>
    <m/>
    <m/>
    <m/>
    <m/>
    <m/>
  </r>
  <r>
    <x v="4"/>
    <s v="Southwest Georgia Technical College"/>
    <m/>
    <n v="141158"/>
    <x v="9"/>
    <n v="35071"/>
    <n v="32798"/>
    <n v="27168"/>
    <n v="25751"/>
    <m/>
    <m/>
    <n v="7903"/>
    <n v="0"/>
    <m/>
    <n v="7047"/>
    <n v="0"/>
    <n v="0"/>
    <m/>
    <m/>
    <n v="0"/>
    <n v="0"/>
    <m/>
    <m/>
    <m/>
    <m/>
    <m/>
    <m/>
    <m/>
    <m/>
    <m/>
    <m/>
    <m/>
    <m/>
  </r>
  <r>
    <x v="4"/>
    <s v="West Georgia Technical College"/>
    <m/>
    <n v="139278"/>
    <x v="9"/>
    <n v="147022"/>
    <n v="141737"/>
    <n v="106293"/>
    <n v="102952"/>
    <m/>
    <m/>
    <n v="40729"/>
    <n v="0"/>
    <m/>
    <n v="38785"/>
    <n v="0"/>
    <n v="0"/>
    <m/>
    <m/>
    <n v="0"/>
    <n v="0"/>
    <m/>
    <m/>
    <m/>
    <m/>
    <m/>
    <m/>
    <m/>
    <m/>
    <m/>
    <m/>
    <m/>
    <m/>
  </r>
  <r>
    <x v="4"/>
    <s v="Wiregrass Georgia Technical College"/>
    <m/>
    <n v="141255"/>
    <x v="9"/>
    <n v="93592"/>
    <n v="82512"/>
    <n v="72036"/>
    <n v="63719"/>
    <m/>
    <m/>
    <n v="21556"/>
    <n v="0"/>
    <m/>
    <n v="18793"/>
    <n v="0"/>
    <n v="0"/>
    <m/>
    <m/>
    <n v="0"/>
    <n v="0"/>
    <m/>
    <m/>
    <m/>
    <m/>
    <m/>
    <m/>
    <m/>
    <m/>
    <m/>
    <m/>
    <m/>
    <m/>
  </r>
  <r>
    <x v="5"/>
    <s v="University of Kentucky"/>
    <m/>
    <n v="157085"/>
    <x v="0"/>
    <n v="590251"/>
    <n v="609304"/>
    <n v="556613"/>
    <n v="566657"/>
    <n v="3415"/>
    <n v="4898"/>
    <n v="27241"/>
    <n v="2982"/>
    <m/>
    <n v="34451"/>
    <n v="3298"/>
    <m/>
    <m/>
    <m/>
    <n v="83989"/>
    <n v="80810"/>
    <n v="68634"/>
    <n v="65251"/>
    <n v="2627"/>
    <n v="2085"/>
    <n v="11814"/>
    <n v="914"/>
    <m/>
    <n v="12731"/>
    <n v="743"/>
    <m/>
    <m/>
    <m/>
  </r>
  <r>
    <x v="5"/>
    <s v="University of Louisville"/>
    <m/>
    <n v="157289"/>
    <x v="0"/>
    <n v="407716"/>
    <n v="405502"/>
    <n v="359932"/>
    <n v="356647"/>
    <n v="13094"/>
    <n v="11644"/>
    <n v="34690"/>
    <m/>
    <m/>
    <n v="37211"/>
    <m/>
    <m/>
    <m/>
    <m/>
    <n v="75785"/>
    <n v="76877"/>
    <n v="65085"/>
    <n v="62712"/>
    <n v="4176"/>
    <n v="4248"/>
    <n v="6524"/>
    <m/>
    <m/>
    <n v="9917"/>
    <m/>
    <m/>
    <m/>
    <m/>
  </r>
  <r>
    <x v="5"/>
    <s v="Eastern Kentucky University "/>
    <m/>
    <n v="156620"/>
    <x v="2"/>
    <n v="357703"/>
    <n v="356275"/>
    <n v="276614"/>
    <n v="275718"/>
    <n v="18713"/>
    <n v="16042"/>
    <n v="53926"/>
    <n v="8450"/>
    <m/>
    <n v="57330"/>
    <n v="7179"/>
    <n v="6"/>
    <m/>
    <m/>
    <n v="37518"/>
    <n v="40350"/>
    <n v="18439"/>
    <n v="17479"/>
    <n v="748"/>
    <n v="662"/>
    <n v="18159"/>
    <n v="172"/>
    <m/>
    <n v="22173"/>
    <n v="33"/>
    <n v="3"/>
    <m/>
    <m/>
  </r>
  <r>
    <x v="5"/>
    <s v="Morehead State University "/>
    <m/>
    <n v="157386"/>
    <x v="2"/>
    <n v="194213"/>
    <n v="207910"/>
    <n v="132408"/>
    <n v="131857"/>
    <n v="21674"/>
    <n v="22379"/>
    <n v="40131"/>
    <m/>
    <m/>
    <n v="44640"/>
    <n v="9034"/>
    <m/>
    <m/>
    <m/>
    <n v="19681"/>
    <n v="17132"/>
    <n v="3909"/>
    <n v="2937"/>
    <n v="144"/>
    <n v="165"/>
    <n v="15181"/>
    <n v="447"/>
    <m/>
    <n v="13808"/>
    <n v="222"/>
    <m/>
    <m/>
    <m/>
  </r>
  <r>
    <x v="5"/>
    <s v="Murray State University "/>
    <m/>
    <n v="157401"/>
    <x v="2"/>
    <n v="246309"/>
    <n v="234320"/>
    <n v="207462"/>
    <n v="196013"/>
    <n v="9286"/>
    <n v="10379"/>
    <n v="19862"/>
    <n v="9699"/>
    <m/>
    <n v="20097"/>
    <n v="7831"/>
    <s v=" "/>
    <m/>
    <m/>
    <n v="29532"/>
    <n v="28138"/>
    <n v="14968"/>
    <n v="14035"/>
    <n v="2770"/>
    <n v="2081"/>
    <n v="10270"/>
    <n v="1524"/>
    <m/>
    <n v="10437"/>
    <n v="1585"/>
    <m/>
    <m/>
    <m/>
  </r>
  <r>
    <x v="5"/>
    <s v="Western Kentucky University "/>
    <m/>
    <n v="157951"/>
    <x v="2"/>
    <n v="442877"/>
    <n v="436509"/>
    <n v="338546"/>
    <n v="334782"/>
    <n v="35449"/>
    <n v="30987"/>
    <n v="61289"/>
    <n v="6393"/>
    <n v="1200"/>
    <n v="63231"/>
    <n v="6808"/>
    <n v="701"/>
    <m/>
    <m/>
    <n v="45999"/>
    <n v="42340"/>
    <n v="21157"/>
    <n v="19922"/>
    <n v="924"/>
    <n v="855"/>
    <n v="23343"/>
    <n v="575"/>
    <m/>
    <n v="21139"/>
    <n v="409"/>
    <n v="15"/>
    <m/>
    <m/>
  </r>
  <r>
    <x v="5"/>
    <s v="Kentucky State University "/>
    <m/>
    <n v="157058"/>
    <x v="3"/>
    <n v="73079"/>
    <n v="47143"/>
    <n v="51287"/>
    <n v="34957"/>
    <m/>
    <m/>
    <n v="14123"/>
    <n v="7669"/>
    <m/>
    <n v="12186"/>
    <m/>
    <m/>
    <m/>
    <m/>
    <n v="2638"/>
    <n v="2021"/>
    <n v="1708"/>
    <n v="1582"/>
    <m/>
    <m/>
    <n v="930"/>
    <m/>
    <m/>
    <n v="439"/>
    <m/>
    <m/>
    <m/>
    <m/>
  </r>
  <r>
    <x v="5"/>
    <s v="Northern Kentucky University "/>
    <s v="Reclassified: Met the criteria for Four-Year 3 in 2012-13, 2013-14, and 2014-15."/>
    <n v="157447"/>
    <x v="2"/>
    <n v="327266"/>
    <n v="321893"/>
    <n v="266934"/>
    <n v="258108"/>
    <n v="9758"/>
    <n v="10413"/>
    <n v="50574"/>
    <m/>
    <m/>
    <n v="53372"/>
    <m/>
    <m/>
    <m/>
    <m/>
    <n v="39013"/>
    <n v="36114"/>
    <n v="27746"/>
    <n v="24127"/>
    <n v="1033"/>
    <n v="1064"/>
    <n v="10234"/>
    <m/>
    <m/>
    <n v="10923"/>
    <m/>
    <m/>
    <m/>
    <m/>
  </r>
  <r>
    <x v="5"/>
    <s v="Bluegrass Community and Technical College"/>
    <m/>
    <n v="157173"/>
    <x v="6"/>
    <n v="240769"/>
    <n v="221732"/>
    <n v="154491"/>
    <n v="116056"/>
    <n v="9407"/>
    <n v="29354"/>
    <n v="76871"/>
    <m/>
    <m/>
    <n v="76322"/>
    <m/>
    <m/>
    <m/>
    <m/>
    <n v="0"/>
    <n v="0"/>
    <m/>
    <m/>
    <m/>
    <m/>
    <m/>
    <m/>
    <m/>
    <m/>
    <m/>
    <m/>
    <m/>
    <m/>
  </r>
  <r>
    <x v="5"/>
    <s v="Jefferson Community and Technical College "/>
    <m/>
    <n v="156921"/>
    <x v="6"/>
    <n v="227815"/>
    <n v="220249"/>
    <n v="171477"/>
    <n v="164542"/>
    <n v="12500"/>
    <n v="10557"/>
    <n v="43709"/>
    <n v="36"/>
    <n v="93"/>
    <n v="45150"/>
    <m/>
    <m/>
    <m/>
    <m/>
    <n v="0"/>
    <n v="0"/>
    <m/>
    <m/>
    <m/>
    <m/>
    <m/>
    <m/>
    <m/>
    <m/>
    <m/>
    <m/>
    <m/>
    <m/>
  </r>
  <r>
    <x v="5"/>
    <s v="Ashland Community and Technical College"/>
    <m/>
    <n v="156231"/>
    <x v="7"/>
    <n v="72172"/>
    <n v="73755"/>
    <n v="43887"/>
    <n v="40411"/>
    <n v="4208"/>
    <n v="3667"/>
    <n v="24077"/>
    <m/>
    <m/>
    <n v="29677"/>
    <m/>
    <m/>
    <m/>
    <m/>
    <n v="0"/>
    <n v="0"/>
    <m/>
    <m/>
    <m/>
    <m/>
    <m/>
    <m/>
    <m/>
    <m/>
    <m/>
    <m/>
    <m/>
    <m/>
  </r>
  <r>
    <x v="5"/>
    <s v="Big Sandy Community and Technical College "/>
    <m/>
    <n v="157553"/>
    <x v="7"/>
    <n v="78801"/>
    <n v="75457"/>
    <n v="48634"/>
    <n v="47722"/>
    <n v="594"/>
    <n v="665"/>
    <n v="29342"/>
    <n v="231"/>
    <m/>
    <n v="27070"/>
    <m/>
    <m/>
    <m/>
    <m/>
    <n v="0"/>
    <n v="0"/>
    <m/>
    <m/>
    <m/>
    <m/>
    <m/>
    <m/>
    <m/>
    <m/>
    <m/>
    <m/>
    <m/>
    <m/>
  </r>
  <r>
    <x v="5"/>
    <s v="Elizabethtown Community and Technical College "/>
    <m/>
    <n v="156648"/>
    <x v="7"/>
    <n v="113674"/>
    <n v="112079"/>
    <n v="74093"/>
    <n v="67032"/>
    <n v="3885"/>
    <n v="5970"/>
    <n v="35696"/>
    <m/>
    <m/>
    <n v="39077"/>
    <m/>
    <m/>
    <m/>
    <m/>
    <n v="0"/>
    <n v="0"/>
    <m/>
    <m/>
    <m/>
    <m/>
    <m/>
    <m/>
    <m/>
    <m/>
    <m/>
    <m/>
    <m/>
    <m/>
  </r>
  <r>
    <x v="5"/>
    <s v="Hazard Community and Technical College"/>
    <s v="Met the criteria for Two-Year 3 in 2014-15."/>
    <n v="156790"/>
    <x v="7"/>
    <n v="62559"/>
    <n v="59995"/>
    <n v="31949"/>
    <n v="27242"/>
    <n v="2005"/>
    <n v="1990"/>
    <n v="27996"/>
    <n v="215"/>
    <n v="394"/>
    <n v="30763"/>
    <m/>
    <m/>
    <m/>
    <m/>
    <n v="0"/>
    <n v="0"/>
    <m/>
    <m/>
    <m/>
    <m/>
    <m/>
    <m/>
    <m/>
    <m/>
    <m/>
    <m/>
    <m/>
    <m/>
  </r>
  <r>
    <x v="5"/>
    <s v="Hopkinsville Community College "/>
    <m/>
    <n v="156860"/>
    <x v="7"/>
    <n v="66726"/>
    <n v="63904"/>
    <n v="48163"/>
    <n v="45172"/>
    <n v="744"/>
    <n v="1129"/>
    <n v="17819"/>
    <m/>
    <m/>
    <n v="17603"/>
    <m/>
    <m/>
    <m/>
    <m/>
    <n v="0"/>
    <n v="0"/>
    <m/>
    <m/>
    <m/>
    <m/>
    <m/>
    <m/>
    <m/>
    <m/>
    <m/>
    <m/>
    <m/>
    <m/>
  </r>
  <r>
    <x v="5"/>
    <s v="Madisonville Community College"/>
    <m/>
    <n v="157304"/>
    <x v="7"/>
    <n v="65837"/>
    <n v="63319"/>
    <n v="36594"/>
    <n v="31206"/>
    <n v="5113"/>
    <n v="5309"/>
    <n v="24130"/>
    <m/>
    <m/>
    <n v="26804"/>
    <m/>
    <m/>
    <m/>
    <m/>
    <n v="0"/>
    <n v="0"/>
    <m/>
    <m/>
    <m/>
    <m/>
    <m/>
    <m/>
    <m/>
    <m/>
    <m/>
    <m/>
    <m/>
    <m/>
  </r>
  <r>
    <x v="5"/>
    <s v="Maysville Community and Technical College "/>
    <m/>
    <n v="157331"/>
    <x v="7"/>
    <n v="86457"/>
    <n v="77846"/>
    <n v="37768"/>
    <n v="33945"/>
    <n v="4766"/>
    <n v="7030"/>
    <n v="43737"/>
    <m/>
    <n v="186"/>
    <n v="36871"/>
    <m/>
    <m/>
    <m/>
    <m/>
    <n v="0"/>
    <n v="0"/>
    <m/>
    <m/>
    <m/>
    <m/>
    <m/>
    <m/>
    <m/>
    <m/>
    <m/>
    <m/>
    <m/>
    <m/>
  </r>
  <r>
    <x v="5"/>
    <s v="Owensboro Community and Technical College "/>
    <m/>
    <n v="247940"/>
    <x v="7"/>
    <n v="79913"/>
    <n v="74837"/>
    <n v="54577"/>
    <n v="48161"/>
    <n v="2209"/>
    <n v="3896"/>
    <n v="23120"/>
    <m/>
    <n v="7"/>
    <n v="22780"/>
    <m/>
    <m/>
    <m/>
    <m/>
    <n v="0"/>
    <n v="0"/>
    <m/>
    <m/>
    <m/>
    <m/>
    <m/>
    <m/>
    <m/>
    <m/>
    <m/>
    <m/>
    <m/>
    <m/>
  </r>
  <r>
    <x v="5"/>
    <s v="Somerset Community and Technical College "/>
    <m/>
    <n v="157711"/>
    <x v="7"/>
    <n v="143316"/>
    <n v="134969"/>
    <n v="66541"/>
    <n v="60366"/>
    <n v="11456"/>
    <n v="10886"/>
    <n v="63079"/>
    <n v="405"/>
    <n v="1835"/>
    <n v="63717"/>
    <m/>
    <m/>
    <m/>
    <m/>
    <n v="0"/>
    <n v="0"/>
    <m/>
    <m/>
    <m/>
    <m/>
    <m/>
    <m/>
    <m/>
    <m/>
    <m/>
    <m/>
    <m/>
    <m/>
  </r>
  <r>
    <x v="5"/>
    <s v="Southeast Kentucky Community and Technical College"/>
    <m/>
    <n v="157739"/>
    <x v="7"/>
    <n v="64837"/>
    <n v="62677"/>
    <n v="48422"/>
    <n v="47379"/>
    <m/>
    <m/>
    <n v="15507"/>
    <n v="586"/>
    <n v="322"/>
    <n v="15298"/>
    <m/>
    <m/>
    <m/>
    <m/>
    <n v="0"/>
    <n v="0"/>
    <m/>
    <m/>
    <m/>
    <m/>
    <m/>
    <m/>
    <m/>
    <m/>
    <m/>
    <m/>
    <m/>
    <m/>
  </r>
  <r>
    <x v="5"/>
    <s v="West Kentucky Community and Technical College"/>
    <m/>
    <n v="157483"/>
    <x v="7"/>
    <n v="123422"/>
    <n v="117352"/>
    <n v="71292"/>
    <n v="63548"/>
    <n v="8294"/>
    <n v="6425"/>
    <n v="43667"/>
    <m/>
    <n v="169"/>
    <n v="47379"/>
    <m/>
    <m/>
    <m/>
    <m/>
    <n v="0"/>
    <n v="0"/>
    <m/>
    <m/>
    <m/>
    <m/>
    <m/>
    <m/>
    <m/>
    <m/>
    <m/>
    <m/>
    <m/>
    <m/>
  </r>
  <r>
    <x v="5"/>
    <s v="Henderson Community College "/>
    <m/>
    <n v="156851"/>
    <x v="8"/>
    <n v="39112"/>
    <n v="33863"/>
    <n v="18151"/>
    <n v="16905"/>
    <n v="2140"/>
    <n v="2714"/>
    <n v="18691"/>
    <m/>
    <n v="130"/>
    <n v="14244"/>
    <m/>
    <m/>
    <m/>
    <m/>
    <n v="0"/>
    <n v="0"/>
    <m/>
    <m/>
    <m/>
    <m/>
    <m/>
    <m/>
    <m/>
    <m/>
    <m/>
    <m/>
    <m/>
    <m/>
  </r>
  <r>
    <x v="5"/>
    <s v="Gateway Community and Technical College"/>
    <m/>
    <n v="157438"/>
    <x v="9"/>
    <n v="73801"/>
    <n v="73495"/>
    <n v="57944"/>
    <n v="45758"/>
    <n v="1135"/>
    <n v="10631"/>
    <n v="14722"/>
    <m/>
    <m/>
    <n v="17106"/>
    <m/>
    <m/>
    <m/>
    <m/>
    <n v="0"/>
    <n v="0"/>
    <m/>
    <m/>
    <m/>
    <m/>
    <m/>
    <m/>
    <m/>
    <m/>
    <m/>
    <m/>
    <m/>
    <m/>
  </r>
  <r>
    <x v="5"/>
    <s v="Southcentral Kentucky Community and Technical College"/>
    <m/>
    <n v="156338"/>
    <x v="9"/>
    <n v="87980"/>
    <n v="79651"/>
    <n v="51631"/>
    <n v="49872"/>
    <n v="3818"/>
    <n v="3442"/>
    <n v="32531"/>
    <m/>
    <m/>
    <n v="26337"/>
    <m/>
    <m/>
    <m/>
    <m/>
    <n v="0"/>
    <n v="0"/>
    <m/>
    <m/>
    <m/>
    <m/>
    <m/>
    <m/>
    <m/>
    <m/>
    <m/>
    <m/>
    <m/>
    <m/>
  </r>
  <r>
    <x v="6"/>
    <m/>
    <m/>
    <m/>
    <x v="13"/>
    <n v="0"/>
    <n v="0"/>
    <m/>
    <m/>
    <m/>
    <m/>
    <m/>
    <m/>
    <m/>
    <m/>
    <m/>
    <m/>
    <m/>
    <m/>
    <n v="0"/>
    <n v="0"/>
    <m/>
    <m/>
    <m/>
    <m/>
    <m/>
    <m/>
    <m/>
    <m/>
    <m/>
    <m/>
    <m/>
    <m/>
  </r>
  <r>
    <x v="7"/>
    <s v="University of Maryland College Park"/>
    <m/>
    <n v="163286"/>
    <x v="0"/>
    <n v="786874"/>
    <n v="801361"/>
    <n v="747597"/>
    <n v="759431"/>
    <n v="21145"/>
    <n v="20329"/>
    <n v="16980"/>
    <n v="1152"/>
    <n v="0"/>
    <n v="20815"/>
    <n v="786"/>
    <n v="0"/>
    <m/>
    <n v="0"/>
    <n v="155702"/>
    <n v="155362"/>
    <n v="118004"/>
    <n v="117701"/>
    <n v="30170"/>
    <n v="29566"/>
    <n v="6631"/>
    <n v="897"/>
    <n v="0"/>
    <n v="7224"/>
    <n v="871"/>
    <n v="0"/>
    <m/>
    <n v="0"/>
  </r>
  <r>
    <x v="7"/>
    <s v="Morgan State University"/>
    <m/>
    <n v="163453"/>
    <x v="1"/>
    <n v="179961"/>
    <n v="176517"/>
    <n v="174295"/>
    <n v="171534"/>
    <n v="1887"/>
    <n v="42"/>
    <n v="3779"/>
    <n v="0"/>
    <n v="0"/>
    <n v="4941"/>
    <n v="0"/>
    <n v="0"/>
    <m/>
    <n v="0"/>
    <n v="20304"/>
    <n v="21129"/>
    <n v="17750"/>
    <n v="19577"/>
    <n v="238"/>
    <n v="24"/>
    <n v="2316"/>
    <n v="0"/>
    <n v="0"/>
    <n v="1528"/>
    <n v="0"/>
    <n v="0"/>
    <m/>
    <n v="0"/>
  </r>
  <r>
    <x v="7"/>
    <s v="University of Maryland, Baltimore County"/>
    <m/>
    <n v="163268"/>
    <x v="1"/>
    <n v="315357"/>
    <n v="319789"/>
    <n v="274522"/>
    <n v="276150"/>
    <n v="7636"/>
    <n v="7899"/>
    <n v="33199"/>
    <n v="0"/>
    <n v="0"/>
    <n v="35740"/>
    <n v="0"/>
    <n v="0"/>
    <m/>
    <n v="0"/>
    <n v="35394"/>
    <n v="35348"/>
    <n v="25610"/>
    <n v="25258"/>
    <n v="1930"/>
    <n v="2658"/>
    <n v="7854"/>
    <n v="0"/>
    <n v="0"/>
    <n v="7432"/>
    <n v="0"/>
    <n v="0"/>
    <m/>
    <n v="0"/>
  </r>
  <r>
    <x v="7"/>
    <s v="Towson University "/>
    <m/>
    <n v="164076"/>
    <x v="2"/>
    <n v="532503"/>
    <n v="538278"/>
    <n v="480316"/>
    <n v="481849"/>
    <n v="11270"/>
    <n v="11815"/>
    <n v="40034"/>
    <n v="883"/>
    <n v="0"/>
    <n v="44425"/>
    <n v="189"/>
    <n v="0"/>
    <m/>
    <n v="0"/>
    <n v="53830"/>
    <n v="51407.5"/>
    <n v="33838"/>
    <n v="30772.5"/>
    <n v="10063"/>
    <n v="9665.5"/>
    <n v="9857"/>
    <n v="72"/>
    <n v="0"/>
    <n v="10516.5"/>
    <n v="453"/>
    <n v="0"/>
    <m/>
    <n v="0"/>
  </r>
  <r>
    <x v="7"/>
    <s v="Bowie State University "/>
    <m/>
    <n v="162007"/>
    <x v="3"/>
    <n v="117072"/>
    <n v="119899"/>
    <n v="101937"/>
    <n v="103570"/>
    <n v="0"/>
    <n v="0"/>
    <n v="15135"/>
    <n v="0"/>
    <n v="0"/>
    <n v="16329"/>
    <n v="0"/>
    <n v="0"/>
    <m/>
    <n v="0"/>
    <n v="16760"/>
    <n v="18596"/>
    <n v="14989"/>
    <n v="16371"/>
    <n v="463"/>
    <n v="583"/>
    <n v="1308"/>
    <n v="0"/>
    <n v="0"/>
    <n v="1642"/>
    <n v="0"/>
    <n v="0"/>
    <m/>
    <n v="0"/>
  </r>
  <r>
    <x v="7"/>
    <s v="Frostburg State University "/>
    <m/>
    <n v="162584"/>
    <x v="3"/>
    <n v="132736"/>
    <n v="134434"/>
    <n v="111245"/>
    <n v="109840"/>
    <n v="2510"/>
    <n v="2942"/>
    <n v="18981"/>
    <n v="0"/>
    <n v="0"/>
    <n v="21652"/>
    <n v="0"/>
    <n v="0"/>
    <m/>
    <n v="0"/>
    <n v="12550"/>
    <n v="11843"/>
    <n v="3493"/>
    <n v="2661"/>
    <n v="864"/>
    <n v="439"/>
    <n v="8193"/>
    <n v="0"/>
    <n v="0"/>
    <n v="8743"/>
    <n v="0"/>
    <n v="0"/>
    <m/>
    <n v="0"/>
  </r>
  <r>
    <x v="7"/>
    <s v="Salisbury University "/>
    <m/>
    <n v="163851"/>
    <x v="3"/>
    <n v="238587"/>
    <n v="239693"/>
    <n v="206133"/>
    <n v="210710"/>
    <n v="3439"/>
    <n v="3274"/>
    <n v="21517"/>
    <n v="7498"/>
    <n v="0"/>
    <n v="23626"/>
    <n v="2083"/>
    <n v="0"/>
    <m/>
    <n v="0"/>
    <n v="10601"/>
    <n v="11815"/>
    <n v="4333"/>
    <n v="4286"/>
    <n v="100"/>
    <n v="552"/>
    <n v="5129"/>
    <n v="1039"/>
    <n v="0"/>
    <n v="5005"/>
    <n v="1972"/>
    <n v="0"/>
    <m/>
    <n v="0"/>
  </r>
  <r>
    <x v="7"/>
    <s v="University of Baltimore"/>
    <s v="Met the criteria for Four-Year 3 in 2014-15."/>
    <n v="161873"/>
    <x v="3"/>
    <n v="75630"/>
    <n v="76623"/>
    <n v="60582"/>
    <n v="59310"/>
    <n v="1344"/>
    <n v="1335"/>
    <n v="13704"/>
    <n v="0"/>
    <n v="0"/>
    <n v="15978"/>
    <n v="0"/>
    <n v="0"/>
    <m/>
    <n v="0"/>
    <n v="54307"/>
    <n v="52306.5"/>
    <n v="43411"/>
    <n v="41765.5"/>
    <n v="1899"/>
    <n v="1965.5"/>
    <n v="8997"/>
    <n v="0"/>
    <n v="0"/>
    <n v="8575.5"/>
    <n v="0"/>
    <n v="0"/>
    <m/>
    <n v="0"/>
  </r>
  <r>
    <x v="7"/>
    <s v="University of Maryland Eastern Shore "/>
    <m/>
    <n v="163338"/>
    <x v="3"/>
    <n v="106017"/>
    <n v="103932"/>
    <n v="94328"/>
    <n v="89742"/>
    <n v="2131"/>
    <n v="2742"/>
    <n v="9558"/>
    <n v="0"/>
    <n v="0"/>
    <n v="11448"/>
    <n v="0"/>
    <n v="0"/>
    <m/>
    <n v="0"/>
    <n v="17426"/>
    <n v="20060"/>
    <n v="17069"/>
    <n v="19590"/>
    <n v="201"/>
    <n v="269"/>
    <n v="156"/>
    <n v="0"/>
    <n v="0"/>
    <n v="201"/>
    <n v="0"/>
    <n v="0"/>
    <m/>
    <n v="0"/>
  </r>
  <r>
    <x v="7"/>
    <s v="Coppin State University"/>
    <m/>
    <n v="162283"/>
    <x v="4"/>
    <n v="80671"/>
    <n v="72249"/>
    <n v="67833"/>
    <n v="59373"/>
    <n v="1742"/>
    <n v="1643"/>
    <n v="11096"/>
    <n v="0"/>
    <n v="0"/>
    <n v="11233"/>
    <n v="0"/>
    <n v="0"/>
    <m/>
    <n v="0"/>
    <n v="6276"/>
    <n v="5619"/>
    <n v="4722"/>
    <n v="4685"/>
    <n v="1039"/>
    <n v="433"/>
    <n v="515"/>
    <n v="0"/>
    <n v="0"/>
    <n v="501"/>
    <n v="0"/>
    <n v="0"/>
    <m/>
    <n v="0"/>
  </r>
  <r>
    <x v="7"/>
    <s v="Saint Mary's College of Maryland"/>
    <m/>
    <n v="163912"/>
    <x v="5"/>
    <n v="55976"/>
    <n v="54140.5"/>
    <n v="55976"/>
    <n v="54140.5"/>
    <n v="0"/>
    <n v="0"/>
    <n v="0"/>
    <n v="0"/>
    <n v="0"/>
    <n v="0"/>
    <n v="0"/>
    <n v="0"/>
    <m/>
    <n v="0"/>
    <n v="1413"/>
    <n v="1382"/>
    <n v="1413"/>
    <n v="1382"/>
    <n v="0"/>
    <n v="0"/>
    <n v="0"/>
    <n v="0"/>
    <n v="0"/>
    <n v="0"/>
    <n v="0"/>
    <n v="0"/>
    <m/>
    <n v="0"/>
  </r>
  <r>
    <x v="7"/>
    <s v="Anne Arundel Community College "/>
    <m/>
    <n v="161767"/>
    <x v="6"/>
    <n v="304001"/>
    <n v="271660.5"/>
    <n v="216764"/>
    <n v="197420.5"/>
    <n v="4001"/>
    <n v="2906"/>
    <n v="82960"/>
    <n v="276"/>
    <n v="0"/>
    <n v="71036"/>
    <n v="298"/>
    <n v="0"/>
    <m/>
    <n v="0"/>
    <n v="0"/>
    <n v="0"/>
    <n v="0"/>
    <n v="0"/>
    <n v="0"/>
    <n v="0"/>
    <n v="0"/>
    <n v="0"/>
    <n v="0"/>
    <n v="0"/>
    <n v="0"/>
    <n v="0"/>
    <m/>
    <n v="0"/>
  </r>
  <r>
    <x v="7"/>
    <s v="College of Southern Maryland"/>
    <m/>
    <n v="162122"/>
    <x v="6"/>
    <n v="167067"/>
    <n v="158537"/>
    <n v="106928"/>
    <n v="100557"/>
    <n v="4265"/>
    <n v="3539"/>
    <n v="55175"/>
    <n v="699"/>
    <n v="0"/>
    <n v="53976"/>
    <n v="465"/>
    <n v="0"/>
    <m/>
    <n v="0"/>
    <n v="0"/>
    <n v="0"/>
    <n v="0"/>
    <n v="0"/>
    <n v="0"/>
    <n v="0"/>
    <n v="0"/>
    <n v="0"/>
    <n v="0"/>
    <n v="0"/>
    <n v="0"/>
    <n v="0"/>
    <m/>
    <n v="0"/>
  </r>
  <r>
    <x v="7"/>
    <s v="Community College of Baltimore County (all campuses)"/>
    <m/>
    <n v="434672"/>
    <x v="6"/>
    <n v="450072"/>
    <n v="425577"/>
    <n v="348638"/>
    <n v="322667"/>
    <n v="43627"/>
    <n v="46087"/>
    <n v="57714"/>
    <n v="93"/>
    <n v="0"/>
    <n v="56799"/>
    <n v="24"/>
    <n v="0"/>
    <m/>
    <n v="0"/>
    <n v="0"/>
    <n v="0"/>
    <n v="0"/>
    <n v="0"/>
    <n v="0"/>
    <n v="0"/>
    <n v="0"/>
    <n v="0"/>
    <n v="0"/>
    <n v="0"/>
    <n v="0"/>
    <n v="0"/>
    <m/>
    <n v="0"/>
  </r>
  <r>
    <x v="7"/>
    <s v="Howard Community College "/>
    <m/>
    <n v="162779"/>
    <x v="6"/>
    <n v="197190"/>
    <n v="203311"/>
    <n v="166297"/>
    <n v="167983"/>
    <n v="8176"/>
    <n v="8567"/>
    <n v="22717"/>
    <n v="0"/>
    <n v="0"/>
    <n v="26761"/>
    <n v="0"/>
    <n v="0"/>
    <m/>
    <n v="0"/>
    <n v="0"/>
    <n v="0"/>
    <n v="0"/>
    <n v="0"/>
    <n v="0"/>
    <n v="0"/>
    <n v="0"/>
    <n v="0"/>
    <n v="0"/>
    <n v="0"/>
    <n v="0"/>
    <n v="0"/>
    <m/>
    <n v="0"/>
  </r>
  <r>
    <x v="7"/>
    <s v="Montgomery College (all campuses)"/>
    <m/>
    <n v="163426"/>
    <x v="6"/>
    <n v="525737"/>
    <n v="700488"/>
    <n v="465266"/>
    <n v="557061"/>
    <n v="2962"/>
    <n v="79776"/>
    <n v="57509"/>
    <n v="0"/>
    <n v="0"/>
    <n v="63651"/>
    <n v="0"/>
    <n v="0"/>
    <m/>
    <n v="0"/>
    <n v="0"/>
    <n v="0"/>
    <n v="0"/>
    <n v="0"/>
    <n v="0"/>
    <n v="0"/>
    <n v="0"/>
    <n v="0"/>
    <n v="0"/>
    <n v="0"/>
    <n v="0"/>
    <n v="0"/>
    <m/>
    <n v="0"/>
  </r>
  <r>
    <x v="7"/>
    <s v="Prince George's Community College "/>
    <m/>
    <n v="163657"/>
    <x v="6"/>
    <n v="373617"/>
    <n v="371502"/>
    <n v="205267"/>
    <n v="198432"/>
    <n v="122089"/>
    <n v="126426"/>
    <n v="46261"/>
    <n v="0"/>
    <n v="0"/>
    <n v="46644"/>
    <n v="0"/>
    <n v="0"/>
    <m/>
    <n v="0"/>
    <n v="0"/>
    <n v="0"/>
    <n v="0"/>
    <n v="0"/>
    <n v="0"/>
    <n v="0"/>
    <n v="0"/>
    <n v="0"/>
    <n v="0"/>
    <n v="0"/>
    <n v="0"/>
    <n v="0"/>
    <m/>
    <n v="0"/>
  </r>
  <r>
    <x v="7"/>
    <s v="Allegany College of Maryland"/>
    <m/>
    <n v="161688"/>
    <x v="7"/>
    <n v="68693"/>
    <n v="67611"/>
    <n v="44830"/>
    <n v="42548"/>
    <n v="12253"/>
    <n v="11915"/>
    <n v="9341"/>
    <n v="2269"/>
    <n v="0"/>
    <n v="10502"/>
    <n v="2646"/>
    <n v="0"/>
    <m/>
    <n v="0"/>
    <n v="0"/>
    <n v="0"/>
    <n v="0"/>
    <n v="0"/>
    <n v="0"/>
    <n v="0"/>
    <n v="0"/>
    <n v="0"/>
    <n v="0"/>
    <n v="0"/>
    <n v="0"/>
    <n v="0"/>
    <m/>
    <n v="0"/>
  </r>
  <r>
    <x v="7"/>
    <s v="Baltimore City Community College"/>
    <m/>
    <n v="161864"/>
    <x v="7"/>
    <n v="106952"/>
    <n v="98869"/>
    <n v="77932"/>
    <n v="71372"/>
    <n v="6459"/>
    <n v="5807"/>
    <n v="22561"/>
    <n v="0"/>
    <n v="0"/>
    <n v="21690"/>
    <n v="0"/>
    <n v="0"/>
    <m/>
    <n v="0"/>
    <n v="0"/>
    <n v="0"/>
    <n v="0"/>
    <n v="0"/>
    <n v="0"/>
    <n v="0"/>
    <n v="0"/>
    <n v="0"/>
    <n v="0"/>
    <n v="0"/>
    <n v="0"/>
    <n v="0"/>
    <m/>
    <n v="0"/>
  </r>
  <r>
    <x v="7"/>
    <s v="Carroll Community College"/>
    <m/>
    <n v="405872"/>
    <x v="7"/>
    <n v="77183"/>
    <n v="72863"/>
    <n v="65429"/>
    <n v="61497"/>
    <n v="1097"/>
    <n v="797"/>
    <n v="10570"/>
    <n v="87"/>
    <n v="0"/>
    <n v="10467"/>
    <n v="102"/>
    <n v="0"/>
    <m/>
    <n v="0"/>
    <n v="0"/>
    <n v="0"/>
    <n v="0"/>
    <n v="0"/>
    <n v="0"/>
    <n v="0"/>
    <n v="0"/>
    <n v="0"/>
    <n v="0"/>
    <n v="0"/>
    <n v="0"/>
    <n v="0"/>
    <m/>
    <n v="0"/>
  </r>
  <r>
    <x v="7"/>
    <s v="Frederick Community College "/>
    <m/>
    <n v="162557"/>
    <x v="7"/>
    <n v="119484"/>
    <n v="115156"/>
    <n v="99345"/>
    <n v="90603"/>
    <n v="6866"/>
    <n v="6938"/>
    <n v="13273"/>
    <n v="0"/>
    <n v="0"/>
    <n v="17615"/>
    <n v="0"/>
    <n v="0"/>
    <m/>
    <n v="0"/>
    <n v="0"/>
    <n v="0"/>
    <n v="0"/>
    <n v="0"/>
    <n v="0"/>
    <n v="0"/>
    <n v="0"/>
    <n v="0"/>
    <n v="0"/>
    <n v="0"/>
    <n v="0"/>
    <n v="0"/>
    <m/>
    <n v="0"/>
  </r>
  <r>
    <x v="7"/>
    <s v="Hagerstown Community College "/>
    <m/>
    <n v="162690"/>
    <x v="7"/>
    <n v="94713"/>
    <n v="90108"/>
    <n v="67146"/>
    <n v="62516"/>
    <n v="5956"/>
    <n v="5272"/>
    <n v="21611"/>
    <n v="0"/>
    <n v="0"/>
    <n v="22239"/>
    <n v="0"/>
    <n v="0"/>
    <m/>
    <n v="81"/>
    <n v="0"/>
    <n v="0"/>
    <n v="0"/>
    <n v="0"/>
    <n v="0"/>
    <n v="0"/>
    <n v="0"/>
    <n v="0"/>
    <n v="0"/>
    <n v="0"/>
    <n v="0"/>
    <n v="0"/>
    <m/>
    <n v="0"/>
  </r>
  <r>
    <x v="7"/>
    <s v="Harford Community College "/>
    <m/>
    <n v="162706"/>
    <x v="7"/>
    <n v="131036"/>
    <n v="125739.5"/>
    <n v="97956"/>
    <n v="92595.5"/>
    <n v="1540"/>
    <n v="1647"/>
    <n v="31540"/>
    <n v="0"/>
    <n v="0"/>
    <n v="31497"/>
    <n v="0"/>
    <n v="0"/>
    <m/>
    <n v="0"/>
    <n v="0"/>
    <n v="0"/>
    <n v="0"/>
    <n v="0"/>
    <n v="0"/>
    <n v="0"/>
    <n v="0"/>
    <n v="0"/>
    <n v="0"/>
    <n v="0"/>
    <n v="0"/>
    <n v="0"/>
    <m/>
    <n v="0"/>
  </r>
  <r>
    <x v="7"/>
    <s v="Wor-Wic Community College "/>
    <s v="Met the criteria for Two-Year 3 institution in 2014-15."/>
    <n v="164313"/>
    <x v="7"/>
    <n v="64397"/>
    <n v="56902"/>
    <n v="55180"/>
    <n v="47645.5"/>
    <n v="1774"/>
    <n v="1525"/>
    <n v="7371"/>
    <n v="72"/>
    <n v="0"/>
    <n v="7695.5"/>
    <n v="36"/>
    <n v="0"/>
    <m/>
    <n v="0"/>
    <n v="0"/>
    <n v="0"/>
    <n v="0"/>
    <n v="0"/>
    <n v="0"/>
    <n v="0"/>
    <n v="0"/>
    <n v="0"/>
    <n v="0"/>
    <n v="0"/>
    <n v="0"/>
    <n v="0"/>
    <m/>
    <n v="0"/>
  </r>
  <r>
    <x v="7"/>
    <s v="Cecil Community College "/>
    <m/>
    <n v="162104"/>
    <x v="8"/>
    <n v="49287"/>
    <n v="48662"/>
    <n v="38251"/>
    <n v="36536"/>
    <n v="623"/>
    <n v="1092"/>
    <n v="10413"/>
    <n v="0"/>
    <n v="0"/>
    <n v="11034"/>
    <n v="0"/>
    <n v="0"/>
    <m/>
    <n v="0"/>
    <n v="0"/>
    <n v="0"/>
    <n v="0"/>
    <n v="0"/>
    <n v="0"/>
    <n v="0"/>
    <n v="0"/>
    <n v="0"/>
    <n v="0"/>
    <n v="0"/>
    <n v="0"/>
    <n v="0"/>
    <m/>
    <n v="0"/>
  </r>
  <r>
    <x v="7"/>
    <s v="Chesapeake College "/>
    <m/>
    <n v="162168"/>
    <x v="8"/>
    <n v="45242"/>
    <n v="43043"/>
    <n v="28593"/>
    <n v="27176"/>
    <n v="7434"/>
    <n v="7208"/>
    <n v="7807"/>
    <n v="1408"/>
    <n v="0"/>
    <n v="7243"/>
    <n v="1416"/>
    <n v="0"/>
    <m/>
    <n v="0"/>
    <n v="0"/>
    <n v="0"/>
    <n v="0"/>
    <n v="0"/>
    <n v="0"/>
    <n v="0"/>
    <n v="0"/>
    <n v="0"/>
    <n v="0"/>
    <n v="0"/>
    <n v="0"/>
    <n v="0"/>
    <m/>
    <n v="0"/>
  </r>
  <r>
    <x v="7"/>
    <s v="Garrett College "/>
    <m/>
    <n v="162609"/>
    <x v="8"/>
    <n v="19502"/>
    <n v="18371"/>
    <n v="15986"/>
    <n v="14102"/>
    <n v="778"/>
    <n v="939"/>
    <n v="2543"/>
    <n v="195"/>
    <n v="0"/>
    <n v="3093"/>
    <n v="237"/>
    <n v="0"/>
    <m/>
    <n v="0"/>
    <n v="0"/>
    <n v="0"/>
    <n v="0"/>
    <n v="0"/>
    <n v="0"/>
    <n v="0"/>
    <n v="0"/>
    <n v="0"/>
    <n v="0"/>
    <n v="0"/>
    <n v="0"/>
    <n v="0"/>
    <m/>
    <n v="0"/>
  </r>
  <r>
    <x v="7"/>
    <s v="University of Maryland University College"/>
    <m/>
    <n v="163204"/>
    <x v="11"/>
    <n v="505410"/>
    <n v="555880"/>
    <n v="0"/>
    <n v="0"/>
    <n v="87"/>
    <n v="33"/>
    <n v="505323"/>
    <n v="0"/>
    <n v="0"/>
    <n v="555847"/>
    <n v="0"/>
    <n v="0"/>
    <m/>
    <n v="0"/>
    <n v="180401"/>
    <n v="171680"/>
    <n v="0"/>
    <n v="0"/>
    <n v="2157"/>
    <n v="1356"/>
    <n v="178244"/>
    <n v="0"/>
    <n v="0"/>
    <n v="170324"/>
    <n v="0"/>
    <n v="0"/>
    <m/>
    <n v="0"/>
  </r>
  <r>
    <x v="7"/>
    <s v="University of Maryland, Baltimore"/>
    <m/>
    <n v="163259"/>
    <x v="11"/>
    <n v="16774"/>
    <n v="18053"/>
    <n v="8406"/>
    <n v="8568.5"/>
    <n v="4913"/>
    <n v="5247"/>
    <n v="3455"/>
    <n v="0"/>
    <n v="0"/>
    <n v="4236.5"/>
    <n v="0"/>
    <n v="0"/>
    <m/>
    <n v="1"/>
    <n v="44107"/>
    <n v="44129"/>
    <n v="26031"/>
    <n v="25386.5"/>
    <n v="7517"/>
    <n v="7160.5"/>
    <n v="10168"/>
    <n v="391"/>
    <n v="0"/>
    <n v="11369"/>
    <n v="213"/>
    <n v="0"/>
    <m/>
    <n v="0"/>
  </r>
  <r>
    <x v="8"/>
    <s v="Mississippi State University"/>
    <m/>
    <n v="176080"/>
    <x v="0"/>
    <n v="447149"/>
    <n v="452584"/>
    <n v="412201"/>
    <n v="416085"/>
    <n v="10856"/>
    <n v="10818"/>
    <n v="23288"/>
    <n v="804"/>
    <m/>
    <n v="25276"/>
    <n v="405"/>
    <m/>
    <m/>
    <m/>
    <n v="58493"/>
    <n v="55968"/>
    <n v="41326"/>
    <n v="39574"/>
    <n v="2231"/>
    <n v="1863"/>
    <n v="14528"/>
    <n v="408"/>
    <m/>
    <n v="14096"/>
    <n v="435"/>
    <m/>
    <m/>
    <m/>
  </r>
  <r>
    <x v="8"/>
    <s v="University of Southern Mississippi"/>
    <m/>
    <n v="176372"/>
    <x v="0"/>
    <n v="363977"/>
    <n v="353418"/>
    <n v="274253"/>
    <n v="258765"/>
    <n v="41895"/>
    <n v="40979"/>
    <n v="41616"/>
    <n v="6213"/>
    <m/>
    <n v="47514"/>
    <n v="6160"/>
    <m/>
    <m/>
    <m/>
    <n v="55561"/>
    <n v="58372"/>
    <n v="34216"/>
    <n v="34881"/>
    <n v="6283"/>
    <n v="7716"/>
    <n v="14996"/>
    <n v="66"/>
    <m/>
    <n v="15271"/>
    <n v="504"/>
    <m/>
    <m/>
    <m/>
  </r>
  <r>
    <x v="8"/>
    <s v="Jackson State University "/>
    <m/>
    <n v="175856"/>
    <x v="1"/>
    <n v="164370"/>
    <n v="161810"/>
    <n v="130395"/>
    <n v="125419"/>
    <n v="7166"/>
    <n v="8235"/>
    <n v="26809"/>
    <m/>
    <m/>
    <n v="28156"/>
    <m/>
    <m/>
    <m/>
    <m/>
    <n v="33702"/>
    <n v="34198"/>
    <n v="18551"/>
    <n v="14788"/>
    <n v="9292"/>
    <n v="10624"/>
    <n v="5859"/>
    <m/>
    <m/>
    <n v="8786"/>
    <m/>
    <m/>
    <m/>
    <m/>
  </r>
  <r>
    <x v="8"/>
    <s v="University of Mississippi"/>
    <m/>
    <n v="176017"/>
    <x v="1"/>
    <n v="472103"/>
    <n v="516284"/>
    <n v="424332"/>
    <n v="443127"/>
    <n v="23163"/>
    <n v="43281"/>
    <n v="13604"/>
    <n v="10482"/>
    <m/>
    <n v="19277"/>
    <n v="10059"/>
    <m/>
    <n v="522"/>
    <n v="540"/>
    <n v="65129"/>
    <n v="64902"/>
    <n v="56661"/>
    <n v="57023"/>
    <n v="1497"/>
    <n v="1155"/>
    <n v="5636"/>
    <n v="1332"/>
    <m/>
    <n v="5569"/>
    <n v="1149"/>
    <m/>
    <n v="3"/>
    <n v="6"/>
  </r>
  <r>
    <x v="8"/>
    <s v="Alcorn State University"/>
    <m/>
    <n v="175342"/>
    <x v="3"/>
    <n v="86287"/>
    <n v="81743"/>
    <n v="65732"/>
    <n v="62343"/>
    <n v="5560"/>
    <n v="4930"/>
    <n v="14962"/>
    <m/>
    <n v="33"/>
    <n v="14446"/>
    <m/>
    <n v="24"/>
    <m/>
    <m/>
    <n v="10474"/>
    <n v="9620"/>
    <n v="2931"/>
    <n v="3039"/>
    <n v="812"/>
    <n v="441"/>
    <n v="6683"/>
    <m/>
    <n v="48"/>
    <n v="6011"/>
    <s v=" "/>
    <n v="129"/>
    <m/>
    <m/>
  </r>
  <r>
    <x v="8"/>
    <s v="Delta State University"/>
    <m/>
    <n v="175616"/>
    <x v="3"/>
    <n v="67708"/>
    <n v="70212"/>
    <n v="55029"/>
    <n v="56418"/>
    <n v="1315"/>
    <n v="1705"/>
    <n v="11364"/>
    <m/>
    <m/>
    <n v="12089"/>
    <m/>
    <m/>
    <m/>
    <m/>
    <n v="31282"/>
    <n v="28486"/>
    <n v="14581"/>
    <n v="3369"/>
    <n v="285"/>
    <n v="738"/>
    <n v="16416"/>
    <m/>
    <m/>
    <n v="24379"/>
    <m/>
    <m/>
    <m/>
    <m/>
  </r>
  <r>
    <x v="8"/>
    <s v="Mississippi Valley State University"/>
    <m/>
    <n v="176044"/>
    <x v="3"/>
    <n v="55170"/>
    <n v="53236"/>
    <n v="42884"/>
    <n v="43640"/>
    <n v="547"/>
    <n v="454"/>
    <n v="10971"/>
    <m/>
    <m/>
    <n v="8080"/>
    <m/>
    <m/>
    <n v="768"/>
    <n v="1062"/>
    <n v="4557"/>
    <n v="5074"/>
    <n v="2778"/>
    <n v="2362"/>
    <n v="63"/>
    <n v="36"/>
    <n v="1557"/>
    <m/>
    <m/>
    <n v="2559"/>
    <m/>
    <m/>
    <n v="159"/>
    <n v="117"/>
  </r>
  <r>
    <x v="8"/>
    <s v="Mississippi University for Women"/>
    <m/>
    <n v="176035"/>
    <x v="4"/>
    <n v="68079"/>
    <n v="69272"/>
    <n v="35099"/>
    <n v="34500"/>
    <n v="0"/>
    <n v="48"/>
    <n v="32980"/>
    <m/>
    <m/>
    <n v="34724"/>
    <m/>
    <m/>
    <m/>
    <m/>
    <n v="4191"/>
    <n v="4147"/>
    <n v="2696"/>
    <n v="2536"/>
    <n v="324"/>
    <n v="354"/>
    <n v="1171"/>
    <m/>
    <m/>
    <n v="1257"/>
    <m/>
    <m/>
    <m/>
    <m/>
  </r>
  <r>
    <x v="8"/>
    <s v="Hinds Community College "/>
    <m/>
    <n v="175786"/>
    <x v="6"/>
    <n v="277146"/>
    <n v="280835"/>
    <n v="233016"/>
    <n v="229650"/>
    <m/>
    <m/>
    <n v="44130"/>
    <m/>
    <m/>
    <n v="51185"/>
    <m/>
    <m/>
    <m/>
    <m/>
    <n v="0"/>
    <n v="0"/>
    <m/>
    <m/>
    <m/>
    <m/>
    <m/>
    <m/>
    <m/>
    <m/>
    <m/>
    <m/>
    <m/>
    <m/>
  </r>
  <r>
    <x v="8"/>
    <s v="Itawamba Community College "/>
    <m/>
    <n v="175829"/>
    <x v="6"/>
    <n v="150611"/>
    <n v="152968"/>
    <n v="98808"/>
    <n v="100708"/>
    <m/>
    <m/>
    <n v="51803"/>
    <m/>
    <m/>
    <n v="52260"/>
    <m/>
    <m/>
    <m/>
    <m/>
    <n v="0"/>
    <n v="0"/>
    <m/>
    <m/>
    <m/>
    <m/>
    <m/>
    <m/>
    <m/>
    <m/>
    <m/>
    <m/>
    <m/>
    <m/>
  </r>
  <r>
    <x v="8"/>
    <s v="Mississippi Gulf Coast Community College "/>
    <m/>
    <n v="176071"/>
    <x v="6"/>
    <n v="246038"/>
    <n v="238269"/>
    <n v="193203"/>
    <n v="179011"/>
    <m/>
    <m/>
    <n v="52835"/>
    <m/>
    <m/>
    <n v="59258"/>
    <m/>
    <m/>
    <m/>
    <m/>
    <n v="0"/>
    <n v="0"/>
    <m/>
    <m/>
    <m/>
    <m/>
    <m/>
    <m/>
    <m/>
    <m/>
    <m/>
    <m/>
    <m/>
    <m/>
  </r>
  <r>
    <x v="8"/>
    <s v="Northwest Mississippi Community College "/>
    <m/>
    <n v="176178"/>
    <x v="6"/>
    <n v="191808"/>
    <n v="196871"/>
    <n v="161168"/>
    <n v="161565"/>
    <m/>
    <m/>
    <n v="30640"/>
    <m/>
    <m/>
    <n v="35306"/>
    <m/>
    <m/>
    <m/>
    <m/>
    <n v="0"/>
    <n v="0"/>
    <m/>
    <m/>
    <m/>
    <m/>
    <m/>
    <m/>
    <m/>
    <m/>
    <m/>
    <m/>
    <m/>
    <m/>
  </r>
  <r>
    <x v="8"/>
    <s v="Copiah-Lincoln Community College "/>
    <m/>
    <n v="175573"/>
    <x v="7"/>
    <n v="82570"/>
    <n v="77451"/>
    <n v="67056"/>
    <n v="61593"/>
    <m/>
    <m/>
    <n v="15514"/>
    <m/>
    <m/>
    <n v="15858"/>
    <m/>
    <m/>
    <m/>
    <m/>
    <n v="0"/>
    <n v="0"/>
    <m/>
    <m/>
    <m/>
    <m/>
    <m/>
    <m/>
    <m/>
    <m/>
    <m/>
    <m/>
    <m/>
    <m/>
  </r>
  <r>
    <x v="8"/>
    <s v="East Central Community College "/>
    <m/>
    <n v="175643"/>
    <x v="7"/>
    <n v="64271"/>
    <n v="68955"/>
    <n v="52043"/>
    <n v="53417"/>
    <m/>
    <m/>
    <n v="12228"/>
    <m/>
    <m/>
    <n v="15538"/>
    <m/>
    <m/>
    <m/>
    <m/>
    <n v="0"/>
    <n v="0"/>
    <m/>
    <m/>
    <m/>
    <m/>
    <m/>
    <m/>
    <m/>
    <m/>
    <m/>
    <m/>
    <m/>
    <m/>
  </r>
  <r>
    <x v="8"/>
    <s v="East Mississippi Community College "/>
    <m/>
    <n v="175652"/>
    <x v="7"/>
    <n v="117979"/>
    <n v="114643"/>
    <n v="77066"/>
    <n v="76373"/>
    <m/>
    <m/>
    <n v="40913"/>
    <m/>
    <m/>
    <n v="38270"/>
    <m/>
    <m/>
    <m/>
    <m/>
    <n v="0"/>
    <n v="0"/>
    <m/>
    <m/>
    <m/>
    <m/>
    <m/>
    <m/>
    <m/>
    <m/>
    <m/>
    <m/>
    <m/>
    <m/>
  </r>
  <r>
    <x v="8"/>
    <s v="Holmes Community College "/>
    <m/>
    <n v="175810"/>
    <x v="7"/>
    <n v="151313"/>
    <n v="149561"/>
    <n v="115352"/>
    <n v="105965"/>
    <m/>
    <m/>
    <n v="35961"/>
    <m/>
    <m/>
    <n v="43596"/>
    <m/>
    <m/>
    <m/>
    <m/>
    <n v="0"/>
    <n v="0"/>
    <m/>
    <m/>
    <m/>
    <m/>
    <m/>
    <m/>
    <m/>
    <m/>
    <m/>
    <m/>
    <m/>
    <m/>
  </r>
  <r>
    <x v="8"/>
    <s v="Jones County Junior College "/>
    <m/>
    <n v="175883"/>
    <x v="7"/>
    <n v="115319"/>
    <n v="121443"/>
    <n v="98054"/>
    <n v="103390"/>
    <m/>
    <m/>
    <n v="17265"/>
    <m/>
    <m/>
    <n v="18053"/>
    <m/>
    <m/>
    <m/>
    <m/>
    <n v="0"/>
    <n v="0"/>
    <m/>
    <m/>
    <m/>
    <m/>
    <m/>
    <m/>
    <m/>
    <m/>
    <m/>
    <m/>
    <m/>
    <m/>
  </r>
  <r>
    <x v="8"/>
    <s v="Meridian Community College "/>
    <m/>
    <n v="175935"/>
    <x v="7"/>
    <n v="88787"/>
    <n v="86163"/>
    <n v="74073"/>
    <n v="72132"/>
    <m/>
    <m/>
    <n v="14714"/>
    <m/>
    <m/>
    <n v="14031"/>
    <m/>
    <m/>
    <m/>
    <m/>
    <n v="0"/>
    <n v="0"/>
    <m/>
    <m/>
    <m/>
    <m/>
    <m/>
    <m/>
    <m/>
    <m/>
    <m/>
    <m/>
    <m/>
    <m/>
  </r>
  <r>
    <x v="8"/>
    <s v="Mississippi Delta Community College "/>
    <m/>
    <n v="176008"/>
    <x v="7"/>
    <n v="78059"/>
    <n v="74462"/>
    <n v="67883"/>
    <n v="65242"/>
    <m/>
    <m/>
    <n v="10176"/>
    <m/>
    <m/>
    <n v="9220"/>
    <m/>
    <m/>
    <m/>
    <m/>
    <n v="0"/>
    <n v="0"/>
    <m/>
    <m/>
    <m/>
    <m/>
    <m/>
    <m/>
    <m/>
    <m/>
    <m/>
    <m/>
    <m/>
    <m/>
  </r>
  <r>
    <x v="8"/>
    <s v="Northeast Mississippi Community College "/>
    <m/>
    <n v="176169"/>
    <x v="7"/>
    <n v="85123"/>
    <n v="87413"/>
    <n v="72386"/>
    <n v="71030"/>
    <m/>
    <m/>
    <n v="12737"/>
    <m/>
    <m/>
    <n v="16383"/>
    <m/>
    <m/>
    <m/>
    <m/>
    <n v="0"/>
    <n v="0"/>
    <m/>
    <m/>
    <m/>
    <m/>
    <m/>
    <m/>
    <m/>
    <m/>
    <m/>
    <m/>
    <m/>
    <m/>
  </r>
  <r>
    <x v="8"/>
    <s v="Pearl River Community College "/>
    <m/>
    <n v="176239"/>
    <x v="7"/>
    <n v="108250"/>
    <n v="108015"/>
    <n v="87728"/>
    <n v="86581"/>
    <m/>
    <m/>
    <n v="20522"/>
    <m/>
    <m/>
    <n v="21434"/>
    <m/>
    <m/>
    <m/>
    <m/>
    <n v="0"/>
    <n v="0"/>
    <m/>
    <m/>
    <m/>
    <m/>
    <m/>
    <m/>
    <m/>
    <m/>
    <m/>
    <m/>
    <m/>
    <m/>
  </r>
  <r>
    <x v="8"/>
    <s v="Coahoma Community College "/>
    <m/>
    <n v="175519"/>
    <x v="8"/>
    <n v="50751"/>
    <n v="49031"/>
    <n v="45492"/>
    <n v="43303"/>
    <m/>
    <m/>
    <n v="5259"/>
    <m/>
    <m/>
    <n v="5728"/>
    <m/>
    <m/>
    <m/>
    <m/>
    <n v="0"/>
    <n v="0"/>
    <m/>
    <m/>
    <m/>
    <m/>
    <m/>
    <m/>
    <m/>
    <m/>
    <m/>
    <m/>
    <m/>
    <m/>
  </r>
  <r>
    <x v="8"/>
    <s v="Southwest Mississippi Community College"/>
    <m/>
    <n v="176354"/>
    <x v="8"/>
    <n v="52997"/>
    <n v="54657"/>
    <n v="44085"/>
    <n v="43605"/>
    <m/>
    <m/>
    <n v="8912"/>
    <m/>
    <m/>
    <n v="11052"/>
    <m/>
    <m/>
    <m/>
    <m/>
    <n v="0"/>
    <n v="0"/>
    <m/>
    <m/>
    <m/>
    <m/>
    <m/>
    <m/>
    <m/>
    <m/>
    <m/>
    <m/>
    <m/>
    <m/>
  </r>
  <r>
    <x v="9"/>
    <s v="North Carolina State University "/>
    <m/>
    <n v="199193"/>
    <x v="0"/>
    <n v="713389"/>
    <n v="698042"/>
    <n v="622022"/>
    <n v="606311"/>
    <n v="3446"/>
    <n v="2422"/>
    <n v="86942"/>
    <m/>
    <n v="979"/>
    <n v="88284"/>
    <m/>
    <n v="1025"/>
    <m/>
    <m/>
    <n v="140235"/>
    <n v="132670"/>
    <n v="112084"/>
    <n v="112980"/>
    <n v="4810"/>
    <n v="2474"/>
    <n v="21561"/>
    <m/>
    <n v="1780"/>
    <n v="16087"/>
    <m/>
    <n v="1129"/>
    <m/>
    <m/>
  </r>
  <r>
    <x v="9"/>
    <s v="University of North Carolina at Chapel Hill "/>
    <m/>
    <n v="199120"/>
    <x v="0"/>
    <n v="510966"/>
    <n v="508040"/>
    <n v="498655"/>
    <n v="494810"/>
    <n v="450"/>
    <n v="402"/>
    <n v="11861"/>
    <m/>
    <m/>
    <n v="12828"/>
    <m/>
    <m/>
    <m/>
    <m/>
    <n v="193771"/>
    <n v="191821"/>
    <n v="161859"/>
    <n v="157559"/>
    <n v="13174"/>
    <n v="14023"/>
    <n v="18717"/>
    <n v="21"/>
    <m/>
    <n v="20188"/>
    <n v="51"/>
    <m/>
    <m/>
    <m/>
  </r>
  <r>
    <x v="9"/>
    <s v="University of North Carolina at Greensboro"/>
    <s v="Met the criteria for Four-Year 2 in 2014-15."/>
    <n v="199148"/>
    <x v="0"/>
    <n v="403249"/>
    <n v="402261"/>
    <n v="333577"/>
    <n v="325584"/>
    <n v="1169"/>
    <n v="1245"/>
    <n v="68452"/>
    <n v="51"/>
    <m/>
    <n v="75402"/>
    <n v="30"/>
    <m/>
    <m/>
    <m/>
    <n v="66798"/>
    <n v="63872"/>
    <n v="52653"/>
    <n v="50557"/>
    <n v="3437"/>
    <n v="1646"/>
    <n v="10708"/>
    <m/>
    <m/>
    <n v="11630"/>
    <n v="39"/>
    <m/>
    <m/>
    <m/>
  </r>
  <r>
    <x v="9"/>
    <s v="East Carolina University "/>
    <m/>
    <n v="198464"/>
    <x v="1"/>
    <n v="583735"/>
    <n v="596907"/>
    <n v="490294"/>
    <n v="488794"/>
    <n v="4451"/>
    <n v="2718"/>
    <n v="88990"/>
    <m/>
    <m/>
    <n v="105242"/>
    <n v="153"/>
    <m/>
    <m/>
    <m/>
    <n v="85097"/>
    <n v="81153"/>
    <n v="42017"/>
    <n v="39263"/>
    <n v="4614"/>
    <n v="3779"/>
    <n v="38466"/>
    <m/>
    <m/>
    <n v="38102"/>
    <n v="9"/>
    <m/>
    <m/>
    <m/>
  </r>
  <r>
    <x v="9"/>
    <s v="University of North Carolina at Charlotte"/>
    <s v="Reclassified: Met the criteria for Four-Year 1 in 2012-13, 2013-14, and 2014-15."/>
    <n v="199139"/>
    <x v="0"/>
    <n v="596033"/>
    <n v="611011"/>
    <n v="549398"/>
    <n v="555749"/>
    <n v="144"/>
    <s v="."/>
    <n v="46309"/>
    <n v="182"/>
    <m/>
    <n v="54964"/>
    <n v="298"/>
    <m/>
    <m/>
    <m/>
    <n v="75967"/>
    <n v="76484"/>
    <n v="60306"/>
    <n v="62082"/>
    <n v="2013"/>
    <n v="1489"/>
    <n v="13648"/>
    <m/>
    <m/>
    <n v="12913"/>
    <m/>
    <m/>
    <m/>
    <m/>
  </r>
  <r>
    <x v="9"/>
    <s v="Appalachian State University "/>
    <m/>
    <n v="197869"/>
    <x v="2"/>
    <n v="482393"/>
    <n v="492284"/>
    <n v="455385"/>
    <n v="460637"/>
    <n v="5917"/>
    <n v="4884"/>
    <n v="21071"/>
    <n v="20"/>
    <m/>
    <n v="26719"/>
    <n v="44"/>
    <m/>
    <m/>
    <m/>
    <n v="35826"/>
    <n v="34297"/>
    <n v="21293"/>
    <n v="22273"/>
    <n v="4724"/>
    <n v="3405"/>
    <n v="9809"/>
    <m/>
    <m/>
    <n v="8619"/>
    <m/>
    <m/>
    <m/>
    <m/>
  </r>
  <r>
    <x v="9"/>
    <s v="North Carolina A&amp;T State University"/>
    <m/>
    <n v="199102"/>
    <x v="2"/>
    <n v="254909"/>
    <n v="256733"/>
    <n v="238103"/>
    <n v="240475"/>
    <n v="1901"/>
    <n v="399"/>
    <n v="14897"/>
    <n v="8"/>
    <m/>
    <n v="15859"/>
    <m/>
    <m/>
    <m/>
    <m/>
    <n v="32744"/>
    <n v="30150"/>
    <n v="22587"/>
    <n v="22811"/>
    <n v="3114"/>
    <n v="1456"/>
    <n v="6998"/>
    <n v="45"/>
    <m/>
    <n v="5883"/>
    <m/>
    <m/>
    <m/>
    <m/>
  </r>
  <r>
    <x v="9"/>
    <s v="North Carolina Central University "/>
    <m/>
    <n v="199157"/>
    <x v="2"/>
    <n v="185029"/>
    <n v="177589"/>
    <n v="158657"/>
    <n v="150636"/>
    <n v="385"/>
    <n v="702"/>
    <n v="25987"/>
    <m/>
    <m/>
    <n v="26251"/>
    <m/>
    <m/>
    <m/>
    <m/>
    <n v="39267"/>
    <n v="38748"/>
    <n v="31992"/>
    <n v="31028"/>
    <n v="354"/>
    <n v="477"/>
    <n v="6921"/>
    <m/>
    <m/>
    <n v="7243"/>
    <m/>
    <m/>
    <m/>
    <m/>
  </r>
  <r>
    <x v="9"/>
    <s v="University of North Carolina at Wilmington"/>
    <m/>
    <n v="199218"/>
    <x v="2"/>
    <n v="369045"/>
    <n v="375539"/>
    <n v="326253"/>
    <n v="322767"/>
    <n v="4508"/>
    <n v="3928"/>
    <n v="37781"/>
    <n v="318"/>
    <n v="185"/>
    <n v="48745"/>
    <n v="99"/>
    <m/>
    <m/>
    <m/>
    <n v="23184"/>
    <n v="25726"/>
    <n v="14359"/>
    <n v="14847"/>
    <n v="668"/>
    <n v="816"/>
    <n v="8145"/>
    <n v="12"/>
    <m/>
    <n v="10015"/>
    <n v="48"/>
    <m/>
    <m/>
    <m/>
  </r>
  <r>
    <x v="9"/>
    <s v="Western Carolina University "/>
    <m/>
    <n v="200004"/>
    <x v="2"/>
    <n v="232592"/>
    <n v="242477"/>
    <n v="204257"/>
    <n v="210869"/>
    <n v="2503"/>
    <n v="2617"/>
    <n v="25832"/>
    <m/>
    <m/>
    <n v="28991"/>
    <m/>
    <m/>
    <m/>
    <m/>
    <n v="30019"/>
    <n v="30032"/>
    <n v="17549"/>
    <n v="17747"/>
    <n v="1341"/>
    <n v="1222"/>
    <n v="11129"/>
    <m/>
    <m/>
    <n v="11063"/>
    <m/>
    <m/>
    <m/>
    <m/>
  </r>
  <r>
    <x v="9"/>
    <s v="Fayetteville State University "/>
    <m/>
    <n v="198543"/>
    <x v="3"/>
    <n v="149001"/>
    <n v="148585"/>
    <n v="117314"/>
    <n v="114332"/>
    <n v="2328"/>
    <n v="1914"/>
    <n v="29284"/>
    <n v="75"/>
    <m/>
    <n v="32339"/>
    <m/>
    <m/>
    <m/>
    <m/>
    <n v="12574"/>
    <n v="11617"/>
    <n v="6611"/>
    <n v="6349"/>
    <n v="2606"/>
    <n v="3074"/>
    <n v="3357"/>
    <m/>
    <m/>
    <n v="2194"/>
    <m/>
    <m/>
    <m/>
    <m/>
  </r>
  <r>
    <x v="9"/>
    <s v="University of North Carolina at Pembroke"/>
    <m/>
    <n v="199281"/>
    <x v="4"/>
    <n v="150690"/>
    <n v="150302"/>
    <n v="113657"/>
    <n v="113616"/>
    <n v="3436"/>
    <n v="2583"/>
    <n v="32346"/>
    <n v="1251"/>
    <m/>
    <n v="33184"/>
    <n v="919"/>
    <m/>
    <m/>
    <m/>
    <n v="12251"/>
    <n v="12908"/>
    <n v="6321"/>
    <n v="7373"/>
    <n v="937"/>
    <n v="788"/>
    <n v="4813"/>
    <n v="180"/>
    <m/>
    <n v="4465"/>
    <n v="282"/>
    <m/>
    <m/>
    <m/>
  </r>
  <r>
    <x v="9"/>
    <s v="Winston-Salem State University "/>
    <m/>
    <n v="199999"/>
    <x v="4"/>
    <n v="146802"/>
    <n v="136683"/>
    <n v="114819"/>
    <n v="102765"/>
    <n v="12122"/>
    <n v="14643"/>
    <n v="19861"/>
    <m/>
    <m/>
    <n v="19275"/>
    <m/>
    <m/>
    <m/>
    <m/>
    <n v="11198"/>
    <n v="10654"/>
    <n v="9446"/>
    <n v="8781"/>
    <n v="82"/>
    <n v="136"/>
    <n v="1670"/>
    <m/>
    <m/>
    <n v="1719"/>
    <n v="18"/>
    <m/>
    <m/>
    <m/>
  </r>
  <r>
    <x v="9"/>
    <s v="Elizabeth City State University "/>
    <s v="Met the criteria for Four-Year 5 in 2013-14 and 2014-15."/>
    <n v="198507"/>
    <x v="5"/>
    <n v="75506"/>
    <n v="60773"/>
    <n v="58694"/>
    <n v="45602"/>
    <n v="798"/>
    <n v="661"/>
    <n v="16014"/>
    <m/>
    <m/>
    <n v="14510"/>
    <m/>
    <m/>
    <m/>
    <m/>
    <n v="1507"/>
    <n v="1041"/>
    <n v="1129"/>
    <n v="705"/>
    <n v="66"/>
    <m/>
    <n v="312"/>
    <m/>
    <m/>
    <n v="336"/>
    <m/>
    <m/>
    <m/>
    <m/>
  </r>
  <r>
    <x v="9"/>
    <s v="University of North Carolina at Asheville"/>
    <m/>
    <n v="199111"/>
    <x v="5"/>
    <n v="98530"/>
    <n v="100985"/>
    <n v="96614"/>
    <n v="98335"/>
    <n v="514"/>
    <n v="503"/>
    <n v="744"/>
    <n v="447"/>
    <n v="211"/>
    <n v="672"/>
    <n v="1203"/>
    <n v="272"/>
    <m/>
    <m/>
    <n v="488"/>
    <n v="387"/>
    <n v="488"/>
    <n v="387"/>
    <m/>
    <m/>
    <m/>
    <m/>
    <m/>
    <m/>
    <m/>
    <m/>
    <m/>
    <m/>
  </r>
  <r>
    <x v="9"/>
    <s v="Asheville-Buncombe Technical Community College"/>
    <m/>
    <n v="197887"/>
    <x v="6"/>
    <n v="169493"/>
    <n v="157731"/>
    <n v="115229"/>
    <n v="106736"/>
    <n v="2337"/>
    <n v="3127"/>
    <n v="51912"/>
    <n v="15"/>
    <n v="0"/>
    <n v="47868"/>
    <n v="0"/>
    <n v="0"/>
    <m/>
    <m/>
    <n v="0"/>
    <n v="0"/>
    <m/>
    <m/>
    <m/>
    <m/>
    <m/>
    <m/>
    <m/>
    <m/>
    <m/>
    <m/>
    <m/>
    <m/>
  </r>
  <r>
    <x v="9"/>
    <s v="Cape Fear Community College"/>
    <m/>
    <n v="198154"/>
    <x v="6"/>
    <n v="209951"/>
    <n v="208621"/>
    <n v="155770"/>
    <n v="142761"/>
    <n v="478"/>
    <n v="400"/>
    <n v="53703"/>
    <n v="0"/>
    <n v="0"/>
    <n v="65460"/>
    <n v="0"/>
    <n v="0"/>
    <m/>
    <m/>
    <n v="0"/>
    <n v="0"/>
    <m/>
    <m/>
    <m/>
    <m/>
    <m/>
    <m/>
    <m/>
    <m/>
    <m/>
    <m/>
    <m/>
    <m/>
  </r>
  <r>
    <x v="9"/>
    <s v="Central Piedmont Community College "/>
    <m/>
    <n v="198260"/>
    <x v="6"/>
    <n v="400503"/>
    <n v="407607"/>
    <n v="269242"/>
    <n v="276737"/>
    <n v="3377"/>
    <n v="3410"/>
    <n v="126569"/>
    <n v="0"/>
    <n v="1315"/>
    <n v="126216"/>
    <n v="0"/>
    <n v="1244"/>
    <m/>
    <m/>
    <n v="0"/>
    <n v="0"/>
    <m/>
    <m/>
    <m/>
    <m/>
    <m/>
    <m/>
    <m/>
    <m/>
    <m/>
    <m/>
    <m/>
    <m/>
  </r>
  <r>
    <x v="9"/>
    <s v="Fayetteville Technical Community College"/>
    <m/>
    <n v="198534"/>
    <x v="6"/>
    <n v="263993"/>
    <n v="265881"/>
    <n v="148714"/>
    <n v="135704"/>
    <n v="1325"/>
    <n v="1652"/>
    <n v="113516"/>
    <n v="438"/>
    <n v="0"/>
    <n v="128163"/>
    <n v="362"/>
    <n v="0"/>
    <m/>
    <m/>
    <n v="0"/>
    <n v="0"/>
    <m/>
    <m/>
    <m/>
    <m/>
    <m/>
    <m/>
    <m/>
    <m/>
    <m/>
    <m/>
    <m/>
    <m/>
  </r>
  <r>
    <x v="9"/>
    <s v="Forsyth Technical Community College"/>
    <m/>
    <n v="198552"/>
    <x v="6"/>
    <n v="221351"/>
    <n v="206275"/>
    <n v="143968"/>
    <n v="131779"/>
    <n v="4879"/>
    <n v="4348"/>
    <n v="71628"/>
    <n v="876"/>
    <n v="0"/>
    <n v="69715"/>
    <n v="433"/>
    <n v="0"/>
    <m/>
    <m/>
    <n v="0"/>
    <n v="0"/>
    <m/>
    <m/>
    <m/>
    <m/>
    <m/>
    <m/>
    <m/>
    <m/>
    <m/>
    <m/>
    <m/>
    <m/>
  </r>
  <r>
    <x v="9"/>
    <s v="Guilford Technical Community College"/>
    <m/>
    <n v="198622"/>
    <x v="6"/>
    <n v="337951"/>
    <n v="296472"/>
    <n v="196793"/>
    <n v="143665"/>
    <n v="3132"/>
    <n v="2966"/>
    <n v="138026"/>
    <n v="0"/>
    <n v="0"/>
    <n v="149841"/>
    <n v="0"/>
    <n v="0"/>
    <m/>
    <m/>
    <n v="0"/>
    <n v="0"/>
    <m/>
    <m/>
    <m/>
    <m/>
    <m/>
    <m/>
    <m/>
    <m/>
    <m/>
    <m/>
    <m/>
    <m/>
  </r>
  <r>
    <x v="9"/>
    <s v="Pitt Community College"/>
    <m/>
    <n v="199333"/>
    <x v="6"/>
    <n v="208616"/>
    <n v="205873"/>
    <n v="120760"/>
    <n v="116807"/>
    <n v="7086"/>
    <n v="6957"/>
    <n v="80770"/>
    <n v="0"/>
    <n v="0"/>
    <n v="82109"/>
    <n v="0"/>
    <n v="0"/>
    <m/>
    <m/>
    <n v="0"/>
    <n v="0"/>
    <m/>
    <m/>
    <m/>
    <m/>
    <m/>
    <m/>
    <m/>
    <m/>
    <m/>
    <m/>
    <m/>
    <m/>
  </r>
  <r>
    <x v="9"/>
    <s v="Rowan-Cabarrus Community College"/>
    <m/>
    <n v="199494"/>
    <x v="6"/>
    <n v="149951"/>
    <n v="145591"/>
    <n v="105356"/>
    <n v="89827"/>
    <n v="5537"/>
    <n v="7661"/>
    <n v="38938"/>
    <n v="0"/>
    <n v="120"/>
    <n v="48103"/>
    <n v="0"/>
    <n v="0"/>
    <m/>
    <m/>
    <n v="0"/>
    <n v="0"/>
    <m/>
    <m/>
    <m/>
    <m/>
    <m/>
    <m/>
    <m/>
    <m/>
    <m/>
    <m/>
    <m/>
    <m/>
  </r>
  <r>
    <x v="9"/>
    <s v="Wake Technical Community College"/>
    <m/>
    <n v="199856"/>
    <x v="6"/>
    <n v="430751"/>
    <n v="442208"/>
    <n v="288059"/>
    <n v="287770"/>
    <n v="3733"/>
    <n v="3823"/>
    <n v="138959"/>
    <n v="0"/>
    <n v="0"/>
    <n v="150615"/>
    <n v="0"/>
    <n v="0"/>
    <m/>
    <m/>
    <n v="0"/>
    <n v="0"/>
    <m/>
    <m/>
    <m/>
    <m/>
    <m/>
    <m/>
    <m/>
    <m/>
    <m/>
    <m/>
    <m/>
    <m/>
  </r>
  <r>
    <x v="9"/>
    <s v="Alamance Community College"/>
    <m/>
    <n v="199786"/>
    <x v="7"/>
    <n v="97623"/>
    <n v="93521"/>
    <n v="72267"/>
    <n v="67930"/>
    <n v="2136"/>
    <n v="2852"/>
    <n v="23220"/>
    <n v="0"/>
    <n v="0"/>
    <n v="22739"/>
    <n v="0"/>
    <n v="0"/>
    <m/>
    <m/>
    <n v="0"/>
    <n v="0"/>
    <m/>
    <m/>
    <m/>
    <m/>
    <m/>
    <m/>
    <m/>
    <m/>
    <m/>
    <m/>
    <m/>
    <m/>
  </r>
  <r>
    <x v="9"/>
    <s v="Caldwell Community College &amp; Technical Institute"/>
    <m/>
    <n v="198118"/>
    <x v="7"/>
    <n v="96730"/>
    <n v="80258"/>
    <n v="56111"/>
    <n v="40339"/>
    <n v="1402"/>
    <n v="1616"/>
    <n v="34388"/>
    <n v="4829"/>
    <n v="0"/>
    <n v="33957"/>
    <n v="4346"/>
    <n v="0"/>
    <m/>
    <m/>
    <n v="0"/>
    <n v="0"/>
    <m/>
    <m/>
    <m/>
    <m/>
    <m/>
    <m/>
    <m/>
    <m/>
    <m/>
    <m/>
    <m/>
    <m/>
  </r>
  <r>
    <x v="9"/>
    <s v="Catawba Valley Community College"/>
    <m/>
    <n v="198233"/>
    <x v="7"/>
    <n v="101055"/>
    <n v="93831"/>
    <n v="58942"/>
    <n v="53081"/>
    <n v="2156"/>
    <n v="2003"/>
    <n v="39957"/>
    <n v="0"/>
    <n v="0"/>
    <n v="38747"/>
    <n v="0"/>
    <n v="0"/>
    <m/>
    <m/>
    <n v="0"/>
    <n v="0"/>
    <m/>
    <m/>
    <m/>
    <m/>
    <m/>
    <m/>
    <m/>
    <m/>
    <m/>
    <m/>
    <m/>
    <m/>
  </r>
  <r>
    <x v="9"/>
    <s v="Central Carolina Commuity College"/>
    <m/>
    <n v="198251"/>
    <x v="7"/>
    <n v="97375"/>
    <n v="100151"/>
    <n v="59722"/>
    <n v="59583"/>
    <n v="2558"/>
    <n v="3644"/>
    <n v="35089"/>
    <n v="0"/>
    <n v="6"/>
    <n v="36924"/>
    <n v="0"/>
    <n v="0"/>
    <m/>
    <m/>
    <n v="0"/>
    <n v="0"/>
    <m/>
    <m/>
    <m/>
    <m/>
    <m/>
    <m/>
    <m/>
    <m/>
    <m/>
    <m/>
    <m/>
    <m/>
  </r>
  <r>
    <x v="9"/>
    <s v="Cleveland Community College"/>
    <m/>
    <n v="198321"/>
    <x v="7"/>
    <n v="70863"/>
    <n v="65114"/>
    <n v="40057"/>
    <n v="34606"/>
    <n v="1716"/>
    <n v="1445"/>
    <n v="28829"/>
    <n v="261"/>
    <n v="0"/>
    <n v="28749"/>
    <n v="51"/>
    <n v="263"/>
    <m/>
    <m/>
    <n v="0"/>
    <n v="0"/>
    <m/>
    <m/>
    <m/>
    <m/>
    <m/>
    <m/>
    <m/>
    <m/>
    <m/>
    <m/>
    <m/>
    <m/>
  </r>
  <r>
    <x v="9"/>
    <s v="Coastal Carolina Community College "/>
    <m/>
    <n v="198330"/>
    <x v="7"/>
    <n v="112597"/>
    <n v="106577"/>
    <n v="84130"/>
    <n v="78209"/>
    <n v="947"/>
    <n v="815"/>
    <n v="27520"/>
    <n v="0"/>
    <n v="0"/>
    <n v="27553"/>
    <n v="0"/>
    <n v="0"/>
    <m/>
    <m/>
    <n v="0"/>
    <n v="0"/>
    <m/>
    <m/>
    <m/>
    <m/>
    <m/>
    <m/>
    <m/>
    <m/>
    <m/>
    <m/>
    <m/>
    <m/>
  </r>
  <r>
    <x v="9"/>
    <s v="Craven Community College "/>
    <m/>
    <n v="198367"/>
    <x v="7"/>
    <n v="69432"/>
    <n v="71247"/>
    <n v="36226"/>
    <n v="37291"/>
    <n v="623"/>
    <n v="594"/>
    <n v="32583"/>
    <n v="0"/>
    <n v="0"/>
    <n v="33362"/>
    <n v="0"/>
    <n v="0"/>
    <m/>
    <m/>
    <n v="0"/>
    <n v="0"/>
    <m/>
    <m/>
    <m/>
    <m/>
    <m/>
    <m/>
    <m/>
    <m/>
    <m/>
    <m/>
    <m/>
    <m/>
  </r>
  <r>
    <x v="9"/>
    <s v="Davidson County Community College "/>
    <m/>
    <n v="198376"/>
    <x v="7"/>
    <n v="87203"/>
    <n v="84342"/>
    <n v="38222"/>
    <n v="41018"/>
    <n v="6"/>
    <n v="6"/>
    <n v="48131"/>
    <n v="468"/>
    <n v="376"/>
    <n v="41392"/>
    <n v="1926"/>
    <n v="0"/>
    <m/>
    <m/>
    <n v="0"/>
    <n v="0"/>
    <m/>
    <m/>
    <m/>
    <m/>
    <m/>
    <m/>
    <m/>
    <m/>
    <m/>
    <m/>
    <m/>
    <m/>
  </r>
  <r>
    <x v="9"/>
    <s v="Durham Technical Community College"/>
    <m/>
    <n v="198455"/>
    <x v="7"/>
    <n v="106278"/>
    <n v="106443"/>
    <n v="81116"/>
    <n v="77719"/>
    <n v="1153"/>
    <n v="1249"/>
    <n v="24009"/>
    <n v="0"/>
    <n v="0"/>
    <n v="27475"/>
    <n v="0"/>
    <n v="0"/>
    <m/>
    <m/>
    <n v="0"/>
    <n v="0"/>
    <m/>
    <m/>
    <m/>
    <m/>
    <m/>
    <m/>
    <m/>
    <m/>
    <m/>
    <m/>
    <m/>
    <m/>
  </r>
  <r>
    <x v="9"/>
    <s v="Edgecombe Community College"/>
    <m/>
    <n v="198491"/>
    <x v="7"/>
    <n v="66972"/>
    <n v="63634"/>
    <n v="38590"/>
    <n v="37131"/>
    <n v="1535"/>
    <n v="1421"/>
    <n v="26847"/>
    <n v="0"/>
    <n v="0"/>
    <n v="25082"/>
    <n v="0"/>
    <n v="0"/>
    <m/>
    <m/>
    <n v="0"/>
    <n v="0"/>
    <m/>
    <m/>
    <m/>
    <m/>
    <m/>
    <m/>
    <m/>
    <m/>
    <m/>
    <m/>
    <m/>
    <m/>
  </r>
  <r>
    <x v="9"/>
    <s v="Gaston College "/>
    <m/>
    <n v="198570"/>
    <x v="7"/>
    <n v="130397"/>
    <n v="124956"/>
    <n v="82196"/>
    <n v="72866"/>
    <n v="525"/>
    <n v="392"/>
    <n v="46893"/>
    <n v="783"/>
    <n v="0"/>
    <n v="50921"/>
    <n v="777"/>
    <n v="0"/>
    <m/>
    <m/>
    <n v="0"/>
    <n v="0"/>
    <m/>
    <m/>
    <m/>
    <m/>
    <m/>
    <m/>
    <m/>
    <m/>
    <m/>
    <m/>
    <m/>
    <m/>
  </r>
  <r>
    <x v="9"/>
    <s v="Isothermal Community College "/>
    <s v="Reclassified: Met the criteria for Two-Year 3 in 2012-13, 2013-14, and 2014-15."/>
    <n v="198710"/>
    <x v="8"/>
    <n v="55782"/>
    <n v="47983"/>
    <n v="38526"/>
    <n v="28914"/>
    <n v="2645"/>
    <n v="3809"/>
    <n v="14557"/>
    <n v="0"/>
    <n v="54"/>
    <n v="15260"/>
    <n v="0"/>
    <n v="0"/>
    <m/>
    <m/>
    <n v="0"/>
    <n v="0"/>
    <m/>
    <m/>
    <m/>
    <m/>
    <m/>
    <m/>
    <m/>
    <m/>
    <m/>
    <m/>
    <m/>
    <m/>
  </r>
  <r>
    <x v="9"/>
    <s v="Johnston Community College"/>
    <m/>
    <n v="198774"/>
    <x v="7"/>
    <n v="88016"/>
    <n v="89439"/>
    <n v="54043"/>
    <n v="51738"/>
    <n v="1842"/>
    <n v="1897"/>
    <n v="31942"/>
    <n v="189"/>
    <n v="0"/>
    <n v="35040"/>
    <n v="764"/>
    <n v="0"/>
    <m/>
    <m/>
    <n v="0"/>
    <n v="0"/>
    <m/>
    <m/>
    <m/>
    <m/>
    <m/>
    <m/>
    <m/>
    <m/>
    <m/>
    <m/>
    <m/>
    <m/>
  </r>
  <r>
    <x v="9"/>
    <s v="Lenoir Community College "/>
    <m/>
    <n v="198817"/>
    <x v="7"/>
    <n v="65063"/>
    <n v="64359"/>
    <n v="34207"/>
    <n v="31959"/>
    <n v="987"/>
    <n v="790"/>
    <n v="29749"/>
    <n v="120"/>
    <n v="0"/>
    <n v="31175"/>
    <n v="435"/>
    <n v="0"/>
    <m/>
    <m/>
    <n v="0"/>
    <n v="0"/>
    <m/>
    <m/>
    <m/>
    <m/>
    <m/>
    <m/>
    <m/>
    <m/>
    <m/>
    <m/>
    <m/>
    <m/>
  </r>
  <r>
    <x v="9"/>
    <s v="Mitchell Community College "/>
    <m/>
    <n v="198987"/>
    <x v="7"/>
    <n v="72641"/>
    <n v="68343"/>
    <n v="35715"/>
    <n v="33234"/>
    <n v="1791"/>
    <n v="1552"/>
    <n v="35135"/>
    <n v="0"/>
    <n v="0"/>
    <n v="33557"/>
    <n v="0"/>
    <n v="0"/>
    <m/>
    <m/>
    <n v="0"/>
    <n v="0"/>
    <m/>
    <m/>
    <m/>
    <m/>
    <m/>
    <m/>
    <m/>
    <m/>
    <m/>
    <m/>
    <m/>
    <m/>
  </r>
  <r>
    <x v="9"/>
    <s v="Nash Community College"/>
    <m/>
    <n v="199087"/>
    <x v="7"/>
    <n v="68509"/>
    <n v="69991"/>
    <n v="45900"/>
    <n v="44674"/>
    <n v="1777"/>
    <n v="1792"/>
    <n v="20718"/>
    <n v="114"/>
    <n v="0"/>
    <n v="23356"/>
    <n v="169"/>
    <n v="0"/>
    <m/>
    <m/>
    <n v="0"/>
    <n v="0"/>
    <m/>
    <m/>
    <m/>
    <m/>
    <m/>
    <m/>
    <m/>
    <m/>
    <m/>
    <m/>
    <m/>
    <m/>
  </r>
  <r>
    <x v="9"/>
    <s v="Randolph Community College"/>
    <m/>
    <n v="199421"/>
    <x v="7"/>
    <n v="62891"/>
    <n v="64161"/>
    <n v="38365"/>
    <n v="37449"/>
    <n v="1775"/>
    <n v="1896"/>
    <n v="22481"/>
    <n v="207"/>
    <n v="63"/>
    <n v="24687"/>
    <n v="129"/>
    <n v="0"/>
    <m/>
    <m/>
    <n v="0"/>
    <n v="0"/>
    <m/>
    <m/>
    <m/>
    <m/>
    <m/>
    <m/>
    <m/>
    <m/>
    <m/>
    <m/>
    <m/>
    <m/>
  </r>
  <r>
    <x v="9"/>
    <s v="Robeson Community College"/>
    <m/>
    <n v="199476"/>
    <x v="7"/>
    <n v="63548"/>
    <n v="46144"/>
    <n v="36418"/>
    <n v="24092"/>
    <n v="471"/>
    <n v="399"/>
    <n v="26659"/>
    <n v="0"/>
    <n v="0"/>
    <n v="21653"/>
    <n v="0"/>
    <n v="0"/>
    <m/>
    <m/>
    <n v="0"/>
    <n v="0"/>
    <m/>
    <m/>
    <m/>
    <m/>
    <m/>
    <m/>
    <m/>
    <m/>
    <m/>
    <m/>
    <m/>
    <m/>
  </r>
  <r>
    <x v="9"/>
    <s v="Sandhills Community College "/>
    <m/>
    <n v="199634"/>
    <x v="7"/>
    <n v="88889"/>
    <n v="87471"/>
    <n v="54488"/>
    <n v="51311"/>
    <n v="1862"/>
    <n v="1782"/>
    <n v="32539"/>
    <n v="0"/>
    <n v="0"/>
    <n v="34378"/>
    <n v="0"/>
    <n v="0"/>
    <m/>
    <m/>
    <n v="0"/>
    <n v="0"/>
    <m/>
    <m/>
    <m/>
    <m/>
    <m/>
    <m/>
    <m/>
    <m/>
    <m/>
    <m/>
    <m/>
    <m/>
  </r>
  <r>
    <x v="9"/>
    <s v="Stanly Community College"/>
    <m/>
    <n v="199740"/>
    <x v="7"/>
    <n v="60211"/>
    <n v="58634"/>
    <n v="17097"/>
    <n v="18303"/>
    <n v="2566"/>
    <n v="2483"/>
    <n v="39397"/>
    <n v="1151"/>
    <n v="0"/>
    <n v="37797"/>
    <n v="51"/>
    <n v="0"/>
    <m/>
    <m/>
    <n v="0"/>
    <n v="0"/>
    <m/>
    <m/>
    <m/>
    <m/>
    <m/>
    <m/>
    <m/>
    <m/>
    <m/>
    <m/>
    <m/>
    <m/>
  </r>
  <r>
    <x v="9"/>
    <s v="Surry Community College "/>
    <m/>
    <n v="199768"/>
    <x v="7"/>
    <n v="63842"/>
    <n v="70192"/>
    <n v="41894"/>
    <n v="46224"/>
    <n v="427"/>
    <n v="84"/>
    <n v="20546"/>
    <n v="975"/>
    <n v="0"/>
    <n v="22577"/>
    <n v="1307"/>
    <n v="0"/>
    <m/>
    <m/>
    <n v="0"/>
    <n v="0"/>
    <m/>
    <m/>
    <m/>
    <m/>
    <m/>
    <m/>
    <m/>
    <m/>
    <m/>
    <m/>
    <m/>
    <m/>
  </r>
  <r>
    <x v="9"/>
    <s v="Vance-Granville Community College "/>
    <m/>
    <n v="199838"/>
    <x v="7"/>
    <n v="77713"/>
    <n v="74269"/>
    <n v="47699"/>
    <n v="42042"/>
    <n v="909"/>
    <n v="1429"/>
    <n v="27515"/>
    <n v="1590"/>
    <n v="0"/>
    <n v="29236"/>
    <n v="1562"/>
    <n v="0"/>
    <m/>
    <m/>
    <n v="0"/>
    <n v="0"/>
    <m/>
    <m/>
    <m/>
    <m/>
    <m/>
    <m/>
    <m/>
    <m/>
    <m/>
    <m/>
    <m/>
    <m/>
  </r>
  <r>
    <x v="9"/>
    <s v="Wayne Community College"/>
    <m/>
    <n v="199892"/>
    <x v="7"/>
    <n v="85655"/>
    <n v="87957"/>
    <n v="48757"/>
    <n v="47126"/>
    <n v="1448"/>
    <n v="1317"/>
    <n v="35243"/>
    <n v="0"/>
    <n v="207"/>
    <n v="39370"/>
    <n v="0"/>
    <n v="144"/>
    <m/>
    <m/>
    <n v="0"/>
    <n v="0"/>
    <m/>
    <m/>
    <m/>
    <m/>
    <m/>
    <m/>
    <m/>
    <m/>
    <m/>
    <m/>
    <m/>
    <m/>
  </r>
  <r>
    <x v="9"/>
    <s v="Western Piedmont Community College "/>
    <m/>
    <n v="199908"/>
    <x v="7"/>
    <n v="57664"/>
    <n v="52328"/>
    <n v="30048"/>
    <n v="25515"/>
    <n v="202"/>
    <n v="227"/>
    <n v="27414"/>
    <n v="0"/>
    <n v="0"/>
    <n v="26586"/>
    <n v="0"/>
    <n v="0"/>
    <m/>
    <m/>
    <n v="0"/>
    <n v="0"/>
    <m/>
    <m/>
    <m/>
    <m/>
    <m/>
    <m/>
    <m/>
    <m/>
    <m/>
    <m/>
    <m/>
    <m/>
  </r>
  <r>
    <x v="9"/>
    <s v="Wilkes Community College "/>
    <m/>
    <n v="199926"/>
    <x v="7"/>
    <n v="61315"/>
    <n v="63489"/>
    <n v="43264"/>
    <n v="43948"/>
    <n v="430"/>
    <n v="765"/>
    <n v="14329"/>
    <n v="3292"/>
    <n v="0"/>
    <n v="15417"/>
    <n v="3359"/>
    <n v="0"/>
    <m/>
    <m/>
    <n v="0"/>
    <n v="0"/>
    <m/>
    <m/>
    <m/>
    <m/>
    <m/>
    <m/>
    <m/>
    <m/>
    <m/>
    <m/>
    <m/>
    <m/>
  </r>
  <r>
    <x v="9"/>
    <s v="Beaufort County Community College "/>
    <m/>
    <n v="197966"/>
    <x v="8"/>
    <n v="41591"/>
    <n v="41145"/>
    <n v="22521"/>
    <n v="19045"/>
    <n v="221"/>
    <n v="355"/>
    <n v="17918"/>
    <n v="0"/>
    <n v="931"/>
    <n v="20877"/>
    <n v="0"/>
    <n v="868"/>
    <m/>
    <m/>
    <n v="0"/>
    <n v="0"/>
    <m/>
    <m/>
    <m/>
    <m/>
    <m/>
    <m/>
    <m/>
    <m/>
    <m/>
    <m/>
    <m/>
    <m/>
  </r>
  <r>
    <x v="9"/>
    <s v="Bladen Community College"/>
    <m/>
    <n v="198011"/>
    <x v="8"/>
    <n v="31984"/>
    <n v="30060"/>
    <n v="14480"/>
    <n v="12759"/>
    <n v="9"/>
    <n v="16"/>
    <n v="15960"/>
    <n v="1535"/>
    <n v="0"/>
    <n v="15987"/>
    <n v="1281"/>
    <n v="17"/>
    <m/>
    <m/>
    <n v="0"/>
    <n v="0"/>
    <m/>
    <m/>
    <m/>
    <m/>
    <m/>
    <m/>
    <m/>
    <m/>
    <m/>
    <m/>
    <m/>
    <m/>
  </r>
  <r>
    <x v="9"/>
    <s v="Blue Ridge Community College"/>
    <m/>
    <n v="198039"/>
    <x v="8"/>
    <n v="44267"/>
    <n v="45379"/>
    <n v="27827"/>
    <n v="26758"/>
    <n v="696"/>
    <n v="767"/>
    <n v="15608"/>
    <n v="136"/>
    <n v="0"/>
    <n v="17806"/>
    <n v="48"/>
    <n v="0"/>
    <m/>
    <m/>
    <n v="0"/>
    <n v="0"/>
    <m/>
    <m/>
    <m/>
    <m/>
    <m/>
    <m/>
    <m/>
    <m/>
    <m/>
    <m/>
    <m/>
    <m/>
  </r>
  <r>
    <x v="9"/>
    <s v="Brunswick Community College"/>
    <m/>
    <n v="198084"/>
    <x v="8"/>
    <n v="33472"/>
    <n v="34811"/>
    <n v="19516"/>
    <n v="20254"/>
    <n v="288"/>
    <n v="139"/>
    <n v="13570"/>
    <n v="98"/>
    <n v="0"/>
    <n v="14260"/>
    <n v="158"/>
    <n v="0"/>
    <m/>
    <m/>
    <n v="0"/>
    <n v="0"/>
    <m/>
    <m/>
    <m/>
    <m/>
    <m/>
    <m/>
    <m/>
    <m/>
    <m/>
    <m/>
    <m/>
    <m/>
  </r>
  <r>
    <x v="9"/>
    <s v="Carteret Community College"/>
    <m/>
    <n v="198206"/>
    <x v="8"/>
    <n v="35618"/>
    <n v="31866"/>
    <n v="20492"/>
    <n v="18235"/>
    <n v="1215"/>
    <n v="1093"/>
    <n v="13911"/>
    <n v="0"/>
    <n v="0"/>
    <n v="12538"/>
    <n v="0"/>
    <n v="0"/>
    <m/>
    <m/>
    <n v="0"/>
    <n v="0"/>
    <m/>
    <m/>
    <m/>
    <m/>
    <m/>
    <m/>
    <m/>
    <m/>
    <m/>
    <m/>
    <m/>
    <m/>
  </r>
  <r>
    <x v="9"/>
    <s v="College of the Albemarle"/>
    <m/>
    <n v="197814"/>
    <x v="8"/>
    <n v="51903"/>
    <n v="51637"/>
    <n v="25375"/>
    <n v="26034"/>
    <n v="1594"/>
    <n v="521"/>
    <n v="24934"/>
    <n v="0"/>
    <n v="0"/>
    <n v="25082"/>
    <n v="0"/>
    <n v="0"/>
    <m/>
    <m/>
    <n v="0"/>
    <n v="0"/>
    <m/>
    <m/>
    <m/>
    <m/>
    <m/>
    <m/>
    <m/>
    <m/>
    <m/>
    <m/>
    <m/>
    <m/>
  </r>
  <r>
    <x v="9"/>
    <s v="Halifax Community College "/>
    <m/>
    <n v="198640"/>
    <x v="8"/>
    <n v="34655"/>
    <n v="29989"/>
    <n v="21187"/>
    <n v="15130"/>
    <n v="2616"/>
    <n v="2642"/>
    <n v="10342"/>
    <n v="510"/>
    <n v="0"/>
    <n v="11830"/>
    <n v="387"/>
    <n v="0"/>
    <m/>
    <m/>
    <n v="0"/>
    <n v="0"/>
    <m/>
    <m/>
    <m/>
    <m/>
    <m/>
    <m/>
    <m/>
    <m/>
    <m/>
    <m/>
    <m/>
    <m/>
  </r>
  <r>
    <x v="9"/>
    <s v="Haywood Community College"/>
    <m/>
    <n v="198668"/>
    <x v="8"/>
    <n v="46161"/>
    <n v="42500"/>
    <n v="25144"/>
    <n v="22598"/>
    <n v="706"/>
    <n v="738"/>
    <n v="20291"/>
    <n v="20"/>
    <n v="0"/>
    <n v="19164"/>
    <n v="0"/>
    <n v="0"/>
    <m/>
    <m/>
    <n v="0"/>
    <n v="0"/>
    <m/>
    <m/>
    <m/>
    <m/>
    <m/>
    <m/>
    <m/>
    <m/>
    <m/>
    <m/>
    <m/>
    <m/>
  </r>
  <r>
    <x v="9"/>
    <s v="James Sprunt Community College"/>
    <m/>
    <n v="198729"/>
    <x v="8"/>
    <n v="33775"/>
    <n v="27878"/>
    <n v="22375"/>
    <n v="16782"/>
    <n v="222"/>
    <n v="16"/>
    <n v="10343"/>
    <n v="835"/>
    <n v="0"/>
    <n v="10294"/>
    <n v="786"/>
    <n v="0"/>
    <m/>
    <m/>
    <n v="0"/>
    <n v="0"/>
    <m/>
    <m/>
    <m/>
    <m/>
    <m/>
    <m/>
    <m/>
    <m/>
    <m/>
    <m/>
    <m/>
    <m/>
  </r>
  <r>
    <x v="9"/>
    <s v="Martin Community College "/>
    <m/>
    <n v="198905"/>
    <x v="8"/>
    <n v="16094"/>
    <n v="15250"/>
    <n v="10878"/>
    <n v="9273"/>
    <n v="301"/>
    <n v="400"/>
    <n v="4576"/>
    <n v="324"/>
    <n v="15"/>
    <n v="5234"/>
    <n v="343"/>
    <n v="0"/>
    <m/>
    <m/>
    <n v="0"/>
    <n v="0"/>
    <m/>
    <m/>
    <m/>
    <m/>
    <m/>
    <m/>
    <m/>
    <m/>
    <m/>
    <m/>
    <m/>
    <m/>
  </r>
  <r>
    <x v="9"/>
    <s v="Mayland Community College"/>
    <m/>
    <n v="198914"/>
    <x v="8"/>
    <n v="24012"/>
    <n v="22390"/>
    <n v="17378"/>
    <n v="15548"/>
    <n v="2362"/>
    <n v="1952"/>
    <n v="4272"/>
    <n v="0"/>
    <n v="0"/>
    <n v="4890"/>
    <n v="0"/>
    <n v="0"/>
    <m/>
    <m/>
    <n v="0"/>
    <n v="0"/>
    <m/>
    <m/>
    <m/>
    <m/>
    <m/>
    <m/>
    <m/>
    <m/>
    <m/>
    <m/>
    <m/>
    <m/>
  </r>
  <r>
    <x v="9"/>
    <s v="McDowell Technical Community College"/>
    <m/>
    <n v="198923"/>
    <x v="8"/>
    <n v="27620"/>
    <n v="25171"/>
    <n v="19918"/>
    <n v="16523"/>
    <n v="0"/>
    <n v="1"/>
    <n v="7443"/>
    <n v="259"/>
    <n v="0"/>
    <n v="8575"/>
    <n v="0"/>
    <n v="72"/>
    <m/>
    <m/>
    <n v="0"/>
    <n v="0"/>
    <m/>
    <m/>
    <m/>
    <m/>
    <m/>
    <m/>
    <m/>
    <m/>
    <m/>
    <m/>
    <m/>
    <m/>
  </r>
  <r>
    <x v="9"/>
    <s v="Montgomery Community College"/>
    <m/>
    <n v="199023"/>
    <x v="8"/>
    <n v="16582"/>
    <n v="17482"/>
    <n v="8159"/>
    <n v="7906"/>
    <n v="373"/>
    <n v="627"/>
    <n v="7984"/>
    <n v="66"/>
    <n v="0"/>
    <n v="8940"/>
    <n v="9"/>
    <n v="0"/>
    <m/>
    <m/>
    <n v="0"/>
    <n v="0"/>
    <m/>
    <m/>
    <m/>
    <m/>
    <m/>
    <m/>
    <m/>
    <m/>
    <m/>
    <m/>
    <m/>
    <m/>
  </r>
  <r>
    <x v="9"/>
    <s v="Pamlico Community College"/>
    <m/>
    <n v="199263"/>
    <x v="8"/>
    <n v="12086"/>
    <n v="11677"/>
    <n v="2085"/>
    <n v="2332"/>
    <n v="2616"/>
    <n v="3216"/>
    <n v="7358"/>
    <n v="27"/>
    <n v="0"/>
    <n v="6108"/>
    <n v="21"/>
    <n v="0"/>
    <m/>
    <m/>
    <n v="0"/>
    <n v="0"/>
    <m/>
    <m/>
    <m/>
    <m/>
    <m/>
    <m/>
    <m/>
    <m/>
    <m/>
    <m/>
    <m/>
    <m/>
  </r>
  <r>
    <x v="9"/>
    <s v="Piedmont Community College"/>
    <m/>
    <n v="199324"/>
    <x v="8"/>
    <n v="36244"/>
    <n v="31169"/>
    <n v="23153"/>
    <n v="19978"/>
    <n v="923"/>
    <n v="964"/>
    <n v="10257"/>
    <n v="1911"/>
    <n v="0"/>
    <n v="8467"/>
    <n v="1718"/>
    <n v="42"/>
    <m/>
    <m/>
    <n v="0"/>
    <n v="0"/>
    <m/>
    <m/>
    <m/>
    <m/>
    <m/>
    <m/>
    <m/>
    <m/>
    <m/>
    <m/>
    <m/>
    <m/>
  </r>
  <r>
    <x v="9"/>
    <s v="Richmond Community College"/>
    <s v="Reclassified: Met the criteria for Two-Year 2 in 2012-13, 2013-14, and 2014-15."/>
    <n v="199449"/>
    <x v="7"/>
    <n v="54140"/>
    <n v="54020"/>
    <n v="37930"/>
    <n v="36113"/>
    <n v="271"/>
    <n v="354"/>
    <n v="15714"/>
    <n v="225"/>
    <n v="0"/>
    <n v="17223"/>
    <n v="330"/>
    <n v="0"/>
    <m/>
    <m/>
    <n v="0"/>
    <n v="0"/>
    <m/>
    <m/>
    <m/>
    <m/>
    <m/>
    <m/>
    <m/>
    <m/>
    <m/>
    <m/>
    <m/>
    <m/>
  </r>
  <r>
    <x v="9"/>
    <s v="Roanoke-Chowan Community College"/>
    <m/>
    <n v="199467"/>
    <x v="8"/>
    <n v="18004"/>
    <n v="16962"/>
    <n v="12670"/>
    <n v="11473"/>
    <n v="42"/>
    <n v="190"/>
    <n v="5103"/>
    <n v="189"/>
    <n v="0"/>
    <n v="5033"/>
    <n v="266"/>
    <n v="0"/>
    <m/>
    <m/>
    <n v="0"/>
    <n v="0"/>
    <m/>
    <m/>
    <m/>
    <m/>
    <m/>
    <m/>
    <m/>
    <m/>
    <m/>
    <m/>
    <m/>
    <m/>
  </r>
  <r>
    <x v="9"/>
    <s v="Rockingham Community College "/>
    <m/>
    <n v="199485"/>
    <x v="8"/>
    <n v="42765"/>
    <n v="39473"/>
    <n v="37640"/>
    <n v="34086"/>
    <n v="289"/>
    <n v="0"/>
    <n v="4683"/>
    <n v="153"/>
    <n v="0"/>
    <n v="5359"/>
    <n v="28"/>
    <n v="0"/>
    <m/>
    <m/>
    <n v="0"/>
    <n v="0"/>
    <m/>
    <m/>
    <m/>
    <m/>
    <m/>
    <m/>
    <m/>
    <m/>
    <m/>
    <m/>
    <m/>
    <m/>
  </r>
  <r>
    <x v="9"/>
    <s v="Sampson Community College"/>
    <m/>
    <n v="199625"/>
    <x v="8"/>
    <n v="30397"/>
    <n v="29917"/>
    <n v="22379"/>
    <n v="21696"/>
    <n v="83"/>
    <n v="125"/>
    <n v="7507"/>
    <n v="428"/>
    <n v="0"/>
    <n v="7607"/>
    <n v="489"/>
    <n v="0"/>
    <m/>
    <m/>
    <n v="0"/>
    <n v="0"/>
    <m/>
    <m/>
    <m/>
    <m/>
    <m/>
    <m/>
    <m/>
    <m/>
    <m/>
    <m/>
    <m/>
    <m/>
  </r>
  <r>
    <x v="9"/>
    <s v="South Piedmont Community College"/>
    <m/>
    <n v="197850"/>
    <x v="8"/>
    <n v="48300"/>
    <n v="47537"/>
    <n v="18068"/>
    <n v="16483"/>
    <n v="2023"/>
    <n v="817"/>
    <n v="27703"/>
    <n v="506"/>
    <n v="0"/>
    <n v="29885"/>
    <n v="352"/>
    <n v="0"/>
    <m/>
    <m/>
    <n v="0"/>
    <n v="0"/>
    <m/>
    <m/>
    <m/>
    <m/>
    <m/>
    <m/>
    <m/>
    <m/>
    <m/>
    <m/>
    <m/>
    <m/>
  </r>
  <r>
    <x v="9"/>
    <s v="Southeastern Community College "/>
    <m/>
    <n v="199722"/>
    <x v="8"/>
    <n v="37357"/>
    <n v="30074"/>
    <n v="24443"/>
    <n v="20315"/>
    <n v="381"/>
    <n v="571"/>
    <n v="12169"/>
    <n v="364"/>
    <n v="0"/>
    <n v="8947"/>
    <n v="241"/>
    <n v="0"/>
    <m/>
    <m/>
    <n v="0"/>
    <n v="0"/>
    <m/>
    <m/>
    <m/>
    <m/>
    <m/>
    <m/>
    <m/>
    <m/>
    <m/>
    <m/>
    <m/>
    <m/>
  </r>
  <r>
    <x v="9"/>
    <s v="Southwestern Community College "/>
    <m/>
    <n v="199731"/>
    <x v="8"/>
    <n v="56226"/>
    <n v="52273"/>
    <n v="28628"/>
    <n v="26023"/>
    <n v="2298"/>
    <n v="1892"/>
    <n v="24712"/>
    <n v="588"/>
    <n v="0"/>
    <n v="23753"/>
    <n v="458"/>
    <n v="147"/>
    <m/>
    <m/>
    <n v="0"/>
    <n v="0"/>
    <m/>
    <m/>
    <m/>
    <m/>
    <m/>
    <m/>
    <m/>
    <m/>
    <m/>
    <m/>
    <m/>
    <m/>
  </r>
  <r>
    <x v="9"/>
    <s v="Tri-County Community College "/>
    <m/>
    <n v="199795"/>
    <x v="8"/>
    <n v="31068"/>
    <n v="30411"/>
    <n v="10999"/>
    <n v="10866"/>
    <n v="143"/>
    <n v="606"/>
    <n v="19406"/>
    <n v="520"/>
    <n v="0"/>
    <n v="18824"/>
    <n v="115"/>
    <n v="0"/>
    <m/>
    <m/>
    <n v="0"/>
    <n v="0"/>
    <m/>
    <m/>
    <m/>
    <m/>
    <m/>
    <m/>
    <m/>
    <m/>
    <m/>
    <m/>
    <m/>
    <m/>
  </r>
  <r>
    <x v="9"/>
    <s v="Wilson Community College"/>
    <m/>
    <n v="199953"/>
    <x v="8"/>
    <n v="43537"/>
    <n v="43230"/>
    <n v="21493"/>
    <n v="19912"/>
    <n v="890"/>
    <n v="942"/>
    <n v="19656"/>
    <n v="0"/>
    <n v="1498"/>
    <n v="21867"/>
    <n v="0"/>
    <n v="509"/>
    <m/>
    <m/>
    <n v="0"/>
    <n v="0"/>
    <m/>
    <m/>
    <m/>
    <m/>
    <m/>
    <m/>
    <m/>
    <m/>
    <m/>
    <m/>
    <m/>
    <m/>
  </r>
  <r>
    <x v="10"/>
    <s v="Oklahoma State University Main Campus"/>
    <m/>
    <n v="207388"/>
    <x v="0"/>
    <n v="608686"/>
    <n v="623576"/>
    <n v="552488"/>
    <n v="558918"/>
    <n v="5254"/>
    <n v="6069"/>
    <n v="49117"/>
    <n v="0"/>
    <n v="0"/>
    <n v="56687"/>
    <n v="0"/>
    <n v="0"/>
    <n v="1827"/>
    <n v="1902"/>
    <n v="155564"/>
    <n v="61100"/>
    <n v="130683"/>
    <n v="43238"/>
    <n v="2329"/>
    <n v="599"/>
    <n v="21069"/>
    <n v="0"/>
    <m/>
    <n v="16911"/>
    <m/>
    <m/>
    <n v="1483"/>
    <n v="352"/>
  </r>
  <r>
    <x v="10"/>
    <s v="University of Oklahoma Norman Campus"/>
    <m/>
    <n v="207500"/>
    <x v="0"/>
    <n v="707819"/>
    <n v="712179"/>
    <n v="591841"/>
    <n v="598538"/>
    <n v="7330"/>
    <n v="9749"/>
    <n v="83620"/>
    <n v="21854"/>
    <n v="3174"/>
    <n v="80616"/>
    <n v="20382"/>
    <n v="2894"/>
    <m/>
    <m/>
    <n v="223803"/>
    <n v="87331"/>
    <n v="159248"/>
    <n v="47477"/>
    <n v="19637"/>
    <n v="15533"/>
    <n v="22097"/>
    <n v="18907"/>
    <n v="3914"/>
    <n v="20998"/>
    <n v="620"/>
    <n v="2703"/>
    <m/>
    <m/>
  </r>
  <r>
    <x v="10"/>
    <s v="Northeastern State University"/>
    <m/>
    <n v="207263"/>
    <x v="2"/>
    <n v="187656"/>
    <n v="179145"/>
    <n v="147026"/>
    <n v="134141"/>
    <n v="555"/>
    <n v="158"/>
    <n v="39323"/>
    <n v="752"/>
    <n v="0"/>
    <n v="44217"/>
    <n v="629"/>
    <m/>
    <m/>
    <m/>
    <n v="19356"/>
    <n v="18206"/>
    <n v="16189"/>
    <n v="14426"/>
    <n v="0"/>
    <n v="0"/>
    <n v="2524"/>
    <n v="643"/>
    <n v="0"/>
    <n v="3188"/>
    <n v="592"/>
    <m/>
    <m/>
    <m/>
  </r>
  <r>
    <x v="10"/>
    <s v="University of Central Oklahoma"/>
    <m/>
    <n v="206941"/>
    <x v="2"/>
    <n v="374005"/>
    <n v="369667"/>
    <n v="321683"/>
    <n v="309166"/>
    <n v="3739"/>
    <n v="2767"/>
    <n v="43636"/>
    <n v="1328"/>
    <n v="3619"/>
    <n v="52924"/>
    <n v="403"/>
    <n v="4407"/>
    <m/>
    <m/>
    <n v="26765"/>
    <n v="26969"/>
    <n v="23085"/>
    <n v="23589"/>
    <n v="260"/>
    <n v="55"/>
    <n v="1705"/>
    <n v="38"/>
    <n v="1677"/>
    <n v="1733"/>
    <n v="42"/>
    <n v="1550"/>
    <m/>
    <m/>
  </r>
  <r>
    <x v="10"/>
    <s v="Southeastern Oklahoma State University "/>
    <m/>
    <n v="207847"/>
    <x v="3"/>
    <n v="89767"/>
    <n v="89245"/>
    <n v="60018"/>
    <n v="58369"/>
    <n v="268"/>
    <n v="569"/>
    <n v="25765"/>
    <n v="3716"/>
    <n v="0"/>
    <n v="26692"/>
    <n v="2357"/>
    <n v="1258"/>
    <m/>
    <m/>
    <n v="5486"/>
    <n v="5818"/>
    <n v="2587"/>
    <n v="2534"/>
    <n v="132"/>
    <n v="441"/>
    <n v="2653"/>
    <n v="114"/>
    <n v="0"/>
    <n v="2774"/>
    <n v="42"/>
    <n v="27"/>
    <m/>
    <m/>
  </r>
  <r>
    <x v="10"/>
    <s v="Cameron University "/>
    <m/>
    <n v="206914"/>
    <x v="4"/>
    <n v="127516"/>
    <n v="120596"/>
    <n v="96414"/>
    <n v="92669"/>
    <n v="1810"/>
    <n v="974"/>
    <n v="19967"/>
    <n v="9325"/>
    <n v="0"/>
    <n v="18738"/>
    <n v="8215"/>
    <m/>
    <m/>
    <m/>
    <n v="7751"/>
    <n v="7029"/>
    <n v="3716"/>
    <n v="3057"/>
    <n v="3"/>
    <m/>
    <n v="3285"/>
    <n v="747"/>
    <n v="0"/>
    <n v="3141"/>
    <n v="831"/>
    <m/>
    <m/>
    <m/>
  </r>
  <r>
    <x v="10"/>
    <s v="East Central University "/>
    <m/>
    <n v="207041"/>
    <x v="4"/>
    <n v="101014"/>
    <n v="99391"/>
    <n v="85184"/>
    <n v="84156"/>
    <n v="399"/>
    <n v="209"/>
    <n v="7732"/>
    <n v="3697"/>
    <n v="4002"/>
    <n v="7965"/>
    <n v="3512"/>
    <n v="3549"/>
    <m/>
    <m/>
    <n v="14494"/>
    <n v="13650"/>
    <n v="4586"/>
    <n v="3926"/>
    <n v="413"/>
    <n v="316"/>
    <n v="7160"/>
    <n v="1578"/>
    <n v="757"/>
    <n v="7242"/>
    <n v="1356"/>
    <n v="810"/>
    <m/>
    <m/>
  </r>
  <r>
    <x v="10"/>
    <s v="Langston University"/>
    <m/>
    <n v="207209"/>
    <x v="4"/>
    <n v="54515"/>
    <n v="55277"/>
    <n v="53437"/>
    <n v="53687"/>
    <n v="0"/>
    <n v="0"/>
    <n v="384"/>
    <n v="694"/>
    <n v="0"/>
    <n v="990"/>
    <n v="600"/>
    <m/>
    <m/>
    <m/>
    <n v="7968"/>
    <n v="5946"/>
    <n v="6138"/>
    <n v="4080"/>
    <n v="0"/>
    <m/>
    <n v="1548"/>
    <n v="282"/>
    <n v="0"/>
    <n v="1461"/>
    <n v="405"/>
    <m/>
    <m/>
    <m/>
  </r>
  <r>
    <x v="10"/>
    <s v="Northwestern Oklahoma State University "/>
    <m/>
    <n v="207306"/>
    <x v="4"/>
    <n v="52149"/>
    <n v="48658"/>
    <n v="37625"/>
    <n v="35393"/>
    <n v="6"/>
    <n v="57"/>
    <n v="5983"/>
    <n v="8412"/>
    <n v="123"/>
    <n v="5212"/>
    <n v="7684"/>
    <n v="312"/>
    <m/>
    <m/>
    <n v="3370"/>
    <n v="2403"/>
    <n v="1184"/>
    <n v="1032"/>
    <n v="16"/>
    <n v="5"/>
    <n v="407"/>
    <n v="1763"/>
    <n v="0"/>
    <n v="302"/>
    <n v="1064"/>
    <m/>
    <m/>
    <m/>
  </r>
  <r>
    <x v="10"/>
    <s v="Southwestern Oklahoma State University"/>
    <m/>
    <n v="207865"/>
    <x v="4"/>
    <n v="117267"/>
    <n v="117069"/>
    <n v="97806"/>
    <n v="94060"/>
    <n v="1460"/>
    <n v="1404"/>
    <n v="16791"/>
    <n v="1210"/>
    <n v="0"/>
    <n v="20393"/>
    <n v="1209"/>
    <n v="3"/>
    <m/>
    <m/>
    <n v="12396"/>
    <n v="12050"/>
    <n v="7669"/>
    <n v="7239"/>
    <n v="2"/>
    <m/>
    <n v="3986"/>
    <n v="739"/>
    <n v="0"/>
    <n v="4205"/>
    <n v="606"/>
    <m/>
    <m/>
    <m/>
  </r>
  <r>
    <x v="10"/>
    <s v="Oklahoma Panhandle State University "/>
    <m/>
    <n v="207351"/>
    <x v="5"/>
    <n v="37560"/>
    <n v="33689"/>
    <n v="30393"/>
    <n v="26645"/>
    <n v="0"/>
    <n v="0"/>
    <n v="6858"/>
    <n v="309"/>
    <n v="0"/>
    <n v="6834"/>
    <n v="210"/>
    <m/>
    <m/>
    <m/>
    <n v="0"/>
    <n v="0"/>
    <m/>
    <m/>
    <m/>
    <m/>
    <m/>
    <m/>
    <m/>
    <m/>
    <m/>
    <m/>
    <m/>
    <m/>
  </r>
  <r>
    <x v="10"/>
    <s v="Rogers State University"/>
    <m/>
    <n v="207661"/>
    <x v="5"/>
    <n v="99325"/>
    <n v="89911"/>
    <n v="68098"/>
    <n v="62644"/>
    <n v="3119"/>
    <n v="1087"/>
    <n v="26107"/>
    <n v="2001"/>
    <n v="0"/>
    <n v="24179"/>
    <n v="2001"/>
    <m/>
    <m/>
    <m/>
    <n v="0"/>
    <n v="75"/>
    <m/>
    <n v="75"/>
    <m/>
    <m/>
    <m/>
    <m/>
    <m/>
    <m/>
    <m/>
    <m/>
    <m/>
    <m/>
  </r>
  <r>
    <x v="10"/>
    <s v="University of Science and Arts of Oklahoma"/>
    <m/>
    <n v="207722"/>
    <x v="5"/>
    <n v="26670"/>
    <n v="27027"/>
    <n v="26637"/>
    <n v="26965"/>
    <n v="33"/>
    <n v="62"/>
    <n v="0"/>
    <n v="0"/>
    <n v="0"/>
    <n v="0"/>
    <m/>
    <m/>
    <m/>
    <m/>
    <n v="0"/>
    <n v="0"/>
    <m/>
    <m/>
    <m/>
    <m/>
    <m/>
    <m/>
    <m/>
    <m/>
    <m/>
    <m/>
    <m/>
    <m/>
  </r>
  <r>
    <x v="10"/>
    <s v="Oklahoma State University Technical Branch-Okmulgee "/>
    <m/>
    <n v="207564"/>
    <x v="12"/>
    <n v="99284"/>
    <n v="93399"/>
    <n v="72091"/>
    <n v="70059"/>
    <n v="14605"/>
    <n v="11708"/>
    <n v="12588"/>
    <n v="0"/>
    <n v="0"/>
    <n v="11632"/>
    <m/>
    <m/>
    <m/>
    <m/>
    <n v="0"/>
    <n v="0"/>
    <m/>
    <m/>
    <m/>
    <m/>
    <m/>
    <m/>
    <m/>
    <m/>
    <m/>
    <m/>
    <m/>
    <m/>
  </r>
  <r>
    <x v="10"/>
    <s v="Oklahoma State University-Oklahoma City"/>
    <m/>
    <n v="207397"/>
    <x v="12"/>
    <n v="149992"/>
    <n v="130772"/>
    <n v="92774"/>
    <n v="74743"/>
    <n v="4773"/>
    <n v="4199"/>
    <n v="49742"/>
    <n v="2571"/>
    <n v="0"/>
    <n v="49910"/>
    <n v="1920"/>
    <m/>
    <n v="132"/>
    <m/>
    <n v="0"/>
    <n v="0"/>
    <m/>
    <m/>
    <m/>
    <m/>
    <m/>
    <m/>
    <m/>
    <m/>
    <m/>
    <m/>
    <m/>
    <m/>
  </r>
  <r>
    <x v="10"/>
    <s v="Oklahoma City Community College "/>
    <m/>
    <n v="207449"/>
    <x v="6"/>
    <n v="258189"/>
    <n v="254888"/>
    <n v="178223"/>
    <n v="173094"/>
    <n v="17152"/>
    <n v="15905"/>
    <n v="62389"/>
    <n v="0"/>
    <n v="165"/>
    <n v="65462"/>
    <m/>
    <n v="427"/>
    <n v="260"/>
    <m/>
    <n v="0"/>
    <n v="0"/>
    <m/>
    <m/>
    <m/>
    <m/>
    <m/>
    <m/>
    <m/>
    <m/>
    <m/>
    <m/>
    <m/>
    <m/>
  </r>
  <r>
    <x v="10"/>
    <s v="Rose State College "/>
    <s v="Met the criteria for Two-Year 2 institution in 2013-14 and 2014-15."/>
    <n v="207670"/>
    <x v="6"/>
    <n v="138582"/>
    <n v="130720"/>
    <n v="98942"/>
    <n v="91256"/>
    <n v="3210"/>
    <n v="3465"/>
    <n v="34420"/>
    <n v="405"/>
    <n v="1605"/>
    <n v="34035"/>
    <n v="516"/>
    <n v="1448"/>
    <m/>
    <m/>
    <n v="0"/>
    <n v="0"/>
    <m/>
    <m/>
    <m/>
    <m/>
    <m/>
    <m/>
    <m/>
    <m/>
    <m/>
    <m/>
    <m/>
    <m/>
  </r>
  <r>
    <x v="10"/>
    <s v="Tulsa Community College "/>
    <m/>
    <n v="207935"/>
    <x v="6"/>
    <n v="358496"/>
    <n v="336810"/>
    <n v="253668"/>
    <n v="225160"/>
    <n v="18974"/>
    <n v="24331"/>
    <n v="85854"/>
    <n v="0"/>
    <n v="0"/>
    <n v="87319"/>
    <m/>
    <m/>
    <m/>
    <m/>
    <n v="0"/>
    <n v="0"/>
    <m/>
    <m/>
    <m/>
    <m/>
    <m/>
    <m/>
    <m/>
    <m/>
    <m/>
    <m/>
    <m/>
    <m/>
  </r>
  <r>
    <x v="10"/>
    <s v="Carl Albert State College"/>
    <s v="Met the criteria for Two-Year 3 institution in 2013-14 and 2014-15."/>
    <n v="206923"/>
    <x v="7"/>
    <n v="59455"/>
    <n v="54021"/>
    <n v="51817"/>
    <n v="52411"/>
    <n v="0"/>
    <n v="0"/>
    <n v="5998"/>
    <n v="1640"/>
    <n v="0"/>
    <n v="0"/>
    <n v="1610"/>
    <m/>
    <m/>
    <m/>
    <n v="0"/>
    <n v="0"/>
    <m/>
    <m/>
    <m/>
    <m/>
    <m/>
    <m/>
    <m/>
    <m/>
    <m/>
    <m/>
    <m/>
    <m/>
  </r>
  <r>
    <x v="10"/>
    <s v="Northern Oklahoma College "/>
    <m/>
    <n v="207281"/>
    <x v="7"/>
    <n v="99176"/>
    <n v="93431"/>
    <n v="68803"/>
    <n v="64397"/>
    <n v="6841"/>
    <n v="5995"/>
    <n v="9453"/>
    <n v="14071"/>
    <n v="8"/>
    <n v="10206"/>
    <n v="12833"/>
    <m/>
    <m/>
    <m/>
    <n v="0"/>
    <n v="0"/>
    <m/>
    <m/>
    <m/>
    <m/>
    <m/>
    <m/>
    <m/>
    <m/>
    <m/>
    <m/>
    <m/>
    <m/>
  </r>
  <r>
    <x v="10"/>
    <s v="Connors State College "/>
    <m/>
    <n v="206996"/>
    <x v="8"/>
    <n v="53900"/>
    <n v="52005"/>
    <n v="37529"/>
    <n v="33925"/>
    <n v="8076"/>
    <n v="6727"/>
    <n v="8295"/>
    <n v="0"/>
    <n v="0"/>
    <n v="11353"/>
    <m/>
    <m/>
    <m/>
    <m/>
    <n v="0"/>
    <n v="0"/>
    <m/>
    <m/>
    <m/>
    <m/>
    <m/>
    <m/>
    <m/>
    <m/>
    <m/>
    <m/>
    <m/>
    <m/>
  </r>
  <r>
    <x v="10"/>
    <s v="Eastern Oklahoma State College "/>
    <m/>
    <n v="207050"/>
    <x v="8"/>
    <n v="40653"/>
    <n v="36204"/>
    <n v="28312"/>
    <n v="25370"/>
    <n v="1907"/>
    <n v="1036"/>
    <n v="7251"/>
    <n v="3183"/>
    <n v="0"/>
    <n v="7287"/>
    <n v="2511"/>
    <m/>
    <m/>
    <m/>
    <n v="0"/>
    <n v="0"/>
    <m/>
    <m/>
    <m/>
    <m/>
    <m/>
    <m/>
    <m/>
    <m/>
    <m/>
    <m/>
    <m/>
    <m/>
  </r>
  <r>
    <x v="10"/>
    <s v="Murray State College "/>
    <m/>
    <n v="207236"/>
    <x v="8"/>
    <n v="49881"/>
    <n v="49034"/>
    <n v="30484"/>
    <n v="28007"/>
    <n v="2131"/>
    <n v="3295"/>
    <n v="12934"/>
    <n v="4288"/>
    <n v="44"/>
    <n v="12888"/>
    <n v="4734"/>
    <n v="110"/>
    <m/>
    <m/>
    <n v="0"/>
    <n v="0"/>
    <m/>
    <m/>
    <m/>
    <m/>
    <m/>
    <m/>
    <m/>
    <m/>
    <m/>
    <m/>
    <m/>
    <m/>
  </r>
  <r>
    <x v="10"/>
    <s v="Northeastern Oklahoma A &amp; M College "/>
    <m/>
    <n v="207290"/>
    <x v="8"/>
    <n v="59858"/>
    <n v="57813"/>
    <n v="47012"/>
    <n v="44966"/>
    <n v="1036"/>
    <n v="1302"/>
    <n v="10502"/>
    <n v="1308"/>
    <m/>
    <n v="10402"/>
    <n v="1143"/>
    <m/>
    <m/>
    <m/>
    <n v="0"/>
    <n v="0"/>
    <m/>
    <m/>
    <m/>
    <m/>
    <m/>
    <m/>
    <m/>
    <m/>
    <m/>
    <m/>
    <m/>
    <m/>
  </r>
  <r>
    <x v="10"/>
    <s v="Redlands Community College"/>
    <m/>
    <n v="207069"/>
    <x v="8"/>
    <n v="43784"/>
    <n v="40502"/>
    <n v="22737"/>
    <n v="22053"/>
    <n v="6508"/>
    <n v="6065"/>
    <n v="12946"/>
    <n v="1593"/>
    <n v="0"/>
    <n v="10641"/>
    <n v="1743"/>
    <m/>
    <m/>
    <m/>
    <n v="0"/>
    <n v="0"/>
    <m/>
    <m/>
    <m/>
    <m/>
    <m/>
    <m/>
    <m/>
    <m/>
    <m/>
    <m/>
    <m/>
    <m/>
  </r>
  <r>
    <x v="10"/>
    <s v="Seminole State College "/>
    <m/>
    <n v="207740"/>
    <x v="8"/>
    <n v="40992"/>
    <n v="38178"/>
    <n v="26445"/>
    <n v="24232"/>
    <n v="6010"/>
    <n v="5977"/>
    <n v="8489"/>
    <n v="48"/>
    <n v="0"/>
    <n v="7906"/>
    <n v="33"/>
    <n v="30"/>
    <m/>
    <m/>
    <n v="0"/>
    <n v="0"/>
    <m/>
    <m/>
    <m/>
    <m/>
    <m/>
    <m/>
    <m/>
    <m/>
    <m/>
    <m/>
    <m/>
    <m/>
  </r>
  <r>
    <x v="10"/>
    <s v="Western Oklahoma State College "/>
    <m/>
    <n v="208035"/>
    <x v="8"/>
    <n v="34640"/>
    <n v="29530"/>
    <n v="18462"/>
    <n v="15711"/>
    <n v="4446"/>
    <n v="3556"/>
    <n v="10035"/>
    <n v="1559"/>
    <n v="138"/>
    <n v="8618"/>
    <n v="1645"/>
    <m/>
    <m/>
    <m/>
    <n v="0"/>
    <n v="0"/>
    <m/>
    <m/>
    <m/>
    <m/>
    <m/>
    <m/>
    <m/>
    <m/>
    <m/>
    <m/>
    <m/>
    <m/>
  </r>
  <r>
    <x v="11"/>
    <s v="Clemson University"/>
    <m/>
    <n v="217882"/>
    <x v="0"/>
    <n v="520661"/>
    <n v="606707"/>
    <n v="475117"/>
    <n v="528139"/>
    <n v="10754"/>
    <n v="34839"/>
    <n v="34790"/>
    <m/>
    <m/>
    <n v="43729"/>
    <m/>
    <m/>
    <m/>
    <m/>
    <n v="82470"/>
    <n v="89736"/>
    <n v="59356"/>
    <n v="53579"/>
    <n v="16963"/>
    <n v="24934"/>
    <n v="6151"/>
    <m/>
    <m/>
    <n v="11223"/>
    <m/>
    <m/>
    <m/>
    <m/>
  </r>
  <r>
    <x v="11"/>
    <s v="University of South Carolina-Columbia"/>
    <m/>
    <n v="218663"/>
    <x v="0"/>
    <n v="723850"/>
    <n v="903508"/>
    <n v="676701"/>
    <n v="798024"/>
    <n v="15897"/>
    <n v="27300"/>
    <n v="28721"/>
    <n v="1589"/>
    <n v="942"/>
    <n v="60623"/>
    <n v="12951"/>
    <n v="4610"/>
    <m/>
    <m/>
    <n v="109807"/>
    <n v="167884"/>
    <n v="72065"/>
    <n v="126366"/>
    <n v="6888"/>
    <n v="6034"/>
    <n v="25460"/>
    <n v="1899"/>
    <n v="3495"/>
    <n v="28115"/>
    <n v="3403"/>
    <n v="3966"/>
    <m/>
    <m/>
  </r>
  <r>
    <x v="11"/>
    <s v="College of Charleston"/>
    <m/>
    <n v="217819"/>
    <x v="2"/>
    <n v="311013"/>
    <n v="321172"/>
    <n v="304235"/>
    <n v="306076"/>
    <n v="3037"/>
    <n v="7497"/>
    <n v="3741"/>
    <m/>
    <m/>
    <n v="7599"/>
    <m/>
    <m/>
    <m/>
    <m/>
    <n v="17140"/>
    <n v="15588"/>
    <n v="9528"/>
    <n v="8949"/>
    <n v="5968"/>
    <n v="4593"/>
    <n v="1644"/>
    <m/>
    <m/>
    <n v="2046"/>
    <m/>
    <m/>
    <m/>
    <m/>
  </r>
  <r>
    <x v="11"/>
    <s v="The Citadel, the Military College of South Carolina "/>
    <m/>
    <n v="217864"/>
    <x v="2"/>
    <n v="94726"/>
    <n v="110783"/>
    <n v="93223"/>
    <n v="104967"/>
    <n v="171"/>
    <n v="1659"/>
    <n v="1233"/>
    <n v="99"/>
    <m/>
    <n v="4106"/>
    <n v="51"/>
    <m/>
    <m/>
    <m/>
    <n v="13889"/>
    <n v="13901"/>
    <n v="10475"/>
    <n v="9922"/>
    <n v="1752"/>
    <n v="1476"/>
    <n v="1662"/>
    <m/>
    <m/>
    <n v="2503"/>
    <m/>
    <m/>
    <m/>
    <m/>
  </r>
  <r>
    <x v="11"/>
    <s v="Winthrop University "/>
    <m/>
    <n v="218964"/>
    <x v="2"/>
    <n v="144803"/>
    <n v="158851"/>
    <n v="138634"/>
    <n v="149195"/>
    <n v="1679"/>
    <n v="3706"/>
    <n v="4490"/>
    <m/>
    <m/>
    <n v="5950"/>
    <m/>
    <m/>
    <m/>
    <m/>
    <n v="17905"/>
    <n v="24493"/>
    <n v="13556"/>
    <n v="21568"/>
    <n v="2576"/>
    <n v="2108"/>
    <n v="1773"/>
    <m/>
    <m/>
    <n v="817"/>
    <m/>
    <m/>
    <m/>
    <m/>
  </r>
  <r>
    <x v="11"/>
    <s v="Coastal Carolina University"/>
    <s v="Met the criteria for Four-Year 4 in 2013-14 and 2014-15."/>
    <n v="218724"/>
    <x v="4"/>
    <n v="254805"/>
    <n v="275731"/>
    <n v="234185"/>
    <n v="243704"/>
    <n v="1814"/>
    <n v="3150"/>
    <n v="18806"/>
    <m/>
    <m/>
    <n v="28877"/>
    <m/>
    <m/>
    <m/>
    <m/>
    <n v="11154"/>
    <n v="11639"/>
    <n v="4685"/>
    <n v="5691"/>
    <n v="2172"/>
    <n v="1311"/>
    <n v="4297"/>
    <m/>
    <m/>
    <n v="4637"/>
    <m/>
    <m/>
    <m/>
    <m/>
  </r>
  <r>
    <x v="11"/>
    <s v="Francis Marion University "/>
    <m/>
    <n v="218061"/>
    <x v="4"/>
    <n v="101112"/>
    <n v="103758"/>
    <n v="99627"/>
    <n v="99759"/>
    <n v="304"/>
    <n v="1373"/>
    <n v="1181"/>
    <m/>
    <m/>
    <n v="2626"/>
    <m/>
    <m/>
    <m/>
    <m/>
    <n v="5912"/>
    <n v="6570"/>
    <n v="3746"/>
    <n v="4155"/>
    <n v="1113"/>
    <n v="885"/>
    <n v="1053"/>
    <m/>
    <m/>
    <n v="1530"/>
    <m/>
    <m/>
    <m/>
    <m/>
  </r>
  <r>
    <x v="11"/>
    <s v="South Carolina State University "/>
    <m/>
    <n v="218733"/>
    <x v="4"/>
    <n v="88130"/>
    <n v="91612"/>
    <n v="84953"/>
    <n v="87787"/>
    <m/>
    <m/>
    <n v="3177"/>
    <m/>
    <m/>
    <n v="3825"/>
    <m/>
    <m/>
    <m/>
    <m/>
    <n v="9387"/>
    <n v="8874"/>
    <n v="8358"/>
    <n v="7929"/>
    <m/>
    <m/>
    <n v="1029"/>
    <m/>
    <m/>
    <n v="945"/>
    <m/>
    <m/>
    <m/>
    <m/>
  </r>
  <r>
    <x v="11"/>
    <s v="Lander University"/>
    <m/>
    <n v="218229"/>
    <x v="5"/>
    <n v="81922"/>
    <n v="79605"/>
    <n v="75040"/>
    <n v="73019"/>
    <n v="24"/>
    <n v="30"/>
    <n v="6858"/>
    <m/>
    <m/>
    <n v="6556"/>
    <m/>
    <m/>
    <m/>
    <m/>
    <n v="1791"/>
    <n v="1575"/>
    <n v="1233"/>
    <n v="927"/>
    <n v="39"/>
    <n v="15"/>
    <n v="519"/>
    <m/>
    <m/>
    <n v="633"/>
    <m/>
    <m/>
    <m/>
    <m/>
  </r>
  <r>
    <x v="11"/>
    <s v="University of South Carolina-Aiken"/>
    <m/>
    <n v="218645"/>
    <x v="5"/>
    <n v="86857"/>
    <n v="89448"/>
    <n v="78274"/>
    <n v="77065"/>
    <n v="3871"/>
    <n v="4979"/>
    <n v="4424"/>
    <m/>
    <n v="288"/>
    <n v="7404"/>
    <m/>
    <m/>
    <m/>
    <m/>
    <n v="1767"/>
    <n v="4520"/>
    <n v="880"/>
    <n v="2875"/>
    <n v="164"/>
    <n v="61"/>
    <n v="723"/>
    <m/>
    <m/>
    <n v="1584"/>
    <m/>
    <m/>
    <m/>
    <m/>
  </r>
  <r>
    <x v="11"/>
    <s v="University of South Carolina-Beaufort"/>
    <m/>
    <n v="218654"/>
    <x v="5"/>
    <n v="50914"/>
    <n v="46512"/>
    <n v="44907"/>
    <n v="39597"/>
    <n v="4360"/>
    <n v="1165"/>
    <n v="1647"/>
    <m/>
    <m/>
    <n v="5630"/>
    <m/>
    <n v="120"/>
    <m/>
    <m/>
    <n v="0"/>
    <n v="0"/>
    <n v="0"/>
    <m/>
    <m/>
    <m/>
    <m/>
    <m/>
    <m/>
    <m/>
    <m/>
    <m/>
    <m/>
    <m/>
  </r>
  <r>
    <x v="11"/>
    <s v="University of South Carolina-Upstate"/>
    <m/>
    <n v="218742"/>
    <x v="5"/>
    <n v="158792"/>
    <n v="150269"/>
    <n v="132468"/>
    <n v="123267"/>
    <n v="9715"/>
    <n v="9664"/>
    <n v="15607"/>
    <n v="978"/>
    <n v="24"/>
    <n v="16774"/>
    <n v="564"/>
    <m/>
    <m/>
    <m/>
    <n v="1638"/>
    <n v="4668"/>
    <n v="552"/>
    <n v="3351"/>
    <n v="90"/>
    <m/>
    <n v="996"/>
    <m/>
    <m/>
    <n v="1257"/>
    <n v="60"/>
    <m/>
    <m/>
    <m/>
  </r>
  <r>
    <x v="11"/>
    <s v="Florence-Darlington Technical College "/>
    <m/>
    <n v="218025"/>
    <x v="6"/>
    <n v="152536"/>
    <n v="137560"/>
    <n v="105158"/>
    <n v="89294"/>
    <n v="9226"/>
    <n v="9605"/>
    <n v="32086"/>
    <n v="6066"/>
    <m/>
    <n v="32775"/>
    <n v="5886"/>
    <m/>
    <m/>
    <m/>
    <n v="0"/>
    <n v="0"/>
    <m/>
    <m/>
    <m/>
    <m/>
    <m/>
    <m/>
    <m/>
    <m/>
    <m/>
    <m/>
    <m/>
    <m/>
  </r>
  <r>
    <x v="11"/>
    <s v="Greenville Technical College "/>
    <m/>
    <n v="218113"/>
    <x v="6"/>
    <n v="327708"/>
    <n v="266598"/>
    <n v="247854"/>
    <n v="187176"/>
    <n v="15213"/>
    <n v="15662"/>
    <n v="64641"/>
    <m/>
    <m/>
    <n v="63760"/>
    <m/>
    <m/>
    <m/>
    <m/>
    <n v="0"/>
    <n v="0"/>
    <m/>
    <m/>
    <m/>
    <m/>
    <m/>
    <m/>
    <m/>
    <m/>
    <m/>
    <m/>
    <m/>
    <m/>
  </r>
  <r>
    <x v="11"/>
    <s v="Horry-Georgetown Technical College "/>
    <m/>
    <n v="218140"/>
    <x v="6"/>
    <n v="183463"/>
    <n v="166199"/>
    <n v="138861"/>
    <n v="111778"/>
    <n v="7420"/>
    <n v="9146"/>
    <n v="37182"/>
    <m/>
    <m/>
    <n v="45275"/>
    <m/>
    <m/>
    <m/>
    <m/>
    <n v="0"/>
    <n v="0"/>
    <m/>
    <m/>
    <m/>
    <m/>
    <m/>
    <m/>
    <m/>
    <m/>
    <m/>
    <m/>
    <m/>
    <m/>
  </r>
  <r>
    <x v="11"/>
    <s v="Midlands Technical College "/>
    <m/>
    <n v="218353"/>
    <x v="6"/>
    <n v="302425"/>
    <n v="256118"/>
    <n v="239031"/>
    <n v="193510"/>
    <n v="15100"/>
    <n v="13701"/>
    <n v="48294"/>
    <m/>
    <m/>
    <n v="48907"/>
    <m/>
    <m/>
    <m/>
    <m/>
    <n v="0"/>
    <n v="0"/>
    <m/>
    <m/>
    <m/>
    <m/>
    <m/>
    <m/>
    <m/>
    <m/>
    <m/>
    <m/>
    <m/>
    <m/>
  </r>
  <r>
    <x v="11"/>
    <s v="Piedmont Technical College "/>
    <s v="Met the criteria for Two-Year 2 in 2014-15."/>
    <n v="218520"/>
    <x v="6"/>
    <n v="169108"/>
    <n v="131679"/>
    <n v="99721"/>
    <n v="61320"/>
    <n v="15484"/>
    <n v="11916"/>
    <n v="46684"/>
    <n v="7219"/>
    <m/>
    <n v="51532"/>
    <n v="6911"/>
    <m/>
    <m/>
    <m/>
    <n v="0"/>
    <n v="0"/>
    <m/>
    <m/>
    <m/>
    <m/>
    <m/>
    <m/>
    <m/>
    <m/>
    <m/>
    <m/>
    <m/>
    <m/>
  </r>
  <r>
    <x v="11"/>
    <s v="Tri-County Technical College "/>
    <m/>
    <n v="218885"/>
    <x v="6"/>
    <n v="169450"/>
    <n v="154944"/>
    <n v="132953"/>
    <n v="116857"/>
    <n v="5964"/>
    <n v="6031"/>
    <n v="30533"/>
    <m/>
    <m/>
    <n v="32056"/>
    <m/>
    <m/>
    <m/>
    <m/>
    <n v="0"/>
    <n v="0"/>
    <m/>
    <m/>
    <m/>
    <m/>
    <m/>
    <m/>
    <m/>
    <m/>
    <m/>
    <m/>
    <m/>
    <m/>
  </r>
  <r>
    <x v="11"/>
    <s v="Trident Technical College "/>
    <m/>
    <n v="218894"/>
    <x v="6"/>
    <n v="427493"/>
    <n v="372456"/>
    <n v="302703"/>
    <n v="244850"/>
    <n v="18448"/>
    <n v="21171"/>
    <n v="106342"/>
    <m/>
    <m/>
    <n v="106435"/>
    <m/>
    <m/>
    <m/>
    <m/>
    <n v="0"/>
    <n v="0"/>
    <m/>
    <m/>
    <m/>
    <m/>
    <m/>
    <m/>
    <m/>
    <m/>
    <m/>
    <m/>
    <m/>
    <m/>
  </r>
  <r>
    <x v="11"/>
    <s v="Aiken Technical College "/>
    <s v="Met the criteria for Two-Year 3 in 2014-15."/>
    <n v="217615"/>
    <x v="7"/>
    <n v="73479"/>
    <n v="53726"/>
    <n v="58274"/>
    <n v="39177"/>
    <n v="4319"/>
    <n v="3441"/>
    <n v="10886"/>
    <m/>
    <m/>
    <n v="11108"/>
    <m/>
    <m/>
    <m/>
    <m/>
    <n v="0"/>
    <n v="0"/>
    <m/>
    <m/>
    <m/>
    <m/>
    <m/>
    <m/>
    <m/>
    <m/>
    <m/>
    <m/>
    <m/>
    <m/>
  </r>
  <r>
    <x v="11"/>
    <s v="Central Carolina Technical College "/>
    <m/>
    <n v="218858"/>
    <x v="7"/>
    <n v="95037"/>
    <n v="81806"/>
    <n v="72183"/>
    <n v="60140"/>
    <n v="1947"/>
    <n v="2397"/>
    <n v="20907"/>
    <m/>
    <m/>
    <n v="19269"/>
    <m/>
    <m/>
    <m/>
    <m/>
    <n v="0"/>
    <n v="0"/>
    <m/>
    <m/>
    <m/>
    <m/>
    <m/>
    <m/>
    <m/>
    <m/>
    <m/>
    <m/>
    <m/>
    <m/>
  </r>
  <r>
    <x v="11"/>
    <s v="Orangeburg-Calhoun Technical College "/>
    <m/>
    <n v="218487"/>
    <x v="7"/>
    <n v="70765"/>
    <n v="63519"/>
    <n v="53761"/>
    <n v="43900"/>
    <n v="7603"/>
    <n v="9610"/>
    <n v="9401"/>
    <m/>
    <m/>
    <n v="10009"/>
    <m/>
    <m/>
    <m/>
    <m/>
    <n v="0"/>
    <n v="0"/>
    <m/>
    <m/>
    <m/>
    <m/>
    <m/>
    <m/>
    <m/>
    <m/>
    <m/>
    <m/>
    <m/>
    <m/>
  </r>
  <r>
    <x v="11"/>
    <s v="Spartanburg Community College "/>
    <m/>
    <n v="218830"/>
    <x v="7"/>
    <n v="144060"/>
    <n v="119672"/>
    <n v="108556"/>
    <n v="85541"/>
    <n v="11633"/>
    <n v="11253"/>
    <n v="23871"/>
    <m/>
    <m/>
    <n v="22878"/>
    <m/>
    <m/>
    <m/>
    <m/>
    <n v="0"/>
    <n v="0"/>
    <m/>
    <m/>
    <m/>
    <m/>
    <m/>
    <m/>
    <m/>
    <m/>
    <m/>
    <m/>
    <m/>
    <m/>
  </r>
  <r>
    <x v="11"/>
    <s v="York Technical College "/>
    <m/>
    <n v="218991"/>
    <x v="7"/>
    <n v="123707"/>
    <n v="115474"/>
    <n v="96094"/>
    <n v="85353"/>
    <n v="4351"/>
    <n v="5149"/>
    <n v="21458"/>
    <n v="1804"/>
    <m/>
    <n v="23148"/>
    <n v="1823"/>
    <n v="1"/>
    <m/>
    <m/>
    <n v="0"/>
    <n v="0"/>
    <m/>
    <m/>
    <m/>
    <m/>
    <m/>
    <m/>
    <m/>
    <m/>
    <m/>
    <m/>
    <m/>
    <m/>
  </r>
  <r>
    <x v="11"/>
    <s v="Denmark Technical College "/>
    <m/>
    <n v="217989"/>
    <x v="8"/>
    <n v="58098"/>
    <n v="53836"/>
    <n v="57141"/>
    <n v="53358"/>
    <n v="957"/>
    <n v="478"/>
    <m/>
    <m/>
    <m/>
    <m/>
    <m/>
    <m/>
    <m/>
    <m/>
    <n v="0"/>
    <n v="0"/>
    <m/>
    <m/>
    <m/>
    <m/>
    <m/>
    <m/>
    <m/>
    <m/>
    <m/>
    <m/>
    <m/>
    <m/>
  </r>
  <r>
    <x v="11"/>
    <s v="Northeastern Technical College "/>
    <m/>
    <n v="217837"/>
    <x v="8"/>
    <n v="31636"/>
    <n v="25591"/>
    <n v="20144"/>
    <n v="13718"/>
    <n v="317"/>
    <n v="331"/>
    <n v="7212"/>
    <n v="3963"/>
    <m/>
    <n v="7354"/>
    <n v="4188"/>
    <m/>
    <m/>
    <m/>
    <n v="0"/>
    <n v="0"/>
    <m/>
    <m/>
    <m/>
    <m/>
    <m/>
    <m/>
    <m/>
    <m/>
    <m/>
    <m/>
    <m/>
    <m/>
  </r>
  <r>
    <x v="11"/>
    <s v="Technical College of the Lowcountry"/>
    <m/>
    <n v="217712"/>
    <x v="8"/>
    <n v="54813"/>
    <n v="50125"/>
    <n v="42517"/>
    <n v="36359"/>
    <n v="1634"/>
    <n v="2026"/>
    <n v="10662"/>
    <m/>
    <m/>
    <n v="11740"/>
    <m/>
    <m/>
    <m/>
    <m/>
    <n v="0"/>
    <n v="0"/>
    <m/>
    <m/>
    <m/>
    <m/>
    <m/>
    <m/>
    <m/>
    <m/>
    <m/>
    <m/>
    <m/>
    <m/>
  </r>
  <r>
    <x v="11"/>
    <s v="University of South Carolina-Lancaster"/>
    <m/>
    <n v="218672"/>
    <x v="8"/>
    <n v="33157"/>
    <n v="34135"/>
    <n v="31551"/>
    <n v="26960"/>
    <n v="214"/>
    <n v="189"/>
    <n v="1392"/>
    <m/>
    <m/>
    <n v="1065"/>
    <m/>
    <n v="5921"/>
    <m/>
    <m/>
    <n v="0"/>
    <n v="0"/>
    <m/>
    <m/>
    <m/>
    <m/>
    <m/>
    <m/>
    <m/>
    <m/>
    <m/>
    <m/>
    <m/>
    <m/>
  </r>
  <r>
    <x v="11"/>
    <s v="University of South Carolina-Salkehatchie"/>
    <m/>
    <n v="218681"/>
    <x v="8"/>
    <n v="25544"/>
    <n v="22405"/>
    <n v="21503"/>
    <n v="20769"/>
    <m/>
    <n v="709"/>
    <n v="621"/>
    <m/>
    <n v="3420"/>
    <n v="927"/>
    <m/>
    <m/>
    <m/>
    <m/>
    <n v="0"/>
    <n v="0"/>
    <m/>
    <m/>
    <m/>
    <m/>
    <m/>
    <m/>
    <m/>
    <m/>
    <m/>
    <m/>
    <m/>
    <m/>
  </r>
  <r>
    <x v="11"/>
    <s v="University of South Carolina-Sumter"/>
    <m/>
    <n v="218690"/>
    <x v="8"/>
    <n v="23566"/>
    <n v="20299"/>
    <n v="20872"/>
    <n v="17656"/>
    <n v="2265"/>
    <n v="1952"/>
    <n v="429"/>
    <m/>
    <m/>
    <n v="691"/>
    <m/>
    <m/>
    <m/>
    <m/>
    <n v="0"/>
    <n v="0"/>
    <m/>
    <m/>
    <m/>
    <m/>
    <m/>
    <m/>
    <m/>
    <m/>
    <m/>
    <m/>
    <m/>
    <m/>
  </r>
  <r>
    <x v="11"/>
    <s v="University of South Carolina-Union"/>
    <m/>
    <n v="218706"/>
    <x v="8"/>
    <n v="11776"/>
    <n v="12066"/>
    <n v="10524"/>
    <n v="9544"/>
    <n v="1213"/>
    <n v="2289"/>
    <n v="39"/>
    <m/>
    <m/>
    <n v="233"/>
    <m/>
    <m/>
    <m/>
    <m/>
    <n v="0"/>
    <n v="0"/>
    <m/>
    <m/>
    <m/>
    <m/>
    <m/>
    <m/>
    <m/>
    <m/>
    <m/>
    <m/>
    <m/>
    <m/>
  </r>
  <r>
    <x v="11"/>
    <s v="Willamsburg Technical College "/>
    <m/>
    <n v="218955"/>
    <x v="8"/>
    <n v="16810"/>
    <n v="14938"/>
    <n v="15692"/>
    <n v="12862"/>
    <n v="1118"/>
    <n v="2076"/>
    <m/>
    <m/>
    <m/>
    <m/>
    <m/>
    <m/>
    <m/>
    <m/>
    <n v="0"/>
    <n v="0"/>
    <m/>
    <m/>
    <m/>
    <m/>
    <m/>
    <m/>
    <m/>
    <m/>
    <m/>
    <m/>
    <m/>
    <m/>
  </r>
  <r>
    <x v="12"/>
    <s v="University of Memphis"/>
    <m/>
    <n v="220862"/>
    <x v="0"/>
    <n v="420927"/>
    <n v="410921"/>
    <n v="318911"/>
    <n v="303621"/>
    <n v="20118"/>
    <n v="18790"/>
    <n v="58872"/>
    <m/>
    <n v="19905"/>
    <n v="63045"/>
    <m/>
    <n v="23340"/>
    <n v="3121"/>
    <n v="2125"/>
    <n v="67596"/>
    <n v="61550"/>
    <n v="41526"/>
    <n v="37929"/>
    <n v="443"/>
    <n v="276"/>
    <n v="16783"/>
    <n v="228"/>
    <n v="3051"/>
    <n v="15906"/>
    <n v="189"/>
    <n v="2815"/>
    <n v="5565"/>
    <n v="4435"/>
  </r>
  <r>
    <x v="12"/>
    <s v="University of Tennessee, Knoxville"/>
    <m/>
    <n v="221759"/>
    <x v="0"/>
    <n v="577315"/>
    <n v="587902"/>
    <n v="561764"/>
    <n v="568523"/>
    <n v="7"/>
    <n v="15"/>
    <n v="10417"/>
    <n v="3"/>
    <n v="1392"/>
    <n v="13989"/>
    <n v="3"/>
    <n v="1456"/>
    <n v="3732"/>
    <n v="3916"/>
    <n v="94572.5"/>
    <n v="91887.5"/>
    <n v="73851.5"/>
    <n v="71180.5"/>
    <n v="2882"/>
    <n v="3013"/>
    <n v="13442"/>
    <n v="53"/>
    <n v="1367"/>
    <n v="13629"/>
    <n v="181"/>
    <n v="1331"/>
    <n v="2977"/>
    <n v="2553"/>
  </r>
  <r>
    <x v="12"/>
    <s v="Tennessee State University "/>
    <m/>
    <n v="221838"/>
    <x v="1"/>
    <n v="176247"/>
    <n v="183724"/>
    <n v="138610"/>
    <n v="145988"/>
    <n v="22590"/>
    <n v="21829"/>
    <n v="13543"/>
    <m/>
    <n v="1158"/>
    <n v="14154"/>
    <m/>
    <n v="1411"/>
    <n v="346"/>
    <n v="342"/>
    <n v="31476"/>
    <n v="30462"/>
    <n v="14668"/>
    <n v="14800"/>
    <n v="7061"/>
    <n v="7074"/>
    <n v="7660"/>
    <m/>
    <n v="499"/>
    <n v="6620"/>
    <m/>
    <n v="692"/>
    <n v="1588"/>
    <n v="1276"/>
  </r>
  <r>
    <x v="12"/>
    <s v="Austin Peay State University "/>
    <m/>
    <n v="219602"/>
    <x v="2"/>
    <n v="246269"/>
    <n v="235384"/>
    <n v="158187"/>
    <n v="153897"/>
    <n v="13966"/>
    <n v="11521"/>
    <n v="69626"/>
    <m/>
    <n v="4153"/>
    <n v="64102"/>
    <m/>
    <n v="5603"/>
    <n v="337"/>
    <n v="261"/>
    <n v="14892"/>
    <n v="14785"/>
    <n v="4793"/>
    <n v="4345"/>
    <n v="305"/>
    <n v="375"/>
    <n v="9382"/>
    <m/>
    <n v="389"/>
    <n v="9477"/>
    <m/>
    <n v="560"/>
    <n v="23"/>
    <n v="28"/>
  </r>
  <r>
    <x v="12"/>
    <s v="East Tennessee State University "/>
    <s v="Met the criteria for Four-Year 2 in 2013-14 and 2014-15."/>
    <n v="220075"/>
    <x v="2"/>
    <n v="308031"/>
    <n v="299596"/>
    <n v="213236"/>
    <n v="199672"/>
    <n v="6865"/>
    <n v="6833"/>
    <n v="60537"/>
    <n v="7320"/>
    <n v="18349"/>
    <n v="63628"/>
    <n v="7235"/>
    <n v="20251"/>
    <n v="1724"/>
    <n v="1977"/>
    <n v="39483"/>
    <n v="40814"/>
    <n v="18763"/>
    <n v="18622"/>
    <n v="507"/>
    <n v="177"/>
    <n v="15983"/>
    <n v="453"/>
    <n v="1551"/>
    <n v="17919"/>
    <n v="265"/>
    <n v="1534"/>
    <n v="2226"/>
    <n v="2297"/>
  </r>
  <r>
    <x v="12"/>
    <s v="Middle Tennessee State University "/>
    <m/>
    <n v="220978"/>
    <x v="2"/>
    <n v="556414"/>
    <n v="532652"/>
    <n v="468052"/>
    <n v="445736"/>
    <n v="693"/>
    <n v="835"/>
    <n v="61442"/>
    <n v="669"/>
    <n v="20974"/>
    <n v="61273"/>
    <n v="393"/>
    <n v="20140"/>
    <n v="4584"/>
    <n v="4275"/>
    <n v="43368"/>
    <n v="39088"/>
    <n v="26761"/>
    <n v="23684"/>
    <n v="1614"/>
    <n v="1419"/>
    <n v="12231"/>
    <n v="51"/>
    <n v="820"/>
    <n v="11438"/>
    <n v="30"/>
    <n v="752"/>
    <n v="1891"/>
    <n v="1765"/>
  </r>
  <r>
    <x v="12"/>
    <s v="Tennessee Technological University "/>
    <m/>
    <n v="221847"/>
    <x v="2"/>
    <n v="260614"/>
    <n v="272548"/>
    <n v="167266"/>
    <n v="178001"/>
    <n v="6894"/>
    <n v="3660"/>
    <n v="19035"/>
    <m/>
    <n v="63081"/>
    <n v="19769"/>
    <m/>
    <n v="66438"/>
    <n v="4338"/>
    <n v="4680"/>
    <n v="16283"/>
    <n v="15238"/>
    <n v="4784"/>
    <n v="4447"/>
    <n v="81"/>
    <n v="21"/>
    <n v="7373"/>
    <m/>
    <n v="3375"/>
    <n v="6831"/>
    <m/>
    <n v="3061"/>
    <n v="670"/>
    <n v="878"/>
  </r>
  <r>
    <x v="12"/>
    <s v="University of Tennessee at Chattanooga"/>
    <m/>
    <n v="221740"/>
    <x v="2"/>
    <n v="275250"/>
    <n v="275979"/>
    <n v="251752"/>
    <n v="247063"/>
    <n v="686"/>
    <n v="762"/>
    <n v="19434"/>
    <m/>
    <n v="2260"/>
    <n v="27096"/>
    <m/>
    <n v="3"/>
    <n v="1118"/>
    <n v="1055"/>
    <n v="24091"/>
    <n v="23550"/>
    <n v="17126"/>
    <n v="16229"/>
    <m/>
    <m/>
    <n v="5456"/>
    <n v="666"/>
    <n v="492"/>
    <n v="6712"/>
    <n v="144"/>
    <n v="198"/>
    <n v="351"/>
    <n v="267"/>
  </r>
  <r>
    <x v="12"/>
    <s v="University of Tennessee at Martin"/>
    <m/>
    <n v="221768"/>
    <x v="4"/>
    <n v="193882"/>
    <n v="186493"/>
    <n v="161449"/>
    <n v="152434"/>
    <n v="15492"/>
    <n v="14895"/>
    <n v="15048"/>
    <n v="1672"/>
    <m/>
    <n v="16260"/>
    <n v="2556"/>
    <n v="36"/>
    <n v="221"/>
    <n v="312"/>
    <n v="6746"/>
    <n v="5817"/>
    <n v="1415"/>
    <n v="905"/>
    <m/>
    <m/>
    <n v="5325"/>
    <n v="3"/>
    <m/>
    <n v="4909"/>
    <m/>
    <m/>
    <n v="3"/>
    <n v="3"/>
  </r>
  <r>
    <x v="12"/>
    <s v="Chattanooga State Technical Community College "/>
    <m/>
    <n v="219824"/>
    <x v="6"/>
    <n v="198166"/>
    <n v="183469"/>
    <n v="110115"/>
    <n v="103574"/>
    <n v="15944"/>
    <n v="12547"/>
    <n v="45013"/>
    <m/>
    <n v="26619"/>
    <n v="44490"/>
    <m/>
    <n v="22588"/>
    <n v="475"/>
    <n v="270"/>
    <n v="0"/>
    <n v="0"/>
    <m/>
    <m/>
    <m/>
    <m/>
    <m/>
    <m/>
    <m/>
    <m/>
    <m/>
    <m/>
    <m/>
    <m/>
  </r>
  <r>
    <x v="12"/>
    <s v="Nashville State Technical Community College"/>
    <m/>
    <n v="221184"/>
    <x v="6"/>
    <n v="193326"/>
    <n v="189399"/>
    <n v="113212"/>
    <n v="112231"/>
    <n v="27794"/>
    <n v="26238"/>
    <n v="46999"/>
    <m/>
    <n v="5182"/>
    <n v="44728"/>
    <m/>
    <n v="6158"/>
    <n v="139"/>
    <n v="44"/>
    <n v="0"/>
    <n v="0"/>
    <m/>
    <m/>
    <m/>
    <m/>
    <m/>
    <m/>
    <m/>
    <m/>
    <m/>
    <m/>
    <m/>
    <m/>
  </r>
  <r>
    <x v="12"/>
    <s v="Pellissippi State Technical Community College"/>
    <m/>
    <n v="221643"/>
    <x v="6"/>
    <n v="222341.5"/>
    <n v="211657.5"/>
    <n v="131152"/>
    <n v="122957"/>
    <n v="53580.5"/>
    <n v="54646.5"/>
    <n v="29631"/>
    <n v="1139"/>
    <n v="6673"/>
    <n v="26584"/>
    <n v="686"/>
    <n v="6615"/>
    <n v="166"/>
    <n v="169"/>
    <n v="0"/>
    <n v="0"/>
    <m/>
    <m/>
    <m/>
    <m/>
    <m/>
    <m/>
    <m/>
    <m/>
    <m/>
    <m/>
    <m/>
    <m/>
  </r>
  <r>
    <x v="12"/>
    <s v="Southwest Tennessee Community College"/>
    <m/>
    <n v="221485"/>
    <x v="6"/>
    <n v="209694"/>
    <n v="179025"/>
    <n v="20725"/>
    <n v="15868"/>
    <n v="160346"/>
    <n v="131122"/>
    <n v="23633"/>
    <n v="44"/>
    <n v="4934"/>
    <n v="25527"/>
    <m/>
    <n v="6496"/>
    <n v="12"/>
    <n v="12"/>
    <n v="0"/>
    <n v="0"/>
    <m/>
    <m/>
    <m/>
    <m/>
    <m/>
    <m/>
    <m/>
    <m/>
    <m/>
    <m/>
    <m/>
    <m/>
  </r>
  <r>
    <x v="12"/>
    <s v="Volunteer State Community College "/>
    <m/>
    <n v="222053"/>
    <x v="6"/>
    <n v="156625"/>
    <n v="148992"/>
    <n v="89936"/>
    <n v="87798"/>
    <n v="19678"/>
    <n v="17771"/>
    <n v="42883"/>
    <n v="427"/>
    <n v="3387"/>
    <n v="40241"/>
    <n v="147"/>
    <n v="2706"/>
    <n v="314"/>
    <n v="329"/>
    <n v="0"/>
    <n v="0"/>
    <m/>
    <m/>
    <m/>
    <m/>
    <m/>
    <m/>
    <m/>
    <m/>
    <m/>
    <m/>
    <m/>
    <m/>
  </r>
  <r>
    <x v="12"/>
    <s v="Cleveland State Community College "/>
    <m/>
    <n v="219879"/>
    <x v="7"/>
    <n v="62193"/>
    <n v="67984"/>
    <n v="35301"/>
    <n v="40297"/>
    <n v="7011"/>
    <n v="9106"/>
    <n v="10582"/>
    <n v="126"/>
    <n v="8179"/>
    <n v="10138"/>
    <n v="195"/>
    <n v="7389"/>
    <n v="994"/>
    <n v="859"/>
    <n v="0"/>
    <n v="0"/>
    <m/>
    <m/>
    <m/>
    <m/>
    <m/>
    <m/>
    <m/>
    <m/>
    <m/>
    <m/>
    <m/>
    <m/>
  </r>
  <r>
    <x v="12"/>
    <s v="Columbia State Community College "/>
    <m/>
    <n v="219888"/>
    <x v="7"/>
    <n v="100810"/>
    <n v="98894"/>
    <n v="37488"/>
    <n v="35819"/>
    <n v="33094"/>
    <n v="30648"/>
    <n v="19586"/>
    <n v="5145"/>
    <n v="5432"/>
    <n v="20196"/>
    <n v="5574"/>
    <n v="6605"/>
    <n v="65"/>
    <n v="52"/>
    <n v="0"/>
    <n v="0"/>
    <m/>
    <m/>
    <m/>
    <m/>
    <m/>
    <m/>
    <m/>
    <m/>
    <m/>
    <m/>
    <m/>
    <m/>
  </r>
  <r>
    <x v="12"/>
    <s v="Dyersburg State Community College "/>
    <s v="Met the criteria for Two-Year 3 in 2014-15."/>
    <n v="220057"/>
    <x v="7"/>
    <n v="60998"/>
    <n v="52366"/>
    <n v="22153"/>
    <n v="19041"/>
    <n v="23306"/>
    <n v="19698"/>
    <n v="11818"/>
    <n v="2608"/>
    <n v="949"/>
    <n v="9820"/>
    <n v="2396"/>
    <n v="1095"/>
    <n v="164"/>
    <n v="316"/>
    <n v="0"/>
    <n v="0"/>
    <m/>
    <m/>
    <m/>
    <m/>
    <m/>
    <m/>
    <m/>
    <m/>
    <m/>
    <m/>
    <m/>
    <m/>
  </r>
  <r>
    <x v="12"/>
    <s v="Jackson State Community College "/>
    <m/>
    <n v="220400"/>
    <x v="7"/>
    <n v="84967"/>
    <n v="83932"/>
    <n v="47167"/>
    <n v="45144"/>
    <n v="7878"/>
    <n v="9982"/>
    <n v="19986"/>
    <n v="3383"/>
    <n v="6428"/>
    <n v="18963"/>
    <n v="4071"/>
    <n v="5678"/>
    <n v="125"/>
    <n v="94"/>
    <n v="0"/>
    <n v="0"/>
    <m/>
    <m/>
    <m/>
    <m/>
    <m/>
    <m/>
    <m/>
    <m/>
    <m/>
    <m/>
    <m/>
    <m/>
  </r>
  <r>
    <x v="12"/>
    <s v="Motlow State Community College "/>
    <m/>
    <n v="221096"/>
    <x v="7"/>
    <n v="91804"/>
    <n v="91223"/>
    <n v="24139"/>
    <n v="22778"/>
    <n v="44996"/>
    <n v="43912"/>
    <n v="15552"/>
    <n v="4644"/>
    <n v="2073"/>
    <n v="15817"/>
    <n v="4999"/>
    <n v="3425"/>
    <n v="400"/>
    <n v="292"/>
    <n v="0"/>
    <n v="0"/>
    <m/>
    <m/>
    <m/>
    <m/>
    <m/>
    <m/>
    <m/>
    <m/>
    <m/>
    <m/>
    <m/>
    <m/>
  </r>
  <r>
    <x v="12"/>
    <s v="Northeast State Technical Community College"/>
    <m/>
    <n v="221908"/>
    <x v="7"/>
    <n v="127453"/>
    <n v="117823"/>
    <n v="72718"/>
    <n v="65235"/>
    <n v="32071"/>
    <n v="31767"/>
    <n v="18099"/>
    <n v="3953"/>
    <n v="584"/>
    <n v="16023"/>
    <n v="4391"/>
    <n v="376"/>
    <n v="28"/>
    <n v="31"/>
    <n v="0"/>
    <n v="0"/>
    <m/>
    <m/>
    <m/>
    <m/>
    <m/>
    <m/>
    <m/>
    <m/>
    <m/>
    <m/>
    <m/>
    <m/>
  </r>
  <r>
    <x v="12"/>
    <s v="Roane State Community College "/>
    <m/>
    <n v="221397"/>
    <x v="7"/>
    <n v="114809"/>
    <n v="107262"/>
    <n v="22001"/>
    <n v="22135"/>
    <n v="52464"/>
    <n v="48447"/>
    <n v="26659"/>
    <n v="6598"/>
    <n v="7031"/>
    <n v="24695"/>
    <n v="5639"/>
    <n v="6289"/>
    <n v="56"/>
    <n v="57"/>
    <n v="0"/>
    <n v="0"/>
    <m/>
    <m/>
    <m/>
    <m/>
    <m/>
    <m/>
    <m/>
    <m/>
    <m/>
    <m/>
    <m/>
    <m/>
  </r>
  <r>
    <x v="12"/>
    <s v="Walters State Community College "/>
    <m/>
    <n v="222062"/>
    <x v="7"/>
    <n v="121181"/>
    <n v="113865"/>
    <n v="53513"/>
    <n v="47872"/>
    <n v="42185"/>
    <n v="39577"/>
    <n v="15862"/>
    <n v="6570"/>
    <n v="3051"/>
    <n v="16986"/>
    <n v="6096"/>
    <n v="3326"/>
    <m/>
    <n v="8"/>
    <n v="0"/>
    <n v="0"/>
    <m/>
    <m/>
    <m/>
    <m/>
    <m/>
    <m/>
    <m/>
    <m/>
    <m/>
    <m/>
    <m/>
    <m/>
  </r>
  <r>
    <x v="12"/>
    <s v="Tennessee College of Applied Technology at Chattanooga"/>
    <m/>
    <s v="219824B"/>
    <x v="9"/>
    <n v="0"/>
    <n v="0"/>
    <m/>
    <m/>
    <m/>
    <m/>
    <m/>
    <m/>
    <m/>
    <m/>
    <m/>
    <m/>
    <m/>
    <m/>
    <n v="0"/>
    <n v="0"/>
    <m/>
    <m/>
    <m/>
    <m/>
    <m/>
    <m/>
    <m/>
    <m/>
    <m/>
    <m/>
    <m/>
    <m/>
  </r>
  <r>
    <x v="12"/>
    <s v="Tennessee College of Applied Technology at Athens"/>
    <m/>
    <n v="219596"/>
    <x v="10"/>
    <n v="0"/>
    <n v="0"/>
    <m/>
    <m/>
    <m/>
    <m/>
    <m/>
    <m/>
    <m/>
    <m/>
    <m/>
    <m/>
    <m/>
    <m/>
    <n v="0"/>
    <n v="0"/>
    <m/>
    <m/>
    <m/>
    <m/>
    <m/>
    <m/>
    <m/>
    <m/>
    <m/>
    <m/>
    <m/>
    <m/>
  </r>
  <r>
    <x v="12"/>
    <s v="Tennessee College of Applied Technology at Covington"/>
    <m/>
    <n v="219921"/>
    <x v="10"/>
    <n v="0"/>
    <n v="0"/>
    <m/>
    <m/>
    <m/>
    <m/>
    <m/>
    <m/>
    <m/>
    <m/>
    <m/>
    <m/>
    <m/>
    <m/>
    <n v="0"/>
    <n v="0"/>
    <m/>
    <m/>
    <m/>
    <m/>
    <m/>
    <m/>
    <m/>
    <m/>
    <m/>
    <m/>
    <m/>
    <m/>
  </r>
  <r>
    <x v="12"/>
    <s v="Tennessee College of Applied Technology at Crossville"/>
    <m/>
    <n v="221591"/>
    <x v="10"/>
    <n v="0"/>
    <n v="0"/>
    <m/>
    <m/>
    <m/>
    <m/>
    <m/>
    <m/>
    <m/>
    <m/>
    <m/>
    <m/>
    <m/>
    <m/>
    <n v="0"/>
    <n v="0"/>
    <m/>
    <m/>
    <m/>
    <m/>
    <m/>
    <m/>
    <m/>
    <m/>
    <m/>
    <m/>
    <m/>
    <m/>
  </r>
  <r>
    <x v="12"/>
    <s v="Tennessee College of Applied Technology at Crump"/>
    <m/>
    <n v="221430"/>
    <x v="10"/>
    <n v="0"/>
    <n v="0"/>
    <m/>
    <m/>
    <m/>
    <m/>
    <m/>
    <m/>
    <m/>
    <m/>
    <m/>
    <m/>
    <m/>
    <m/>
    <n v="0"/>
    <n v="0"/>
    <m/>
    <m/>
    <m/>
    <m/>
    <m/>
    <m/>
    <m/>
    <m/>
    <m/>
    <m/>
    <m/>
    <m/>
  </r>
  <r>
    <x v="12"/>
    <s v="Tennessee College of Applied Technology at Dickson"/>
    <m/>
    <n v="219994"/>
    <x v="10"/>
    <n v="0"/>
    <n v="0"/>
    <m/>
    <m/>
    <m/>
    <m/>
    <m/>
    <m/>
    <m/>
    <m/>
    <m/>
    <m/>
    <m/>
    <m/>
    <n v="0"/>
    <n v="0"/>
    <m/>
    <m/>
    <m/>
    <m/>
    <m/>
    <m/>
    <m/>
    <m/>
    <m/>
    <m/>
    <m/>
    <m/>
  </r>
  <r>
    <x v="12"/>
    <s v="Tennessee College of Applied Technology at Elizabethton"/>
    <m/>
    <n v="220127"/>
    <x v="10"/>
    <n v="0"/>
    <n v="0"/>
    <m/>
    <m/>
    <m/>
    <m/>
    <m/>
    <m/>
    <m/>
    <m/>
    <m/>
    <m/>
    <m/>
    <m/>
    <n v="0"/>
    <n v="0"/>
    <m/>
    <m/>
    <m/>
    <m/>
    <m/>
    <m/>
    <m/>
    <m/>
    <m/>
    <m/>
    <m/>
    <m/>
  </r>
  <r>
    <x v="12"/>
    <s v="Tennessee College of Applied Technology at Harriman"/>
    <m/>
    <n v="220251"/>
    <x v="10"/>
    <n v="0"/>
    <n v="0"/>
    <m/>
    <m/>
    <m/>
    <m/>
    <m/>
    <m/>
    <m/>
    <m/>
    <m/>
    <m/>
    <m/>
    <m/>
    <n v="0"/>
    <n v="0"/>
    <m/>
    <m/>
    <m/>
    <m/>
    <m/>
    <m/>
    <m/>
    <m/>
    <m/>
    <m/>
    <m/>
    <m/>
  </r>
  <r>
    <x v="12"/>
    <s v="Tennessee College of Applied Technology at Hartsville"/>
    <m/>
    <n v="220279"/>
    <x v="10"/>
    <n v="0"/>
    <n v="0"/>
    <m/>
    <m/>
    <m/>
    <m/>
    <m/>
    <m/>
    <m/>
    <m/>
    <m/>
    <m/>
    <m/>
    <m/>
    <n v="0"/>
    <n v="0"/>
    <m/>
    <m/>
    <m/>
    <m/>
    <m/>
    <m/>
    <m/>
    <m/>
    <m/>
    <m/>
    <m/>
    <m/>
  </r>
  <r>
    <x v="12"/>
    <s v="Tennessee College of Applied Technology at Hohenwald"/>
    <m/>
    <n v="220321"/>
    <x v="10"/>
    <n v="0"/>
    <n v="0"/>
    <m/>
    <m/>
    <m/>
    <m/>
    <m/>
    <m/>
    <m/>
    <m/>
    <m/>
    <m/>
    <m/>
    <m/>
    <n v="0"/>
    <n v="0"/>
    <m/>
    <m/>
    <m/>
    <m/>
    <m/>
    <m/>
    <m/>
    <m/>
    <m/>
    <m/>
    <m/>
    <m/>
  </r>
  <r>
    <x v="12"/>
    <s v="Tennessee College of Applied Technology at Jacksboro"/>
    <m/>
    <n v="220394"/>
    <x v="10"/>
    <n v="0"/>
    <n v="0"/>
    <m/>
    <m/>
    <m/>
    <m/>
    <m/>
    <m/>
    <m/>
    <m/>
    <m/>
    <m/>
    <m/>
    <m/>
    <n v="0"/>
    <n v="0"/>
    <m/>
    <m/>
    <m/>
    <m/>
    <m/>
    <m/>
    <m/>
    <m/>
    <m/>
    <m/>
    <m/>
    <m/>
  </r>
  <r>
    <x v="12"/>
    <s v="Tennessee College of Applied Technology at Jackson"/>
    <m/>
    <n v="221616"/>
    <x v="10"/>
    <n v="0"/>
    <n v="0"/>
    <m/>
    <m/>
    <m/>
    <m/>
    <m/>
    <m/>
    <m/>
    <m/>
    <m/>
    <m/>
    <m/>
    <m/>
    <n v="0"/>
    <n v="0"/>
    <m/>
    <m/>
    <m/>
    <m/>
    <m/>
    <m/>
    <m/>
    <m/>
    <m/>
    <m/>
    <m/>
    <m/>
  </r>
  <r>
    <x v="12"/>
    <s v="Tennessee College of Applied Technology at Knoxville"/>
    <m/>
    <n v="221625"/>
    <x v="10"/>
    <n v="0"/>
    <n v="0"/>
    <m/>
    <m/>
    <m/>
    <m/>
    <m/>
    <m/>
    <m/>
    <m/>
    <m/>
    <m/>
    <m/>
    <m/>
    <n v="0"/>
    <n v="0"/>
    <m/>
    <m/>
    <m/>
    <m/>
    <m/>
    <m/>
    <m/>
    <m/>
    <m/>
    <m/>
    <m/>
    <m/>
  </r>
  <r>
    <x v="12"/>
    <s v="Tennessee College of Applied Technology at Livingston"/>
    <m/>
    <n v="220640"/>
    <x v="10"/>
    <n v="0"/>
    <n v="0"/>
    <m/>
    <m/>
    <m/>
    <m/>
    <m/>
    <m/>
    <m/>
    <m/>
    <m/>
    <m/>
    <m/>
    <m/>
    <n v="0"/>
    <n v="0"/>
    <m/>
    <m/>
    <m/>
    <m/>
    <m/>
    <m/>
    <m/>
    <m/>
    <m/>
    <m/>
    <m/>
    <m/>
  </r>
  <r>
    <x v="12"/>
    <s v="Tennessee College of Applied Technology at McKenzie"/>
    <m/>
    <n v="220756"/>
    <x v="10"/>
    <n v="0"/>
    <n v="0"/>
    <m/>
    <m/>
    <m/>
    <m/>
    <m/>
    <m/>
    <m/>
    <m/>
    <m/>
    <m/>
    <m/>
    <m/>
    <n v="0"/>
    <n v="0"/>
    <m/>
    <m/>
    <m/>
    <m/>
    <m/>
    <m/>
    <m/>
    <m/>
    <m/>
    <m/>
    <m/>
    <m/>
  </r>
  <r>
    <x v="12"/>
    <s v="Tennessee College of Applied Technology at McMinnville"/>
    <m/>
    <n v="221607"/>
    <x v="10"/>
    <n v="0"/>
    <n v="0"/>
    <m/>
    <m/>
    <m/>
    <m/>
    <m/>
    <m/>
    <m/>
    <m/>
    <m/>
    <m/>
    <m/>
    <m/>
    <n v="0"/>
    <n v="0"/>
    <m/>
    <m/>
    <m/>
    <m/>
    <m/>
    <m/>
    <m/>
    <m/>
    <m/>
    <m/>
    <m/>
    <m/>
  </r>
  <r>
    <x v="12"/>
    <s v="Tennessee College of Applied Technology at Memphis"/>
    <m/>
    <n v="220853"/>
    <x v="10"/>
    <n v="0"/>
    <n v="0"/>
    <m/>
    <m/>
    <m/>
    <m/>
    <m/>
    <m/>
    <m/>
    <m/>
    <m/>
    <m/>
    <m/>
    <m/>
    <n v="0"/>
    <n v="0"/>
    <m/>
    <m/>
    <m/>
    <m/>
    <m/>
    <m/>
    <m/>
    <m/>
    <m/>
    <m/>
    <m/>
    <m/>
  </r>
  <r>
    <x v="12"/>
    <s v="Tennessee College of Applied Technology at Morristown"/>
    <m/>
    <n v="221050"/>
    <x v="10"/>
    <n v="0"/>
    <n v="0"/>
    <m/>
    <m/>
    <m/>
    <m/>
    <m/>
    <m/>
    <m/>
    <m/>
    <m/>
    <m/>
    <m/>
    <m/>
    <n v="0"/>
    <n v="0"/>
    <m/>
    <m/>
    <m/>
    <m/>
    <m/>
    <m/>
    <m/>
    <m/>
    <m/>
    <m/>
    <m/>
    <m/>
  </r>
  <r>
    <x v="12"/>
    <s v="Tennessee College of Applied Technology at Murfreesboro"/>
    <m/>
    <n v="221102"/>
    <x v="10"/>
    <n v="0"/>
    <n v="0"/>
    <m/>
    <m/>
    <m/>
    <m/>
    <m/>
    <m/>
    <m/>
    <m/>
    <m/>
    <m/>
    <m/>
    <m/>
    <n v="0"/>
    <n v="0"/>
    <m/>
    <m/>
    <m/>
    <m/>
    <m/>
    <m/>
    <m/>
    <m/>
    <m/>
    <m/>
    <m/>
    <m/>
  </r>
  <r>
    <x v="12"/>
    <s v="Tennessee College of Applied Technology at Nashville"/>
    <m/>
    <n v="248925"/>
    <x v="10"/>
    <n v="0"/>
    <n v="0"/>
    <m/>
    <m/>
    <m/>
    <m/>
    <m/>
    <m/>
    <m/>
    <m/>
    <m/>
    <m/>
    <m/>
    <m/>
    <n v="0"/>
    <n v="0"/>
    <m/>
    <m/>
    <m/>
    <m/>
    <m/>
    <m/>
    <m/>
    <m/>
    <m/>
    <m/>
    <m/>
    <m/>
  </r>
  <r>
    <x v="12"/>
    <s v="Tennessee College of Applied Technology at Newbern"/>
    <m/>
    <n v="221236"/>
    <x v="10"/>
    <n v="0"/>
    <n v="0"/>
    <m/>
    <m/>
    <m/>
    <m/>
    <m/>
    <m/>
    <m/>
    <m/>
    <m/>
    <m/>
    <m/>
    <m/>
    <n v="0"/>
    <n v="0"/>
    <m/>
    <m/>
    <m/>
    <m/>
    <m/>
    <m/>
    <m/>
    <m/>
    <m/>
    <m/>
    <m/>
    <m/>
  </r>
  <r>
    <x v="12"/>
    <s v="Tennessee College of Applied Technology at Oneida"/>
    <m/>
    <n v="221582"/>
    <x v="10"/>
    <n v="0"/>
    <n v="0"/>
    <m/>
    <m/>
    <m/>
    <m/>
    <m/>
    <m/>
    <m/>
    <m/>
    <m/>
    <m/>
    <m/>
    <m/>
    <n v="0"/>
    <n v="0"/>
    <m/>
    <m/>
    <m/>
    <m/>
    <m/>
    <m/>
    <m/>
    <m/>
    <m/>
    <m/>
    <m/>
    <m/>
  </r>
  <r>
    <x v="12"/>
    <s v="Tennessee College of Applied Technology at Paris"/>
    <m/>
    <n v="221281"/>
    <x v="10"/>
    <n v="0"/>
    <n v="0"/>
    <m/>
    <m/>
    <m/>
    <m/>
    <m/>
    <m/>
    <m/>
    <m/>
    <m/>
    <m/>
    <m/>
    <m/>
    <n v="0"/>
    <n v="0"/>
    <m/>
    <m/>
    <m/>
    <m/>
    <m/>
    <m/>
    <m/>
    <m/>
    <m/>
    <m/>
    <m/>
    <m/>
  </r>
  <r>
    <x v="12"/>
    <s v="Tennessee College of Applied Technology at Pulaski"/>
    <m/>
    <n v="221333"/>
    <x v="10"/>
    <n v="0"/>
    <n v="0"/>
    <m/>
    <m/>
    <m/>
    <m/>
    <m/>
    <m/>
    <m/>
    <m/>
    <m/>
    <m/>
    <m/>
    <m/>
    <n v="0"/>
    <n v="0"/>
    <m/>
    <m/>
    <m/>
    <m/>
    <m/>
    <m/>
    <m/>
    <m/>
    <m/>
    <m/>
    <m/>
    <m/>
  </r>
  <r>
    <x v="12"/>
    <s v="Tennessee College of Applied Technology at Ripley"/>
    <m/>
    <n v="221388"/>
    <x v="10"/>
    <n v="0"/>
    <n v="0"/>
    <m/>
    <m/>
    <m/>
    <m/>
    <m/>
    <m/>
    <m/>
    <m/>
    <m/>
    <m/>
    <m/>
    <m/>
    <n v="0"/>
    <n v="0"/>
    <m/>
    <m/>
    <m/>
    <m/>
    <m/>
    <m/>
    <m/>
    <m/>
    <m/>
    <m/>
    <m/>
    <m/>
  </r>
  <r>
    <x v="12"/>
    <s v="Tennessee College of Applied Technology at Shelbyville"/>
    <m/>
    <n v="221494"/>
    <x v="10"/>
    <n v="0"/>
    <n v="0"/>
    <m/>
    <m/>
    <m/>
    <m/>
    <m/>
    <m/>
    <m/>
    <m/>
    <m/>
    <m/>
    <m/>
    <m/>
    <n v="0"/>
    <n v="0"/>
    <m/>
    <m/>
    <m/>
    <m/>
    <m/>
    <m/>
    <m/>
    <m/>
    <m/>
    <m/>
    <m/>
    <m/>
  </r>
  <r>
    <x v="12"/>
    <s v="Tennessee College of Applied Technology at Whiteville"/>
    <m/>
    <n v="221634"/>
    <x v="10"/>
    <n v="0"/>
    <n v="0"/>
    <m/>
    <m/>
    <m/>
    <m/>
    <m/>
    <m/>
    <m/>
    <m/>
    <m/>
    <m/>
    <m/>
    <m/>
    <n v="0"/>
    <n v="0"/>
    <m/>
    <m/>
    <m/>
    <m/>
    <m/>
    <m/>
    <m/>
    <m/>
    <m/>
    <m/>
    <m/>
    <m/>
  </r>
  <r>
    <x v="13"/>
    <s v="Texas A &amp; M University "/>
    <m/>
    <n v="228723"/>
    <x v="0"/>
    <n v="1108074"/>
    <n v="1168921"/>
    <n v="1038754"/>
    <n v="1079924"/>
    <n v="6425"/>
    <n v="7711"/>
    <n v="54164"/>
    <n v="0"/>
    <n v="8731"/>
    <n v="74449"/>
    <n v="0"/>
    <n v="6837"/>
    <m/>
    <m/>
    <n v="192295"/>
    <n v="213607"/>
    <n v="157942"/>
    <n v="183607"/>
    <n v="13939"/>
    <n v="5177"/>
    <n v="16280"/>
    <n v="36"/>
    <n v="4098"/>
    <n v="20862"/>
    <n v="32"/>
    <n v="3929"/>
    <m/>
    <m/>
  </r>
  <r>
    <x v="13"/>
    <s v="Texas Tech University "/>
    <m/>
    <n v="229115"/>
    <x v="0"/>
    <n v="716335"/>
    <n v="744454"/>
    <n v="638326"/>
    <n v="642400"/>
    <n v="7749"/>
    <n v="7986"/>
    <n v="69516"/>
    <n v="744"/>
    <n v="0"/>
    <n v="93972"/>
    <n v="96"/>
    <n v="0"/>
    <m/>
    <m/>
    <n v="118950"/>
    <n v="122989"/>
    <n v="95726"/>
    <n v="94950"/>
    <n v="1388"/>
    <n v="1497"/>
    <n v="21611"/>
    <n v="225"/>
    <n v="0"/>
    <n v="26440"/>
    <n v="102"/>
    <n v="0"/>
    <m/>
    <m/>
  </r>
  <r>
    <x v="13"/>
    <s v="University of Houston"/>
    <m/>
    <n v="225511"/>
    <x v="0"/>
    <n v="783362"/>
    <n v="794730"/>
    <n v="613523"/>
    <n v="613352"/>
    <n v="8220"/>
    <n v="9095"/>
    <n v="161463"/>
    <n v="156"/>
    <n v="0"/>
    <n v="172283"/>
    <n v="0"/>
    <n v="0"/>
    <m/>
    <m/>
    <n v="171661"/>
    <n v="177295"/>
    <n v="157328"/>
    <n v="159747"/>
    <n v="2256"/>
    <n v="3679"/>
    <n v="12047"/>
    <n v="30"/>
    <n v="0"/>
    <n v="13854"/>
    <n v="15"/>
    <n v="0"/>
    <m/>
    <m/>
  </r>
  <r>
    <x v="13"/>
    <s v="University of North Texas"/>
    <m/>
    <n v="227216"/>
    <x v="0"/>
    <n v="755705"/>
    <n v="762278"/>
    <n v="658051"/>
    <n v="656457"/>
    <n v="2448"/>
    <n v="2828"/>
    <n v="94882"/>
    <n v="288"/>
    <n v="36"/>
    <n v="102843"/>
    <n v="120"/>
    <n v="30"/>
    <m/>
    <m/>
    <n v="97441"/>
    <n v="96280"/>
    <n v="69431"/>
    <n v="67813"/>
    <n v="1080"/>
    <n v="1278"/>
    <n v="26795"/>
    <n v="135"/>
    <n v="0"/>
    <n v="27165"/>
    <n v="24"/>
    <n v="0"/>
    <m/>
    <m/>
  </r>
  <r>
    <x v="13"/>
    <s v="University of Texas at Arlington"/>
    <m/>
    <n v="228769"/>
    <x v="0"/>
    <n v="628553"/>
    <n v="624135"/>
    <n v="479991"/>
    <n v="475369"/>
    <n v="741"/>
    <n v="882"/>
    <n v="146008"/>
    <n v="77"/>
    <n v="1736"/>
    <n v="147200"/>
    <n v="15"/>
    <n v="669"/>
    <m/>
    <m/>
    <n v="127445"/>
    <n v="147365"/>
    <n v="81523"/>
    <n v="95085"/>
    <n v="9506"/>
    <n v="8073"/>
    <n v="36416"/>
    <n v="0"/>
    <n v="0"/>
    <n v="44075"/>
    <n v="114"/>
    <n v="18"/>
    <m/>
    <m/>
  </r>
  <r>
    <x v="13"/>
    <s v="University of Texas at Austin"/>
    <m/>
    <n v="228778"/>
    <x v="0"/>
    <n v="1092702"/>
    <n v="1074072"/>
    <n v="1071749"/>
    <n v="1039331"/>
    <n v="4848"/>
    <n v="5992"/>
    <n v="11580"/>
    <n v="4059"/>
    <n v="466"/>
    <n v="14914"/>
    <n v="13383"/>
    <n v="452"/>
    <m/>
    <m/>
    <n v="256370"/>
    <n v="254324"/>
    <n v="250745"/>
    <n v="248494"/>
    <n v="465"/>
    <n v="348"/>
    <n v="2059"/>
    <n v="2191"/>
    <n v="910"/>
    <n v="2267"/>
    <n v="2161"/>
    <n v="1054"/>
    <m/>
    <m/>
  </r>
  <r>
    <x v="13"/>
    <s v="University of Texas at Dallas"/>
    <m/>
    <n v="228787"/>
    <x v="0"/>
    <n v="333375"/>
    <n v="360716"/>
    <n v="316207"/>
    <n v="339768"/>
    <n v="1695"/>
    <n v="1695"/>
    <n v="15329"/>
    <n v="18"/>
    <n v="126"/>
    <n v="19253"/>
    <n v="0"/>
    <n v="0"/>
    <m/>
    <m/>
    <n v="140141"/>
    <n v="147979"/>
    <n v="123193"/>
    <n v="130672"/>
    <n v="444"/>
    <n v="377"/>
    <n v="16459"/>
    <n v="6"/>
    <n v="39"/>
    <n v="16924"/>
    <n v="6"/>
    <n v="0"/>
    <m/>
    <m/>
  </r>
  <r>
    <x v="13"/>
    <s v="Texas Woman's University"/>
    <s v="Met the criteria for Four-Year 1 in 2014-15."/>
    <n v="229179"/>
    <x v="1"/>
    <n v="235114"/>
    <n v="237848"/>
    <n v="168360"/>
    <n v="166263"/>
    <n v="2044"/>
    <n v="2365"/>
    <n v="64683"/>
    <n v="0"/>
    <n v="27"/>
    <n v="69124"/>
    <n v="0"/>
    <n v="96"/>
    <m/>
    <m/>
    <n v="103141"/>
    <n v="101142"/>
    <n v="49651"/>
    <n v="49056"/>
    <n v="501"/>
    <n v="447"/>
    <n v="52737"/>
    <n v="252"/>
    <n v="0"/>
    <n v="51289"/>
    <n v="350"/>
    <n v="0"/>
    <m/>
    <m/>
  </r>
  <r>
    <x v="13"/>
    <s v="University of Texas at El Paso"/>
    <s v="Met the criteria for Four-Year 1 in 2013-14 and 2014-2015."/>
    <n v="228796"/>
    <x v="1"/>
    <n v="463147"/>
    <n v="471058"/>
    <n v="399156"/>
    <n v="400654"/>
    <n v="655"/>
    <n v="1376"/>
    <n v="63336"/>
    <n v="0"/>
    <n v="0"/>
    <n v="69028"/>
    <n v="0"/>
    <n v="0"/>
    <m/>
    <m/>
    <n v="56270"/>
    <n v="55275"/>
    <n v="39462"/>
    <n v="38396"/>
    <n v="641"/>
    <n v="346"/>
    <n v="16167"/>
    <n v="0"/>
    <n v="0"/>
    <n v="16533"/>
    <n v="0"/>
    <n v="0"/>
    <m/>
    <m/>
  </r>
  <r>
    <x v="13"/>
    <s v="University of Texas at San Antonio"/>
    <s v="Met the criteria for Four-Year 1 in 2014-15."/>
    <n v="229027"/>
    <x v="1"/>
    <n v="618429"/>
    <n v="602775"/>
    <n v="587342"/>
    <n v="565865"/>
    <n v="1306"/>
    <n v="1379"/>
    <n v="25952"/>
    <n v="3604"/>
    <n v="225"/>
    <n v="33218"/>
    <n v="2118"/>
    <n v="195"/>
    <m/>
    <m/>
    <n v="67556"/>
    <n v="66009"/>
    <n v="61394"/>
    <n v="61245"/>
    <n v="1989"/>
    <n v="1941"/>
    <n v="4008"/>
    <n v="63"/>
    <n v="102"/>
    <n v="2796"/>
    <n v="27"/>
    <n v="0"/>
    <m/>
    <m/>
  </r>
  <r>
    <x v="13"/>
    <s v="Angelo State University"/>
    <m/>
    <n v="222831"/>
    <x v="2"/>
    <n v="148356"/>
    <n v="140674"/>
    <n v="126346"/>
    <n v="120400"/>
    <n v="0"/>
    <n v="0"/>
    <n v="22010"/>
    <n v="0"/>
    <n v="0"/>
    <n v="20274"/>
    <n v="0"/>
    <n v="0"/>
    <m/>
    <m/>
    <n v="18401"/>
    <n v="18824"/>
    <n v="5770"/>
    <n v="5280"/>
    <n v="0"/>
    <n v="0"/>
    <n v="12631"/>
    <n v="0"/>
    <n v="0"/>
    <n v="13544"/>
    <n v="0"/>
    <n v="0"/>
    <m/>
    <m/>
  </r>
  <r>
    <x v="13"/>
    <s v="Lamar University"/>
    <m/>
    <n v="226091"/>
    <x v="2"/>
    <n v="230966"/>
    <n v="228064"/>
    <n v="170934"/>
    <n v="163507"/>
    <n v="2138"/>
    <n v="1379"/>
    <n v="57559"/>
    <n v="335"/>
    <n v="0"/>
    <n v="62632"/>
    <n v="408"/>
    <n v="138"/>
    <m/>
    <m/>
    <n v="97519"/>
    <n v="109621"/>
    <n v="20705"/>
    <n v="25281"/>
    <n v="0"/>
    <n v="12"/>
    <n v="76814"/>
    <n v="0"/>
    <n v="0"/>
    <n v="84280"/>
    <n v="0"/>
    <n v="48"/>
    <m/>
    <m/>
  </r>
  <r>
    <x v="13"/>
    <s v="Midwestern State University"/>
    <m/>
    <n v="226833"/>
    <x v="2"/>
    <n v="125293"/>
    <n v="126273"/>
    <n v="106339"/>
    <n v="104837"/>
    <n v="1364"/>
    <n v="1488"/>
    <n v="17590"/>
    <n v="0"/>
    <n v="0"/>
    <n v="19942"/>
    <n v="6"/>
    <n v="0"/>
    <m/>
    <m/>
    <n v="7978"/>
    <n v="9130"/>
    <n v="3996"/>
    <n v="4407"/>
    <n v="81"/>
    <n v="27"/>
    <n v="3901"/>
    <n v="0"/>
    <n v="0"/>
    <n v="4696"/>
    <n v="0"/>
    <n v="0"/>
    <m/>
    <m/>
  </r>
  <r>
    <x v="13"/>
    <s v="Prairie View A &amp; M University"/>
    <m/>
    <n v="227526"/>
    <x v="2"/>
    <n v="185310"/>
    <n v="188203"/>
    <n v="168915"/>
    <n v="169978"/>
    <n v="11822"/>
    <n v="11553"/>
    <n v="4360"/>
    <n v="210"/>
    <n v="3"/>
    <n v="6402"/>
    <n v="270"/>
    <n v="0"/>
    <m/>
    <m/>
    <n v="25910"/>
    <n v="24505"/>
    <n v="9195"/>
    <n v="8879"/>
    <n v="7298"/>
    <n v="6350"/>
    <n v="9369"/>
    <n v="48"/>
    <n v="0"/>
    <n v="9177"/>
    <n v="99"/>
    <n v="0"/>
    <m/>
    <m/>
  </r>
  <r>
    <x v="13"/>
    <s v="Sam Houston State University "/>
    <m/>
    <n v="227881"/>
    <x v="2"/>
    <n v="421648"/>
    <n v="435878"/>
    <n v="355699"/>
    <n v="385596"/>
    <n v="6448"/>
    <n v="3462"/>
    <n v="59435"/>
    <n v="66"/>
    <n v="0"/>
    <n v="46805"/>
    <n v="15"/>
    <n v="0"/>
    <m/>
    <m/>
    <n v="47083"/>
    <n v="43895"/>
    <n v="20615"/>
    <n v="28312"/>
    <n v="399"/>
    <n v="147"/>
    <n v="25898"/>
    <n v="156"/>
    <n v="15"/>
    <n v="15316"/>
    <n v="120"/>
    <n v="0"/>
    <m/>
    <m/>
  </r>
  <r>
    <x v="13"/>
    <s v="Stephen F. Austin State University"/>
    <m/>
    <n v="228431"/>
    <x v="2"/>
    <n v="291786"/>
    <n v="290849"/>
    <n v="245190"/>
    <n v="240601"/>
    <n v="1873"/>
    <n v="1523"/>
    <n v="40639"/>
    <n v="116"/>
    <n v="3968"/>
    <n v="48613"/>
    <n v="112"/>
    <n v="0"/>
    <m/>
    <m/>
    <n v="27999"/>
    <n v="28760"/>
    <n v="14706"/>
    <n v="14227"/>
    <n v="180"/>
    <n v="126"/>
    <n v="12167"/>
    <n v="150"/>
    <n v="796"/>
    <n v="14092"/>
    <n v="189"/>
    <n v="126"/>
    <m/>
    <m/>
  </r>
  <r>
    <x v="13"/>
    <s v="Sul Ross State University "/>
    <m/>
    <n v="228501"/>
    <x v="2"/>
    <n v="32738"/>
    <n v="32749"/>
    <n v="27660"/>
    <n v="28329"/>
    <n v="79"/>
    <n v="115"/>
    <n v="4241"/>
    <n v="758"/>
    <n v="0"/>
    <n v="3690"/>
    <n v="525"/>
    <n v="90"/>
    <m/>
    <m/>
    <n v="9168"/>
    <n v="9254"/>
    <n v="2541"/>
    <n v="2262"/>
    <n v="183"/>
    <n v="228"/>
    <n v="6411"/>
    <n v="27"/>
    <n v="6"/>
    <n v="6731"/>
    <n v="33"/>
    <n v="0"/>
    <m/>
    <m/>
  </r>
  <r>
    <x v="13"/>
    <s v="Tarleton State University"/>
    <m/>
    <n v="228529"/>
    <x v="2"/>
    <n v="242287"/>
    <n v="256499"/>
    <n v="180513"/>
    <n v="192208"/>
    <n v="23435"/>
    <n v="23225"/>
    <n v="37450"/>
    <n v="889"/>
    <n v="0"/>
    <n v="39990"/>
    <n v="1076"/>
    <n v="0"/>
    <m/>
    <m/>
    <n v="21482"/>
    <n v="23307"/>
    <n v="5120"/>
    <n v="5032"/>
    <n v="6003"/>
    <n v="6204"/>
    <n v="10359"/>
    <n v="0"/>
    <n v="0"/>
    <n v="12071"/>
    <n v="0"/>
    <n v="0"/>
    <m/>
    <m/>
  </r>
  <r>
    <x v="13"/>
    <s v="Texas A &amp; M International University"/>
    <m/>
    <n v="226152"/>
    <x v="2"/>
    <n v="141623"/>
    <n v="147658"/>
    <n v="128273"/>
    <n v="129586"/>
    <n v="4030"/>
    <n v="4991"/>
    <n v="8825"/>
    <n v="495"/>
    <n v="0"/>
    <n v="12763"/>
    <n v="318"/>
    <n v="0"/>
    <m/>
    <m/>
    <n v="11273"/>
    <n v="12382"/>
    <n v="7823"/>
    <n v="7332"/>
    <n v="33"/>
    <n v="30"/>
    <n v="3408"/>
    <n v="9"/>
    <n v="0"/>
    <n v="5014"/>
    <n v="6"/>
    <n v="0"/>
    <m/>
    <m/>
  </r>
  <r>
    <x v="13"/>
    <s v="Texas A &amp; M University - Commerce"/>
    <m/>
    <n v="224554"/>
    <x v="2"/>
    <n v="165669"/>
    <n v="168510"/>
    <n v="106346"/>
    <n v="106207"/>
    <n v="13816"/>
    <n v="12305"/>
    <n v="45261"/>
    <n v="246"/>
    <n v="0"/>
    <n v="49136"/>
    <n v="366"/>
    <n v="496"/>
    <m/>
    <m/>
    <n v="79447"/>
    <n v="73958"/>
    <n v="13333"/>
    <n v="14030"/>
    <n v="10138"/>
    <n v="8640"/>
    <n v="55733"/>
    <n v="243"/>
    <n v="0"/>
    <n v="50976"/>
    <n v="312"/>
    <n v="0"/>
    <m/>
    <m/>
  </r>
  <r>
    <x v="13"/>
    <s v="Texas A &amp; M University-Corpus Christi "/>
    <m/>
    <n v="224147"/>
    <x v="2"/>
    <n v="233731"/>
    <n v="234285"/>
    <n v="227601"/>
    <n v="233523"/>
    <n v="0"/>
    <n v="0"/>
    <n v="6130"/>
    <n v="0"/>
    <n v="0"/>
    <n v="717"/>
    <n v="0"/>
    <n v="45"/>
    <m/>
    <m/>
    <n v="27680"/>
    <n v="29912"/>
    <n v="23794"/>
    <n v="28634"/>
    <n v="0"/>
    <n v="0"/>
    <n v="3886"/>
    <n v="0"/>
    <n v="0"/>
    <n v="1278"/>
    <n v="0"/>
    <n v="0"/>
    <m/>
    <m/>
  </r>
  <r>
    <x v="13"/>
    <s v="Texas A &amp; M University-Kingsville"/>
    <m/>
    <n v="228705"/>
    <x v="2"/>
    <n v="154289"/>
    <n v="155784"/>
    <n v="140099"/>
    <n v="142829"/>
    <n v="4521"/>
    <n v="3744"/>
    <n v="9281"/>
    <n v="388"/>
    <n v="0"/>
    <n v="8863"/>
    <n v="348"/>
    <n v="0"/>
    <m/>
    <m/>
    <n v="28385"/>
    <n v="44371"/>
    <n v="21014"/>
    <n v="36716"/>
    <n v="27"/>
    <n v="108"/>
    <n v="7203"/>
    <n v="141"/>
    <n v="0"/>
    <n v="7358"/>
    <n v="189"/>
    <n v="0"/>
    <m/>
    <m/>
  </r>
  <r>
    <x v="13"/>
    <s v="Texas Southern University "/>
    <m/>
    <n v="229063"/>
    <x v="2"/>
    <n v="167298"/>
    <n v="174897"/>
    <n v="161518"/>
    <n v="167310"/>
    <n v="0"/>
    <n v="0"/>
    <n v="0"/>
    <n v="0"/>
    <n v="5780"/>
    <n v="0"/>
    <n v="0"/>
    <n v="7587"/>
    <m/>
    <m/>
    <n v="53384"/>
    <n v="51972"/>
    <n v="46055"/>
    <n v="44910"/>
    <n v="234"/>
    <n v="0"/>
    <n v="0"/>
    <n v="0"/>
    <n v="7095"/>
    <n v="0"/>
    <n v="0"/>
    <n v="7062"/>
    <m/>
    <m/>
  </r>
  <r>
    <x v="13"/>
    <s v="Texas State University"/>
    <s v="Met the criteria for Four-Year 2 in 2014-15."/>
    <n v="228459"/>
    <x v="2"/>
    <n v="792090"/>
    <n v="814640"/>
    <n v="740719"/>
    <n v="754462"/>
    <n v="27437"/>
    <n v="29516"/>
    <n v="23388"/>
    <n v="282"/>
    <n v="264"/>
    <n v="30269"/>
    <n v="288"/>
    <n v="105"/>
    <m/>
    <m/>
    <n v="74237"/>
    <n v="75107"/>
    <n v="57819"/>
    <n v="58061"/>
    <n v="8677"/>
    <n v="8314"/>
    <n v="6970"/>
    <n v="771"/>
    <n v="0"/>
    <n v="7871"/>
    <n v="711"/>
    <n v="150"/>
    <m/>
    <m/>
  </r>
  <r>
    <x v="13"/>
    <s v="University of Houston-Clear Lake "/>
    <m/>
    <n v="225414"/>
    <x v="2"/>
    <n v="103596"/>
    <n v="107419"/>
    <n v="71213"/>
    <n v="73690"/>
    <n v="8775"/>
    <n v="8099"/>
    <n v="23608"/>
    <n v="0"/>
    <n v="0"/>
    <n v="25630"/>
    <n v="0"/>
    <n v="0"/>
    <m/>
    <m/>
    <n v="53546"/>
    <n v="57183"/>
    <n v="32270"/>
    <n v="36041"/>
    <n v="5554"/>
    <n v="4771"/>
    <n v="15722"/>
    <n v="0"/>
    <n v="0"/>
    <n v="16371"/>
    <n v="0"/>
    <n v="0"/>
    <m/>
    <m/>
  </r>
  <r>
    <x v="13"/>
    <s v="University of Texas at Brownsville"/>
    <m/>
    <n v="227377"/>
    <x v="2"/>
    <n v="173221"/>
    <n v="165944"/>
    <n v="141825"/>
    <n v="133339"/>
    <n v="0"/>
    <n v="0"/>
    <n v="31396"/>
    <n v="0"/>
    <n v="0"/>
    <n v="32530"/>
    <n v="75"/>
    <n v="0"/>
    <m/>
    <m/>
    <n v="14519"/>
    <n v="13929"/>
    <n v="8453"/>
    <n v="7760"/>
    <n v="0"/>
    <n v="0"/>
    <n v="6066"/>
    <n v="0"/>
    <n v="0"/>
    <n v="6112"/>
    <n v="57"/>
    <n v="0"/>
    <m/>
    <m/>
  </r>
  <r>
    <x v="13"/>
    <s v="University of Texas at Tyler"/>
    <m/>
    <n v="228802"/>
    <x v="2"/>
    <n v="135326"/>
    <n v="137209"/>
    <n v="102177"/>
    <n v="93603"/>
    <n v="5102"/>
    <n v="8819"/>
    <n v="25317"/>
    <n v="2730"/>
    <n v="0"/>
    <n v="34472"/>
    <n v="315"/>
    <n v="0"/>
    <m/>
    <m/>
    <n v="29142"/>
    <n v="34818"/>
    <n v="7849"/>
    <n v="8187"/>
    <n v="87"/>
    <n v="339"/>
    <n v="21164"/>
    <n v="42"/>
    <n v="0"/>
    <n v="26271"/>
    <n v="21"/>
    <n v="0"/>
    <m/>
    <m/>
  </r>
  <r>
    <x v="13"/>
    <s v="University of Texas of the Permian Basin"/>
    <m/>
    <n v="229018"/>
    <x v="2"/>
    <n v="85984"/>
    <n v="100339"/>
    <n v="48501"/>
    <n v="54094"/>
    <n v="57"/>
    <n v="57"/>
    <n v="37426"/>
    <n v="0"/>
    <n v="0"/>
    <n v="46155"/>
    <n v="12"/>
    <n v="21"/>
    <m/>
    <m/>
    <n v="9959"/>
    <n v="10661"/>
    <n v="3792"/>
    <n v="3756"/>
    <n v="0"/>
    <n v="0"/>
    <n v="6167"/>
    <n v="0"/>
    <n v="0"/>
    <n v="6905"/>
    <n v="0"/>
    <n v="0"/>
    <m/>
    <m/>
  </r>
  <r>
    <x v="13"/>
    <s v="University of Texas-Pan American"/>
    <m/>
    <n v="227368"/>
    <x v="2"/>
    <n v="442553"/>
    <n v="458273"/>
    <n v="384207"/>
    <n v="393935"/>
    <n v="1640"/>
    <n v="1531"/>
    <n v="56568"/>
    <n v="138"/>
    <n v="0"/>
    <n v="62525"/>
    <n v="282"/>
    <n v="0"/>
    <m/>
    <m/>
    <n v="41857"/>
    <n v="48172"/>
    <n v="26198"/>
    <n v="26547"/>
    <n v="3204"/>
    <n v="4026"/>
    <n v="12380"/>
    <n v="75"/>
    <n v="0"/>
    <n v="17431"/>
    <n v="168"/>
    <n v="0"/>
    <m/>
    <m/>
  </r>
  <r>
    <x v="13"/>
    <s v="West Texas A &amp; M University"/>
    <m/>
    <n v="229814"/>
    <x v="2"/>
    <n v="180061"/>
    <n v="185421"/>
    <n v="143366"/>
    <n v="144943"/>
    <n v="0"/>
    <n v="249"/>
    <n v="36695"/>
    <n v="0"/>
    <n v="0"/>
    <n v="40229"/>
    <n v="0"/>
    <n v="0"/>
    <m/>
    <m/>
    <n v="22154"/>
    <n v="26928"/>
    <n v="9640"/>
    <n v="10047"/>
    <n v="0"/>
    <n v="0"/>
    <n v="12514"/>
    <n v="0"/>
    <n v="0"/>
    <n v="16881"/>
    <n v="0"/>
    <n v="0"/>
    <m/>
    <m/>
  </r>
  <r>
    <x v="13"/>
    <s v="Texas A &amp; M -Texarkana"/>
    <s v="Met the criteria for Four-Year 3 in 2014-15."/>
    <n v="483036"/>
    <x v="3"/>
    <n v="32262"/>
    <n v="32674"/>
    <n v="21265"/>
    <n v="21159"/>
    <n v="2640"/>
    <n v="1971"/>
    <n v="8291"/>
    <n v="66"/>
    <n v="0"/>
    <n v="9409"/>
    <n v="135"/>
    <n v="0"/>
    <m/>
    <m/>
    <n v="6260"/>
    <n v="6348"/>
    <n v="2102"/>
    <n v="1905"/>
    <n v="459"/>
    <n v="552"/>
    <n v="3699"/>
    <n v="0"/>
    <n v="0"/>
    <n v="3891"/>
    <n v="0"/>
    <n v="0"/>
    <m/>
    <m/>
  </r>
  <r>
    <x v="13"/>
    <s v="Texas A &amp; M University - Central Texas"/>
    <s v="Met the criteria for Four-Year 3 in 2014-15."/>
    <n v="224545"/>
    <x v="3"/>
    <n v="36664"/>
    <n v="36680"/>
    <n v="15533"/>
    <n v="20448"/>
    <n v="5667"/>
    <n v="4725"/>
    <n v="15350"/>
    <n v="114"/>
    <n v="0"/>
    <n v="11507"/>
    <n v="0"/>
    <n v="0"/>
    <m/>
    <m/>
    <n v="11676"/>
    <n v="9839"/>
    <n v="6435"/>
    <n v="5861"/>
    <n v="306"/>
    <n v="243"/>
    <n v="4935"/>
    <n v="0"/>
    <n v="0"/>
    <n v="3735"/>
    <n v="0"/>
    <n v="0"/>
    <m/>
    <m/>
  </r>
  <r>
    <x v="13"/>
    <s v="University of Houston-Victoria"/>
    <s v="Met the criteria for Four-Year 3 in 2014-15."/>
    <n v="225502"/>
    <x v="3"/>
    <n v="63072"/>
    <n v="66531"/>
    <n v="15636"/>
    <n v="18642"/>
    <n v="7930"/>
    <n v="6679"/>
    <n v="34577"/>
    <n v="4929"/>
    <n v="0"/>
    <n v="38430"/>
    <n v="2780"/>
    <n v="0"/>
    <m/>
    <m/>
    <n v="23508"/>
    <n v="21846"/>
    <n v="441"/>
    <n v="336"/>
    <n v="3612"/>
    <n v="3381"/>
    <n v="18324"/>
    <n v="1131"/>
    <n v="0"/>
    <n v="17175"/>
    <n v="954"/>
    <n v="0"/>
    <m/>
    <m/>
  </r>
  <r>
    <x v="13"/>
    <s v="Sul Ross State University-Rio Grande College"/>
    <m/>
    <s v="228501B"/>
    <x v="4"/>
    <n v="13690"/>
    <n v="12359"/>
    <n v="4600"/>
    <n v="3753"/>
    <n v="0"/>
    <n v="0"/>
    <n v="5160"/>
    <n v="3930"/>
    <n v="0"/>
    <n v="4793"/>
    <n v="3813"/>
    <n v="0"/>
    <m/>
    <m/>
    <n v="2829"/>
    <n v="2361"/>
    <n v="1569"/>
    <n v="1233"/>
    <n v="0"/>
    <n v="0"/>
    <n v="1026"/>
    <n v="234"/>
    <n v="0"/>
    <n v="975"/>
    <n v="153"/>
    <n v="0"/>
    <m/>
    <m/>
  </r>
  <r>
    <x v="13"/>
    <s v="Texas A &amp; M University - San Antonio"/>
    <m/>
    <n v="870501"/>
    <x v="4"/>
    <n v="66544"/>
    <n v="69607"/>
    <n v="34004"/>
    <n v="41818"/>
    <n v="3195"/>
    <n v="3303"/>
    <n v="29345"/>
    <n v="0"/>
    <n v="0"/>
    <n v="24486"/>
    <n v="0"/>
    <n v="0"/>
    <m/>
    <m/>
    <n v="18773"/>
    <n v="17194"/>
    <n v="5544"/>
    <n v="7552"/>
    <n v="537"/>
    <n v="411"/>
    <n v="12515"/>
    <n v="0"/>
    <n v="177"/>
    <n v="9231"/>
    <n v="0"/>
    <n v="0"/>
    <m/>
    <m/>
  </r>
  <r>
    <x v="13"/>
    <s v="University of Houston-Downtown"/>
    <m/>
    <n v="225432"/>
    <x v="4"/>
    <n v="272269"/>
    <n v="281037"/>
    <n v="173088"/>
    <n v="166386"/>
    <n v="9423"/>
    <n v="7544"/>
    <n v="89740"/>
    <n v="18"/>
    <n v="0"/>
    <n v="107062"/>
    <n v="45"/>
    <n v="0"/>
    <m/>
    <m/>
    <n v="3678"/>
    <n v="5818"/>
    <n v="756"/>
    <n v="741"/>
    <n v="366"/>
    <n v="330"/>
    <n v="2556"/>
    <n v="0"/>
    <n v="0"/>
    <n v="4747"/>
    <n v="0"/>
    <n v="0"/>
    <m/>
    <m/>
  </r>
  <r>
    <x v="13"/>
    <s v="Texas A &amp; M University at Galveston"/>
    <s v="Met the criteria for Four-Year 5 in 2014-15."/>
    <n v="228714"/>
    <x v="5"/>
    <n v="55815"/>
    <n v="60520"/>
    <n v="55603"/>
    <n v="59739"/>
    <n v="40"/>
    <n v="118"/>
    <n v="152"/>
    <n v="0"/>
    <n v="20"/>
    <n v="635"/>
    <n v="0"/>
    <n v="28"/>
    <m/>
    <m/>
    <n v="1850"/>
    <n v="2086"/>
    <n v="1564"/>
    <n v="1686"/>
    <n v="6"/>
    <n v="13"/>
    <n v="280"/>
    <n v="0"/>
    <n v="0"/>
    <n v="384"/>
    <n v="3"/>
    <n v="0"/>
    <m/>
    <m/>
  </r>
  <r>
    <x v="13"/>
    <s v="Brazosport College "/>
    <m/>
    <n v="223506"/>
    <x v="12"/>
    <n v="76644"/>
    <n v="74948"/>
    <n v="56002"/>
    <n v="54016"/>
    <n v="4935"/>
    <n v="4664"/>
    <n v="15707"/>
    <n v="0"/>
    <n v="0"/>
    <n v="16268"/>
    <n v="0"/>
    <n v="0"/>
    <m/>
    <m/>
    <n v="0"/>
    <n v="0"/>
    <m/>
    <n v="0"/>
    <m/>
    <n v="0"/>
    <m/>
    <m/>
    <m/>
    <n v="0"/>
    <n v="0"/>
    <n v="0"/>
    <m/>
    <m/>
  </r>
  <r>
    <x v="13"/>
    <s v="Midland College "/>
    <m/>
    <n v="226806"/>
    <x v="12"/>
    <n v="110546"/>
    <n v="102071"/>
    <n v="65606"/>
    <n v="59944"/>
    <n v="1435"/>
    <n v="1722"/>
    <n v="42629"/>
    <n v="876"/>
    <n v="0"/>
    <n v="39613"/>
    <n v="792"/>
    <n v="0"/>
    <m/>
    <m/>
    <n v="0"/>
    <n v="0"/>
    <m/>
    <n v="0"/>
    <m/>
    <n v="0"/>
    <m/>
    <m/>
    <m/>
    <n v="0"/>
    <n v="0"/>
    <n v="0"/>
    <m/>
    <m/>
  </r>
  <r>
    <x v="13"/>
    <s v="South Texas College"/>
    <m/>
    <n v="409315"/>
    <x v="12"/>
    <n v="568762"/>
    <n v="576236"/>
    <n v="471164"/>
    <n v="477904"/>
    <n v="0"/>
    <n v="0"/>
    <n v="97598"/>
    <n v="0"/>
    <n v="0"/>
    <n v="98124"/>
    <n v="0"/>
    <n v="208"/>
    <m/>
    <m/>
    <n v="0"/>
    <n v="0"/>
    <m/>
    <n v="0"/>
    <m/>
    <n v="0"/>
    <m/>
    <m/>
    <m/>
    <n v="0"/>
    <n v="0"/>
    <n v="0"/>
    <m/>
    <m/>
  </r>
  <r>
    <x v="13"/>
    <s v="Amarillo College "/>
    <m/>
    <n v="222576"/>
    <x v="6"/>
    <n v="189392"/>
    <n v="176153"/>
    <n v="115986"/>
    <n v="105934"/>
    <n v="14978"/>
    <n v="12843"/>
    <n v="57231"/>
    <n v="45"/>
    <n v="1152"/>
    <n v="57156"/>
    <n v="0"/>
    <n v="220"/>
    <m/>
    <m/>
    <n v="0"/>
    <n v="0"/>
    <m/>
    <n v="0"/>
    <m/>
    <n v="0"/>
    <m/>
    <m/>
    <m/>
    <n v="0"/>
    <n v="0"/>
    <n v="0"/>
    <m/>
    <m/>
  </r>
  <r>
    <x v="13"/>
    <s v="Austin Community College "/>
    <m/>
    <n v="222992"/>
    <x v="6"/>
    <n v="749593"/>
    <n v="727775"/>
    <n v="578944"/>
    <n v="559172"/>
    <n v="49972"/>
    <n v="48717"/>
    <n v="120677"/>
    <n v="0"/>
    <n v="0"/>
    <n v="119886"/>
    <n v="0"/>
    <n v="0"/>
    <m/>
    <m/>
    <n v="0"/>
    <n v="0"/>
    <m/>
    <n v="0"/>
    <m/>
    <n v="0"/>
    <m/>
    <m/>
    <m/>
    <n v="0"/>
    <n v="0"/>
    <n v="0"/>
    <m/>
    <m/>
  </r>
  <r>
    <x v="13"/>
    <s v="Blinn College "/>
    <m/>
    <n v="223427"/>
    <x v="6"/>
    <n v="400957"/>
    <n v="415038"/>
    <n v="54118"/>
    <n v="54671"/>
    <n v="271948"/>
    <n v="273421"/>
    <n v="74297"/>
    <n v="594"/>
    <n v="0"/>
    <n v="86853"/>
    <n v="93"/>
    <n v="0"/>
    <m/>
    <m/>
    <n v="0"/>
    <n v="0"/>
    <m/>
    <n v="0"/>
    <m/>
    <n v="0"/>
    <m/>
    <m/>
    <m/>
    <n v="0"/>
    <n v="0"/>
    <n v="0"/>
    <m/>
    <m/>
  </r>
  <r>
    <x v="13"/>
    <s v="Brookhaven College (DCCCD)"/>
    <m/>
    <n v="223524"/>
    <x v="6"/>
    <n v="192223"/>
    <n v="185163"/>
    <n v="132139"/>
    <n v="125618"/>
    <n v="344"/>
    <n v="1062"/>
    <n v="59671"/>
    <n v="0"/>
    <n v="69"/>
    <n v="58402"/>
    <n v="0"/>
    <n v="81"/>
    <m/>
    <m/>
    <n v="0"/>
    <n v="0"/>
    <m/>
    <n v="0"/>
    <m/>
    <n v="0"/>
    <m/>
    <m/>
    <m/>
    <n v="0"/>
    <n v="0"/>
    <n v="0"/>
    <m/>
    <m/>
  </r>
  <r>
    <x v="13"/>
    <s v="Central Texas College "/>
    <m/>
    <n v="223816"/>
    <x v="6"/>
    <n v="297076"/>
    <n v="273024"/>
    <n v="98833"/>
    <n v="97837"/>
    <n v="55174"/>
    <n v="41652"/>
    <n v="133553"/>
    <n v="894"/>
    <n v="8622"/>
    <n v="121352"/>
    <n v="780"/>
    <n v="11403"/>
    <m/>
    <m/>
    <n v="0"/>
    <n v="0"/>
    <m/>
    <n v="0"/>
    <m/>
    <n v="0"/>
    <m/>
    <m/>
    <m/>
    <n v="0"/>
    <n v="0"/>
    <n v="0"/>
    <m/>
    <m/>
  </r>
  <r>
    <x v="13"/>
    <s v="Collin County Community College District"/>
    <m/>
    <n v="247834"/>
    <x v="6"/>
    <n v="540387"/>
    <n v="539402"/>
    <n v="442770"/>
    <n v="434044"/>
    <n v="15955"/>
    <n v="18194"/>
    <n v="81662"/>
    <n v="0"/>
    <n v="0"/>
    <n v="87164"/>
    <n v="0"/>
    <n v="0"/>
    <m/>
    <m/>
    <n v="0"/>
    <n v="0"/>
    <m/>
    <n v="0"/>
    <m/>
    <n v="0"/>
    <m/>
    <m/>
    <m/>
    <n v="0"/>
    <n v="0"/>
    <n v="0"/>
    <m/>
    <m/>
  </r>
  <r>
    <x v="13"/>
    <s v="Del Mar College "/>
    <m/>
    <n v="224350"/>
    <x v="6"/>
    <n v="198890"/>
    <n v="192070"/>
    <n v="171837"/>
    <n v="165759"/>
    <n v="4255"/>
    <n v="3906"/>
    <n v="22798"/>
    <n v="0"/>
    <n v="0"/>
    <n v="22405"/>
    <n v="0"/>
    <n v="0"/>
    <m/>
    <m/>
    <n v="0"/>
    <n v="0"/>
    <m/>
    <n v="0"/>
    <m/>
    <n v="0"/>
    <m/>
    <m/>
    <m/>
    <n v="0"/>
    <n v="0"/>
    <n v="0"/>
    <m/>
    <m/>
  </r>
  <r>
    <x v="13"/>
    <s v="Eastfield College (DCCCD)"/>
    <m/>
    <n v="224572"/>
    <x v="6"/>
    <n v="238904"/>
    <n v="236577"/>
    <n v="154881"/>
    <n v="147768"/>
    <n v="0"/>
    <n v="258"/>
    <n v="83772"/>
    <n v="0"/>
    <n v="251"/>
    <n v="88490"/>
    <n v="0"/>
    <n v="61"/>
    <m/>
    <m/>
    <n v="0"/>
    <n v="0"/>
    <m/>
    <n v="0"/>
    <m/>
    <n v="0"/>
    <m/>
    <m/>
    <m/>
    <n v="0"/>
    <n v="0"/>
    <n v="0"/>
    <m/>
    <m/>
  </r>
  <r>
    <x v="13"/>
    <s v="El Centro College  (DCCCD)"/>
    <m/>
    <n v="224615"/>
    <x v="6"/>
    <n v="174634"/>
    <n v="163681"/>
    <n v="133097"/>
    <n v="118662"/>
    <n v="1069"/>
    <n v="3346"/>
    <n v="40468"/>
    <n v="0"/>
    <n v="0"/>
    <n v="41673"/>
    <n v="0"/>
    <n v="0"/>
    <m/>
    <m/>
    <n v="0"/>
    <n v="0"/>
    <m/>
    <n v="0"/>
    <m/>
    <n v="0"/>
    <m/>
    <m/>
    <m/>
    <n v="0"/>
    <n v="0"/>
    <n v="0"/>
    <m/>
    <m/>
  </r>
  <r>
    <x v="13"/>
    <s v="El Paso County Community College District"/>
    <m/>
    <n v="224642"/>
    <x v="6"/>
    <n v="552601"/>
    <n v="529978"/>
    <n v="461249"/>
    <n v="433505"/>
    <n v="36809"/>
    <n v="36042"/>
    <n v="54348"/>
    <n v="195"/>
    <n v="0"/>
    <n v="60311"/>
    <n v="120"/>
    <n v="0"/>
    <m/>
    <m/>
    <n v="0"/>
    <n v="0"/>
    <m/>
    <n v="0"/>
    <m/>
    <n v="0"/>
    <m/>
    <m/>
    <m/>
    <n v="0"/>
    <n v="0"/>
    <n v="0"/>
    <m/>
    <m/>
  </r>
  <r>
    <x v="13"/>
    <s v="Houston Community College"/>
    <m/>
    <n v="225423"/>
    <x v="6"/>
    <n v="1098061"/>
    <n v="1090521"/>
    <n v="571109"/>
    <n v="550645"/>
    <n v="199181"/>
    <n v="190794"/>
    <n v="326958"/>
    <n v="0"/>
    <n v="813"/>
    <n v="348710"/>
    <n v="0"/>
    <n v="372"/>
    <m/>
    <m/>
    <n v="0"/>
    <n v="0"/>
    <m/>
    <n v="0"/>
    <m/>
    <n v="0"/>
    <m/>
    <m/>
    <m/>
    <n v="0"/>
    <n v="0"/>
    <n v="0"/>
    <m/>
    <m/>
  </r>
  <r>
    <x v="13"/>
    <s v="Kilgore College "/>
    <s v="Met the criteria for Two-Year 2 in 2013-14 and 2014-15."/>
    <n v="226019"/>
    <x v="6"/>
    <n v="126432"/>
    <n v="122666"/>
    <n v="73126"/>
    <n v="72702"/>
    <n v="33011"/>
    <n v="32849"/>
    <n v="19542"/>
    <n v="753"/>
    <n v="0"/>
    <n v="16818"/>
    <n v="297"/>
    <n v="0"/>
    <m/>
    <m/>
    <n v="0"/>
    <n v="0"/>
    <m/>
    <n v="0"/>
    <m/>
    <n v="0"/>
    <m/>
    <m/>
    <m/>
    <n v="0"/>
    <n v="0"/>
    <n v="0"/>
    <m/>
    <m/>
  </r>
  <r>
    <x v="13"/>
    <s v="Laredo Community College "/>
    <m/>
    <n v="226134"/>
    <x v="6"/>
    <n v="166123"/>
    <n v="155660"/>
    <n v="139584"/>
    <n v="130760"/>
    <n v="3544"/>
    <n v="4276"/>
    <n v="21894"/>
    <n v="1101"/>
    <n v="0"/>
    <n v="19682"/>
    <n v="942"/>
    <n v="0"/>
    <m/>
    <m/>
    <n v="0"/>
    <n v="0"/>
    <m/>
    <n v="0"/>
    <m/>
    <n v="0"/>
    <m/>
    <m/>
    <m/>
    <n v="0"/>
    <n v="0"/>
    <n v="0"/>
    <m/>
    <m/>
  </r>
  <r>
    <x v="13"/>
    <s v="Lone Star College System District"/>
    <m/>
    <n v="227182"/>
    <x v="6"/>
    <n v="1234537"/>
    <n v="1258581"/>
    <n v="866645"/>
    <n v="869349"/>
    <n v="58727"/>
    <n v="67843"/>
    <n v="309165"/>
    <n v="0"/>
    <n v="0"/>
    <n v="321389"/>
    <n v="0"/>
    <n v="0"/>
    <m/>
    <m/>
    <n v="0"/>
    <n v="0"/>
    <m/>
    <n v="0"/>
    <m/>
    <n v="0"/>
    <m/>
    <m/>
    <m/>
    <n v="0"/>
    <n v="0"/>
    <n v="0"/>
    <m/>
    <m/>
  </r>
  <r>
    <x v="13"/>
    <s v="McLennan Community College "/>
    <m/>
    <n v="226578"/>
    <x v="6"/>
    <n v="192256"/>
    <n v="180193"/>
    <n v="134915"/>
    <n v="124832"/>
    <n v="42"/>
    <n v="27"/>
    <n v="56332"/>
    <n v="967"/>
    <n v="0"/>
    <n v="54626"/>
    <n v="708"/>
    <n v="0"/>
    <m/>
    <m/>
    <n v="0"/>
    <n v="0"/>
    <m/>
    <n v="0"/>
    <m/>
    <n v="0"/>
    <m/>
    <m/>
    <m/>
    <n v="0"/>
    <n v="0"/>
    <n v="0"/>
    <m/>
    <m/>
  </r>
  <r>
    <x v="13"/>
    <s v="Navarro College "/>
    <m/>
    <n v="227146"/>
    <x v="6"/>
    <n v="225332"/>
    <n v="213383"/>
    <n v="76395"/>
    <n v="69007"/>
    <n v="85382"/>
    <n v="84898"/>
    <n v="61733"/>
    <n v="23"/>
    <n v="1799"/>
    <n v="58156"/>
    <n v="14"/>
    <n v="1308"/>
    <m/>
    <m/>
    <n v="0"/>
    <n v="0"/>
    <m/>
    <n v="0"/>
    <m/>
    <n v="0"/>
    <m/>
    <m/>
    <m/>
    <n v="0"/>
    <n v="0"/>
    <n v="0"/>
    <m/>
    <m/>
  </r>
  <r>
    <x v="13"/>
    <s v="North Central Texas Community College"/>
    <m/>
    <n v="224110"/>
    <x v="6"/>
    <n v="192986"/>
    <n v="188617"/>
    <n v="32035"/>
    <n v="27388"/>
    <n v="139002"/>
    <n v="135834"/>
    <n v="21476"/>
    <n v="222"/>
    <n v="251"/>
    <n v="24922"/>
    <n v="161"/>
    <n v="312"/>
    <m/>
    <m/>
    <n v="0"/>
    <n v="0"/>
    <m/>
    <n v="0"/>
    <m/>
    <n v="0"/>
    <m/>
    <m/>
    <m/>
    <n v="0"/>
    <n v="0"/>
    <n v="0"/>
    <m/>
    <m/>
  </r>
  <r>
    <x v="13"/>
    <s v="North Lake College (DCCCD)"/>
    <m/>
    <n v="227191"/>
    <x v="6"/>
    <n v="171543"/>
    <n v="175919"/>
    <n v="124391"/>
    <n v="121316"/>
    <n v="1525"/>
    <n v="1607"/>
    <n v="45462"/>
    <n v="0"/>
    <n v="165"/>
    <n v="52873"/>
    <n v="0"/>
    <n v="123"/>
    <m/>
    <m/>
    <n v="0"/>
    <n v="0"/>
    <m/>
    <n v="0"/>
    <m/>
    <n v="0"/>
    <m/>
    <m/>
    <m/>
    <n v="0"/>
    <n v="0"/>
    <n v="0"/>
    <m/>
    <m/>
  </r>
  <r>
    <x v="13"/>
    <s v="Northwest Vista College (ACCD)"/>
    <m/>
    <n v="420398"/>
    <x v="6"/>
    <n v="284436"/>
    <n v="281326"/>
    <n v="218824"/>
    <n v="210747"/>
    <n v="24170"/>
    <n v="24470"/>
    <n v="41442"/>
    <n v="0"/>
    <n v="0"/>
    <n v="46109"/>
    <n v="0"/>
    <n v="0"/>
    <m/>
    <m/>
    <n v="0"/>
    <n v="0"/>
    <m/>
    <n v="0"/>
    <m/>
    <n v="0"/>
    <m/>
    <m/>
    <m/>
    <n v="0"/>
    <n v="0"/>
    <n v="0"/>
    <m/>
    <m/>
  </r>
  <r>
    <x v="13"/>
    <s v="Palo Alto College (ACCD)"/>
    <s v="Met the criteria for Two-Year 2 in 2014-15."/>
    <n v="246354"/>
    <x v="6"/>
    <n v="147419"/>
    <n v="145511"/>
    <n v="86682"/>
    <n v="85030"/>
    <n v="8680"/>
    <n v="5953"/>
    <n v="49843"/>
    <n v="510"/>
    <n v="1704"/>
    <n v="53070"/>
    <n v="306"/>
    <n v="1152"/>
    <m/>
    <m/>
    <n v="0"/>
    <n v="0"/>
    <m/>
    <n v="0"/>
    <m/>
    <n v="0"/>
    <m/>
    <m/>
    <m/>
    <n v="0"/>
    <n v="0"/>
    <n v="0"/>
    <m/>
    <m/>
  </r>
  <r>
    <x v="13"/>
    <s v="Richland College (DCCCD)"/>
    <m/>
    <n v="227766"/>
    <x v="6"/>
    <n v="326765"/>
    <n v="323031"/>
    <n v="230349"/>
    <n v="222889"/>
    <n v="225"/>
    <n v="249"/>
    <n v="96191"/>
    <n v="0"/>
    <n v="0"/>
    <n v="99893"/>
    <n v="0"/>
    <n v="0"/>
    <m/>
    <m/>
    <n v="0"/>
    <n v="0"/>
    <m/>
    <n v="0"/>
    <m/>
    <n v="0"/>
    <m/>
    <m/>
    <m/>
    <n v="0"/>
    <n v="0"/>
    <n v="0"/>
    <m/>
    <m/>
  </r>
  <r>
    <x v="13"/>
    <s v="San Antonio College (ACCD)"/>
    <m/>
    <n v="227924"/>
    <x v="6"/>
    <n v="443475"/>
    <n v="404138"/>
    <n v="343030"/>
    <n v="297373"/>
    <n v="12568"/>
    <n v="13496"/>
    <n v="87877"/>
    <n v="0"/>
    <n v="0"/>
    <n v="93269"/>
    <n v="0"/>
    <n v="0"/>
    <m/>
    <m/>
    <n v="0"/>
    <n v="0"/>
    <m/>
    <n v="0"/>
    <m/>
    <n v="0"/>
    <m/>
    <m/>
    <m/>
    <n v="0"/>
    <n v="0"/>
    <n v="0"/>
    <m/>
    <m/>
  </r>
  <r>
    <x v="13"/>
    <s v="San Jacinto College"/>
    <m/>
    <n v="227979"/>
    <x v="6"/>
    <n v="565429"/>
    <n v="561496"/>
    <n v="447495"/>
    <n v="468011"/>
    <n v="9556"/>
    <n v="8600"/>
    <n v="108378"/>
    <n v="0"/>
    <n v="0"/>
    <n v="84846"/>
    <n v="39"/>
    <n v="0"/>
    <m/>
    <m/>
    <n v="0"/>
    <n v="0"/>
    <m/>
    <n v="0"/>
    <m/>
    <n v="0"/>
    <m/>
    <m/>
    <m/>
    <n v="0"/>
    <n v="0"/>
    <n v="0"/>
    <m/>
    <m/>
  </r>
  <r>
    <x v="13"/>
    <s v="South Plains College "/>
    <m/>
    <n v="228158"/>
    <x v="6"/>
    <n v="204644"/>
    <n v="200024"/>
    <n v="89172"/>
    <n v="87211"/>
    <n v="77106"/>
    <n v="73554"/>
    <n v="33822"/>
    <n v="1818"/>
    <n v="2726"/>
    <n v="34287"/>
    <n v="1782"/>
    <n v="3190"/>
    <m/>
    <m/>
    <n v="0"/>
    <n v="0"/>
    <m/>
    <n v="0"/>
    <m/>
    <n v="0"/>
    <m/>
    <m/>
    <m/>
    <n v="0"/>
    <n v="0"/>
    <n v="0"/>
    <m/>
    <m/>
  </r>
  <r>
    <x v="13"/>
    <s v="St. Philip's College (ACCD)"/>
    <m/>
    <n v="227854"/>
    <x v="6"/>
    <n v="176513"/>
    <n v="173817"/>
    <n v="107638"/>
    <n v="100112"/>
    <n v="13441"/>
    <n v="13902"/>
    <n v="55434"/>
    <n v="0"/>
    <n v="0"/>
    <n v="59803"/>
    <n v="0"/>
    <n v="0"/>
    <m/>
    <m/>
    <n v="0"/>
    <n v="0"/>
    <m/>
    <n v="0"/>
    <m/>
    <n v="0"/>
    <m/>
    <m/>
    <m/>
    <n v="0"/>
    <n v="0"/>
    <n v="0"/>
    <m/>
    <m/>
  </r>
  <r>
    <x v="13"/>
    <s v="Tarrant County College"/>
    <m/>
    <n v="228547"/>
    <x v="6"/>
    <n v="993277"/>
    <n v="967173"/>
    <n v="756955"/>
    <n v="731548"/>
    <n v="37660"/>
    <n v="40582"/>
    <n v="187391"/>
    <n v="0"/>
    <n v="11271"/>
    <n v="195040"/>
    <n v="0"/>
    <n v="3"/>
    <m/>
    <m/>
    <n v="0"/>
    <n v="0"/>
    <m/>
    <n v="0"/>
    <m/>
    <n v="0"/>
    <m/>
    <m/>
    <m/>
    <n v="0"/>
    <n v="0"/>
    <n v="0"/>
    <m/>
    <m/>
  </r>
  <r>
    <x v="13"/>
    <s v="Texas Southmost College "/>
    <s v="Reclassified: Met the criteria for Two-Year 2 in 2012-13, 2013-14, and 2014-15."/>
    <n v="229072"/>
    <x v="7"/>
    <n v="67085"/>
    <n v="68330"/>
    <n v="60201"/>
    <n v="61073"/>
    <n v="5396"/>
    <n v="7257"/>
    <n v="1488"/>
    <n v="0"/>
    <n v="0"/>
    <n v="0"/>
    <n v="0"/>
    <n v="0"/>
    <m/>
    <m/>
    <n v="0"/>
    <n v="0"/>
    <m/>
    <n v="0"/>
    <m/>
    <n v="0"/>
    <m/>
    <m/>
    <m/>
    <n v="0"/>
    <n v="0"/>
    <n v="0"/>
    <m/>
    <m/>
  </r>
  <r>
    <x v="13"/>
    <s v="Texas State Technical College-Waco"/>
    <s v="Reclassified: Met the criteria for Two-Year 2 in 2012-13, 2013-14, and 2014-15."/>
    <n v="228680"/>
    <x v="7"/>
    <n v="120670"/>
    <n v="117460"/>
    <n v="108886"/>
    <n v="101308"/>
    <n v="2747"/>
    <n v="2028"/>
    <n v="9037"/>
    <n v="0"/>
    <n v="0"/>
    <n v="14124"/>
    <n v="0"/>
    <n v="0"/>
    <m/>
    <m/>
    <n v="0"/>
    <n v="0"/>
    <m/>
    <n v="0"/>
    <m/>
    <n v="0"/>
    <m/>
    <m/>
    <m/>
    <n v="0"/>
    <n v="0"/>
    <n v="0"/>
    <m/>
    <m/>
  </r>
  <r>
    <x v="13"/>
    <s v="Trinity Valley Community College"/>
    <m/>
    <n v="225308"/>
    <x v="6"/>
    <n v="155869"/>
    <n v="148335"/>
    <n v="86988"/>
    <n v="74793"/>
    <n v="29996"/>
    <n v="32109"/>
    <n v="38885"/>
    <n v="0"/>
    <n v="0"/>
    <n v="41433"/>
    <n v="0"/>
    <n v="0"/>
    <m/>
    <m/>
    <n v="0"/>
    <n v="0"/>
    <m/>
    <n v="0"/>
    <m/>
    <n v="0"/>
    <m/>
    <m/>
    <m/>
    <n v="0"/>
    <n v="0"/>
    <n v="0"/>
    <m/>
    <m/>
  </r>
  <r>
    <x v="13"/>
    <s v="Tyler Junior College "/>
    <m/>
    <n v="229355"/>
    <x v="6"/>
    <n v="239835"/>
    <n v="237997"/>
    <n v="164371"/>
    <n v="148690"/>
    <n v="9673"/>
    <n v="19773"/>
    <n v="65752"/>
    <n v="0"/>
    <n v="39"/>
    <n v="69534"/>
    <n v="0"/>
    <n v="0"/>
    <m/>
    <m/>
    <n v="0"/>
    <n v="0"/>
    <m/>
    <n v="0"/>
    <m/>
    <n v="0"/>
    <m/>
    <m/>
    <m/>
    <n v="0"/>
    <n v="0"/>
    <n v="0"/>
    <m/>
    <m/>
  </r>
  <r>
    <x v="13"/>
    <s v="Alvin Community College "/>
    <m/>
    <n v="222567"/>
    <x v="7"/>
    <n v="99560"/>
    <n v="98010"/>
    <n v="70597"/>
    <n v="59099"/>
    <n v="18467"/>
    <n v="21176"/>
    <n v="10496"/>
    <n v="0"/>
    <n v="0"/>
    <n v="17735"/>
    <n v="0"/>
    <n v="0"/>
    <m/>
    <m/>
    <n v="0"/>
    <n v="0"/>
    <m/>
    <n v="0"/>
    <m/>
    <n v="0"/>
    <m/>
    <m/>
    <m/>
    <n v="0"/>
    <n v="0"/>
    <n v="0"/>
    <m/>
    <m/>
  </r>
  <r>
    <x v="13"/>
    <s v="Angelina College "/>
    <m/>
    <n v="222822"/>
    <x v="7"/>
    <n v="103593"/>
    <n v="97791"/>
    <n v="61208"/>
    <n v="54743"/>
    <n v="11896"/>
    <n v="10935"/>
    <n v="22436"/>
    <n v="8035"/>
    <n v="18"/>
    <n v="23033"/>
    <n v="8981"/>
    <n v="99"/>
    <m/>
    <m/>
    <n v="0"/>
    <n v="0"/>
    <m/>
    <n v="0"/>
    <m/>
    <n v="0"/>
    <m/>
    <m/>
    <m/>
    <n v="0"/>
    <n v="0"/>
    <n v="0"/>
    <m/>
    <m/>
  </r>
  <r>
    <x v="13"/>
    <s v="Cedar Valley College (DCCCD)"/>
    <m/>
    <n v="223773"/>
    <x v="7"/>
    <n v="101726"/>
    <n v="103899"/>
    <n v="59347"/>
    <n v="57782"/>
    <n v="0"/>
    <n v="0"/>
    <n v="42379"/>
    <n v="0"/>
    <n v="0"/>
    <n v="46117"/>
    <n v="0"/>
    <n v="0"/>
    <m/>
    <m/>
    <n v="0"/>
    <n v="0"/>
    <m/>
    <n v="0"/>
    <m/>
    <n v="0"/>
    <m/>
    <m/>
    <m/>
    <n v="0"/>
    <n v="0"/>
    <n v="0"/>
    <m/>
    <m/>
  </r>
  <r>
    <x v="13"/>
    <s v="Cisco Junior College "/>
    <m/>
    <n v="223898"/>
    <x v="7"/>
    <n v="76113"/>
    <n v="75103"/>
    <n v="11221"/>
    <n v="11619"/>
    <n v="43568"/>
    <n v="42795"/>
    <n v="20455"/>
    <n v="869"/>
    <n v="0"/>
    <n v="19952"/>
    <n v="737"/>
    <n v="0"/>
    <m/>
    <m/>
    <n v="0"/>
    <n v="0"/>
    <m/>
    <n v="0"/>
    <m/>
    <n v="0"/>
    <m/>
    <m/>
    <m/>
    <n v="0"/>
    <n v="0"/>
    <n v="0"/>
    <m/>
    <m/>
  </r>
  <r>
    <x v="13"/>
    <s v="Coastal Bend College"/>
    <m/>
    <n v="223320"/>
    <x v="7"/>
    <n v="68922"/>
    <n v="70675"/>
    <n v="20456"/>
    <n v="20597"/>
    <n v="26736"/>
    <n v="24506"/>
    <n v="14976"/>
    <n v="4698"/>
    <n v="2056"/>
    <n v="16783"/>
    <n v="6229"/>
    <n v="2560"/>
    <m/>
    <m/>
    <n v="0"/>
    <n v="0"/>
    <m/>
    <n v="0"/>
    <m/>
    <n v="0"/>
    <m/>
    <m/>
    <m/>
    <n v="0"/>
    <n v="0"/>
    <n v="0"/>
    <m/>
    <m/>
  </r>
  <r>
    <x v="13"/>
    <s v="College of the Mainland"/>
    <m/>
    <n v="226408"/>
    <x v="7"/>
    <n v="84023"/>
    <n v="79162"/>
    <n v="75402"/>
    <n v="59417"/>
    <n v="8621"/>
    <n v="9614"/>
    <n v="0"/>
    <n v="0"/>
    <n v="0"/>
    <n v="10131"/>
    <n v="0"/>
    <n v="0"/>
    <m/>
    <m/>
    <n v="0"/>
    <n v="0"/>
    <m/>
    <n v="0"/>
    <m/>
    <n v="0"/>
    <m/>
    <m/>
    <m/>
    <n v="0"/>
    <n v="0"/>
    <n v="0"/>
    <m/>
    <m/>
  </r>
  <r>
    <x v="13"/>
    <s v="Grayson County College "/>
    <m/>
    <n v="225070"/>
    <x v="7"/>
    <n v="104019"/>
    <n v="98061"/>
    <n v="64549"/>
    <n v="60204"/>
    <n v="2970"/>
    <n v="3300"/>
    <n v="33665"/>
    <n v="0"/>
    <n v="2835"/>
    <n v="31653"/>
    <n v="0"/>
    <n v="2904"/>
    <m/>
    <m/>
    <n v="0"/>
    <n v="0"/>
    <m/>
    <n v="0"/>
    <m/>
    <n v="0"/>
    <m/>
    <m/>
    <m/>
    <n v="0"/>
    <n v="0"/>
    <n v="0"/>
    <m/>
    <m/>
  </r>
  <r>
    <x v="13"/>
    <s v="Hill College"/>
    <m/>
    <n v="225371"/>
    <x v="7"/>
    <n v="95481"/>
    <n v="86028"/>
    <n v="18908"/>
    <n v="17322"/>
    <n v="39528"/>
    <n v="35920"/>
    <n v="35595"/>
    <n v="1450"/>
    <n v="0"/>
    <n v="31739"/>
    <n v="1047"/>
    <n v="0"/>
    <m/>
    <m/>
    <n v="0"/>
    <n v="0"/>
    <m/>
    <n v="0"/>
    <m/>
    <n v="0"/>
    <m/>
    <m/>
    <m/>
    <n v="0"/>
    <n v="0"/>
    <n v="0"/>
    <m/>
    <m/>
  </r>
  <r>
    <x v="13"/>
    <s v="Howard College (HCJCD)"/>
    <m/>
    <n v="225520"/>
    <x v="7"/>
    <n v="72201"/>
    <n v="64441"/>
    <n v="15996"/>
    <n v="16181"/>
    <n v="29979"/>
    <n v="25507"/>
    <n v="22774"/>
    <n v="3347"/>
    <n v="105"/>
    <n v="19486"/>
    <n v="3249"/>
    <n v="18"/>
    <m/>
    <m/>
    <n v="0"/>
    <n v="0"/>
    <m/>
    <n v="0"/>
    <m/>
    <n v="0"/>
    <m/>
    <m/>
    <m/>
    <n v="0"/>
    <n v="0"/>
    <n v="0"/>
    <m/>
    <m/>
  </r>
  <r>
    <x v="13"/>
    <s v="Lamar Institute of Technology"/>
    <m/>
    <n v="441760"/>
    <x v="7"/>
    <n v="57478"/>
    <n v="58972"/>
    <n v="52856"/>
    <n v="54435"/>
    <n v="2099"/>
    <n v="1610"/>
    <n v="2481"/>
    <n v="27"/>
    <n v="15"/>
    <n v="2891"/>
    <n v="30"/>
    <n v="6"/>
    <m/>
    <m/>
    <n v="0"/>
    <n v="0"/>
    <m/>
    <n v="0"/>
    <m/>
    <n v="0"/>
    <m/>
    <m/>
    <m/>
    <n v="0"/>
    <n v="0"/>
    <n v="0"/>
    <m/>
    <m/>
  </r>
  <r>
    <x v="13"/>
    <s v="Lamar State College-Port Arthur"/>
    <s v="Met the criteria for Two-Year 3 in 2014-15."/>
    <n v="226116"/>
    <x v="7"/>
    <n v="66859"/>
    <n v="46343"/>
    <n v="35802"/>
    <n v="30790"/>
    <n v="3785"/>
    <n v="3054"/>
    <n v="27272"/>
    <n v="0"/>
    <n v="0"/>
    <n v="12499"/>
    <n v="0"/>
    <n v="0"/>
    <m/>
    <m/>
    <n v="0"/>
    <n v="0"/>
    <m/>
    <n v="0"/>
    <m/>
    <n v="0"/>
    <m/>
    <m/>
    <m/>
    <n v="0"/>
    <n v="0"/>
    <n v="0"/>
    <m/>
    <m/>
  </r>
  <r>
    <x v="13"/>
    <s v="Lee College "/>
    <m/>
    <n v="226204"/>
    <x v="7"/>
    <n v="123816"/>
    <n v="130977"/>
    <n v="88872"/>
    <n v="89946"/>
    <n v="19621"/>
    <n v="25946"/>
    <n v="15323"/>
    <n v="0"/>
    <n v="0"/>
    <n v="15085"/>
    <n v="0"/>
    <n v="0"/>
    <m/>
    <m/>
    <n v="0"/>
    <n v="0"/>
    <m/>
    <n v="0"/>
    <m/>
    <n v="0"/>
    <m/>
    <m/>
    <m/>
    <n v="0"/>
    <n v="0"/>
    <n v="0"/>
    <m/>
    <m/>
  </r>
  <r>
    <x v="13"/>
    <s v="Mountain View College  (DCCCD)"/>
    <m/>
    <n v="226930"/>
    <x v="7"/>
    <n v="138980"/>
    <n v="139257"/>
    <n v="98748"/>
    <n v="97433"/>
    <n v="0"/>
    <n v="0"/>
    <n v="40232"/>
    <n v="0"/>
    <n v="0"/>
    <n v="41824"/>
    <n v="0"/>
    <n v="0"/>
    <m/>
    <m/>
    <n v="0"/>
    <n v="0"/>
    <m/>
    <n v="0"/>
    <m/>
    <n v="0"/>
    <m/>
    <m/>
    <m/>
    <n v="0"/>
    <n v="0"/>
    <n v="0"/>
    <m/>
    <m/>
  </r>
  <r>
    <x v="13"/>
    <s v="Northeast Texas Community College "/>
    <m/>
    <n v="227225"/>
    <x v="7"/>
    <n v="67500"/>
    <n v="67291"/>
    <n v="49051"/>
    <n v="41651"/>
    <n v="1996"/>
    <n v="1966"/>
    <n v="16453"/>
    <n v="0"/>
    <n v="0"/>
    <n v="23674"/>
    <n v="0"/>
    <n v="0"/>
    <m/>
    <m/>
    <n v="0"/>
    <n v="0"/>
    <m/>
    <n v="0"/>
    <m/>
    <n v="0"/>
    <m/>
    <m/>
    <m/>
    <n v="0"/>
    <n v="0"/>
    <n v="0"/>
    <m/>
    <m/>
  </r>
  <r>
    <x v="13"/>
    <s v="Odessa College "/>
    <m/>
    <n v="227304"/>
    <x v="7"/>
    <n v="92156"/>
    <n v="81883"/>
    <n v="49412"/>
    <n v="37448"/>
    <n v="8453"/>
    <n v="9403"/>
    <n v="34291"/>
    <n v="0"/>
    <n v="0"/>
    <n v="35032"/>
    <n v="0"/>
    <n v="0"/>
    <m/>
    <m/>
    <n v="0"/>
    <n v="0"/>
    <m/>
    <n v="0"/>
    <m/>
    <n v="0"/>
    <m/>
    <m/>
    <m/>
    <n v="0"/>
    <n v="0"/>
    <n v="0"/>
    <m/>
    <m/>
  </r>
  <r>
    <x v="13"/>
    <s v="Paris Junior College"/>
    <m/>
    <n v="227401"/>
    <x v="7"/>
    <n v="113353"/>
    <n v="112101"/>
    <n v="40736"/>
    <n v="35792"/>
    <n v="36881"/>
    <n v="34242"/>
    <n v="32652"/>
    <n v="3084"/>
    <n v="0"/>
    <n v="39194"/>
    <n v="2873"/>
    <n v="0"/>
    <m/>
    <m/>
    <n v="0"/>
    <n v="0"/>
    <m/>
    <n v="0"/>
    <m/>
    <n v="0"/>
    <m/>
    <m/>
    <m/>
    <n v="0"/>
    <n v="0"/>
    <n v="0"/>
    <m/>
    <m/>
  </r>
  <r>
    <x v="13"/>
    <s v="Southwest Texas Junior College "/>
    <m/>
    <n v="228316"/>
    <x v="7"/>
    <n v="102183"/>
    <n v="98586"/>
    <n v="25723"/>
    <n v="24595"/>
    <n v="49736"/>
    <n v="48416"/>
    <n v="10665"/>
    <n v="16059"/>
    <n v="0"/>
    <n v="10028"/>
    <n v="15547"/>
    <n v="0"/>
    <m/>
    <m/>
    <n v="0"/>
    <n v="0"/>
    <m/>
    <n v="0"/>
    <m/>
    <n v="0"/>
    <m/>
    <m/>
    <m/>
    <n v="0"/>
    <n v="0"/>
    <n v="0"/>
    <m/>
    <m/>
  </r>
  <r>
    <x v="13"/>
    <s v="Temple College "/>
    <m/>
    <n v="228608"/>
    <x v="7"/>
    <n v="113034"/>
    <n v="108589"/>
    <n v="63129"/>
    <n v="60435"/>
    <n v="13333"/>
    <n v="13370"/>
    <n v="36395"/>
    <n v="177"/>
    <n v="0"/>
    <n v="34618"/>
    <n v="166"/>
    <n v="0"/>
    <m/>
    <m/>
    <n v="0"/>
    <n v="0"/>
    <m/>
    <n v="0"/>
    <m/>
    <n v="0"/>
    <m/>
    <m/>
    <m/>
    <n v="0"/>
    <n v="0"/>
    <n v="0"/>
    <m/>
    <m/>
  </r>
  <r>
    <x v="13"/>
    <s v="Texarkana College "/>
    <m/>
    <n v="228699"/>
    <x v="7"/>
    <n v="77458"/>
    <n v="78255"/>
    <n v="57446"/>
    <n v="63231"/>
    <n v="11714"/>
    <n v="6072"/>
    <n v="8268"/>
    <n v="30"/>
    <n v="0"/>
    <n v="8916"/>
    <n v="0"/>
    <n v="36"/>
    <m/>
    <m/>
    <n v="0"/>
    <n v="0"/>
    <m/>
    <n v="0"/>
    <m/>
    <n v="0"/>
    <m/>
    <m/>
    <m/>
    <n v="0"/>
    <n v="0"/>
    <n v="0"/>
    <m/>
    <m/>
  </r>
  <r>
    <x v="13"/>
    <s v="Texas State Technical College-Harlingen "/>
    <m/>
    <n v="229319"/>
    <x v="7"/>
    <n v="120340"/>
    <n v="121406"/>
    <n v="108351"/>
    <n v="105600"/>
    <n v="4814"/>
    <n v="8470"/>
    <n v="7175"/>
    <n v="0"/>
    <n v="0"/>
    <n v="7336"/>
    <n v="0"/>
    <n v="0"/>
    <m/>
    <m/>
    <n v="0"/>
    <n v="0"/>
    <m/>
    <n v="0"/>
    <m/>
    <n v="0"/>
    <m/>
    <m/>
    <m/>
    <n v="0"/>
    <n v="0"/>
    <n v="0"/>
    <m/>
    <m/>
  </r>
  <r>
    <x v="13"/>
    <s v="Vernon College "/>
    <m/>
    <n v="229504"/>
    <x v="7"/>
    <n v="64253"/>
    <n v="62837"/>
    <n v="8704"/>
    <n v="9708"/>
    <n v="30997"/>
    <n v="33583"/>
    <n v="20098"/>
    <n v="4454"/>
    <n v="0"/>
    <n v="16877"/>
    <n v="2597"/>
    <n v="72"/>
    <m/>
    <m/>
    <n v="0"/>
    <n v="0"/>
    <m/>
    <n v="0"/>
    <m/>
    <n v="0"/>
    <m/>
    <m/>
    <m/>
    <n v="0"/>
    <n v="0"/>
    <n v="0"/>
    <m/>
    <m/>
  </r>
  <r>
    <x v="13"/>
    <s v="Victoria College "/>
    <m/>
    <n v="229540"/>
    <x v="7"/>
    <n v="79922"/>
    <n v="73904"/>
    <n v="51936"/>
    <n v="47430"/>
    <n v="5204"/>
    <n v="5029"/>
    <n v="18847"/>
    <n v="3935"/>
    <n v="0"/>
    <n v="17761"/>
    <n v="3684"/>
    <n v="0"/>
    <m/>
    <m/>
    <n v="0"/>
    <n v="0"/>
    <m/>
    <n v="0"/>
    <m/>
    <n v="0"/>
    <m/>
    <m/>
    <m/>
    <n v="0"/>
    <n v="0"/>
    <n v="0"/>
    <m/>
    <m/>
  </r>
  <r>
    <x v="13"/>
    <s v="Weatherford College "/>
    <m/>
    <n v="229799"/>
    <x v="7"/>
    <n v="114287"/>
    <n v="113019"/>
    <n v="61434"/>
    <n v="59747"/>
    <n v="18564"/>
    <n v="17668"/>
    <n v="32050"/>
    <n v="2239"/>
    <n v="0"/>
    <n v="33551"/>
    <n v="2053"/>
    <n v="0"/>
    <m/>
    <m/>
    <n v="0"/>
    <n v="0"/>
    <m/>
    <n v="0"/>
    <m/>
    <n v="0"/>
    <m/>
    <m/>
    <m/>
    <n v="0"/>
    <n v="0"/>
    <n v="0"/>
    <m/>
    <m/>
  </r>
  <r>
    <x v="13"/>
    <s v="Wharton County Junior College "/>
    <m/>
    <n v="229841"/>
    <x v="7"/>
    <n v="146652"/>
    <n v="145055"/>
    <n v="37209"/>
    <n v="35467"/>
    <n v="83202"/>
    <n v="83314"/>
    <n v="23645"/>
    <n v="2590"/>
    <n v="6"/>
    <n v="23601"/>
    <n v="2673"/>
    <n v="0"/>
    <m/>
    <m/>
    <n v="0"/>
    <n v="0"/>
    <m/>
    <n v="0"/>
    <m/>
    <n v="0"/>
    <m/>
    <m/>
    <m/>
    <n v="0"/>
    <n v="0"/>
    <n v="0"/>
    <m/>
    <m/>
  </r>
  <r>
    <x v="13"/>
    <s v="Clarendon College "/>
    <m/>
    <n v="223922"/>
    <x v="8"/>
    <n v="27995"/>
    <n v="28445"/>
    <n v="9437"/>
    <n v="11449"/>
    <n v="10026"/>
    <n v="9854"/>
    <n v="7924"/>
    <n v="608"/>
    <n v="0"/>
    <n v="6538"/>
    <n v="604"/>
    <n v="0"/>
    <m/>
    <m/>
    <n v="0"/>
    <n v="0"/>
    <m/>
    <n v="0"/>
    <m/>
    <n v="0"/>
    <m/>
    <m/>
    <m/>
    <n v="0"/>
    <n v="0"/>
    <n v="0"/>
    <m/>
    <m/>
  </r>
  <r>
    <x v="13"/>
    <s v="Frank Phillips College "/>
    <m/>
    <n v="224891"/>
    <x v="8"/>
    <n v="23096"/>
    <n v="23649"/>
    <n v="15333"/>
    <n v="15014"/>
    <n v="2524"/>
    <n v="2570"/>
    <n v="1728"/>
    <n v="0"/>
    <n v="3511"/>
    <n v="1789"/>
    <n v="36"/>
    <n v="4240"/>
    <m/>
    <m/>
    <n v="0"/>
    <n v="0"/>
    <m/>
    <n v="0"/>
    <m/>
    <n v="0"/>
    <m/>
    <m/>
    <m/>
    <n v="0"/>
    <n v="0"/>
    <n v="0"/>
    <m/>
    <m/>
  </r>
  <r>
    <x v="13"/>
    <s v="Galveston College "/>
    <m/>
    <n v="224961"/>
    <x v="8"/>
    <n v="46135"/>
    <n v="43185"/>
    <n v="45625"/>
    <n v="37102"/>
    <n v="380"/>
    <n v="313"/>
    <n v="91"/>
    <n v="0"/>
    <n v="39"/>
    <n v="5770"/>
    <n v="0"/>
    <n v="0"/>
    <m/>
    <m/>
    <n v="0"/>
    <n v="0"/>
    <m/>
    <n v="0"/>
    <m/>
    <n v="0"/>
    <m/>
    <m/>
    <m/>
    <n v="0"/>
    <n v="0"/>
    <n v="0"/>
    <m/>
    <m/>
  </r>
  <r>
    <x v="13"/>
    <s v="Lamar State College-Orange"/>
    <m/>
    <n v="226107"/>
    <x v="8"/>
    <n v="49973"/>
    <n v="46760"/>
    <n v="36445"/>
    <n v="35212"/>
    <n v="2636"/>
    <n v="1853"/>
    <n v="10892"/>
    <n v="0"/>
    <n v="0"/>
    <n v="9695"/>
    <n v="0"/>
    <n v="0"/>
    <m/>
    <m/>
    <n v="0"/>
    <n v="0"/>
    <m/>
    <n v="0"/>
    <m/>
    <n v="0"/>
    <m/>
    <m/>
    <m/>
    <n v="0"/>
    <n v="0"/>
    <n v="0"/>
    <m/>
    <m/>
  </r>
  <r>
    <x v="13"/>
    <s v="Northeast Lakeview College (ACCD)"/>
    <m/>
    <s v="???"/>
    <x v="8"/>
    <n v="11853"/>
    <n v="28066"/>
    <n v="11620"/>
    <n v="25260"/>
    <n v="0"/>
    <n v="0"/>
    <n v="233"/>
    <n v="0"/>
    <n v="0"/>
    <n v="2806"/>
    <n v="0"/>
    <n v="0"/>
    <m/>
    <m/>
    <n v="0"/>
    <n v="0"/>
    <m/>
    <n v="0"/>
    <m/>
    <n v="0"/>
    <m/>
    <m/>
    <m/>
    <n v="0"/>
    <n v="0"/>
    <n v="0"/>
    <m/>
    <m/>
  </r>
  <r>
    <x v="13"/>
    <s v="Panola College"/>
    <m/>
    <n v="227386"/>
    <x v="8"/>
    <n v="55745"/>
    <n v="55868"/>
    <n v="24605"/>
    <n v="23987"/>
    <n v="8190"/>
    <n v="7719"/>
    <n v="21861"/>
    <n v="1089"/>
    <n v="0"/>
    <n v="23137"/>
    <n v="1025"/>
    <n v="0"/>
    <m/>
    <m/>
    <n v="0"/>
    <n v="0"/>
    <m/>
    <n v="0"/>
    <m/>
    <n v="0"/>
    <m/>
    <m/>
    <m/>
    <n v="0"/>
    <n v="0"/>
    <n v="0"/>
    <m/>
    <m/>
  </r>
  <r>
    <x v="13"/>
    <s v="Ranger College "/>
    <m/>
    <n v="227687"/>
    <x v="8"/>
    <n v="42454"/>
    <n v="42905"/>
    <n v="12553"/>
    <n v="12924"/>
    <n v="15462"/>
    <n v="16306"/>
    <n v="10731"/>
    <n v="2958"/>
    <n v="750"/>
    <n v="10745"/>
    <n v="2651"/>
    <n v="279"/>
    <m/>
    <m/>
    <n v="0"/>
    <n v="0"/>
    <m/>
    <n v="0"/>
    <m/>
    <n v="0"/>
    <m/>
    <m/>
    <m/>
    <n v="0"/>
    <n v="0"/>
    <n v="0"/>
    <m/>
    <m/>
  </r>
  <r>
    <x v="13"/>
    <s v="Southwest Collegiate Institute for the Deaf (HCJCD)"/>
    <m/>
    <n v="382911"/>
    <x v="8"/>
    <n v="2842"/>
    <n v="2735"/>
    <n v="2815"/>
    <n v="2567"/>
    <n v="0"/>
    <n v="123"/>
    <n v="24"/>
    <n v="3"/>
    <n v="0"/>
    <n v="9"/>
    <n v="36"/>
    <n v="0"/>
    <m/>
    <m/>
    <n v="0"/>
    <n v="0"/>
    <m/>
    <n v="0"/>
    <m/>
    <n v="0"/>
    <m/>
    <m/>
    <m/>
    <n v="0"/>
    <n v="0"/>
    <n v="0"/>
    <m/>
    <m/>
  </r>
  <r>
    <x v="13"/>
    <s v="Texas State Technical College-Marshall"/>
    <m/>
    <n v="408394"/>
    <x v="8"/>
    <n v="18824"/>
    <n v="19057"/>
    <n v="12748"/>
    <n v="11517"/>
    <n v="621"/>
    <n v="1406"/>
    <n v="5455"/>
    <n v="0"/>
    <n v="0"/>
    <n v="6134"/>
    <n v="0"/>
    <n v="0"/>
    <m/>
    <m/>
    <n v="0"/>
    <n v="0"/>
    <m/>
    <n v="0"/>
    <m/>
    <n v="0"/>
    <m/>
    <m/>
    <m/>
    <n v="0"/>
    <n v="0"/>
    <n v="0"/>
    <m/>
    <m/>
  </r>
  <r>
    <x v="13"/>
    <s v="Texas State Technical College-West Texas"/>
    <m/>
    <n v="229328"/>
    <x v="8"/>
    <n v="26348"/>
    <n v="29183"/>
    <n v="5456"/>
    <n v="6337"/>
    <n v="6388"/>
    <n v="6540"/>
    <n v="14410"/>
    <n v="94"/>
    <n v="0"/>
    <n v="16288"/>
    <n v="18"/>
    <n v="0"/>
    <m/>
    <m/>
    <n v="0"/>
    <n v="0"/>
    <m/>
    <n v="0"/>
    <m/>
    <n v="0"/>
    <m/>
    <m/>
    <m/>
    <n v="0"/>
    <n v="0"/>
    <n v="0"/>
    <m/>
    <m/>
  </r>
  <r>
    <x v="13"/>
    <s v="Western Texas College "/>
    <m/>
    <n v="229832"/>
    <x v="8"/>
    <n v="46104"/>
    <n v="43246"/>
    <n v="13623"/>
    <n v="13074"/>
    <n v="6840"/>
    <n v="6779"/>
    <n v="22257"/>
    <n v="3378"/>
    <n v="6"/>
    <n v="19814"/>
    <n v="3579"/>
    <n v="0"/>
    <m/>
    <m/>
    <n v="0"/>
    <n v="0"/>
    <m/>
    <n v="0"/>
    <m/>
    <n v="0"/>
    <m/>
    <m/>
    <m/>
    <n v="0"/>
    <n v="0"/>
    <n v="0"/>
    <m/>
    <m/>
  </r>
  <r>
    <x v="13"/>
    <s v="University of North Texas at Dallas"/>
    <s v="New fall 2009. No degrees yet granted."/>
    <s v="???"/>
    <x v="14"/>
    <n v="34170"/>
    <n v="37352"/>
    <n v="33162"/>
    <n v="28243"/>
    <n v="288"/>
    <n v="231"/>
    <n v="720"/>
    <n v="0"/>
    <n v="0"/>
    <n v="8797"/>
    <n v="81"/>
    <n v="0"/>
    <m/>
    <m/>
    <n v="3894"/>
    <n v="4624"/>
    <n v="3456"/>
    <n v="3340"/>
    <n v="27"/>
    <n v="75"/>
    <n v="411"/>
    <n v="0"/>
    <n v="0"/>
    <n v="1209"/>
    <n v="0"/>
    <n v="0"/>
    <m/>
    <m/>
  </r>
  <r>
    <x v="13"/>
    <s v="University of North Texas at Dallas College of Law"/>
    <s v="New fall 2014?"/>
    <s v="???"/>
    <x v="14"/>
    <n v="0"/>
    <n v="0"/>
    <m/>
    <n v="0"/>
    <m/>
    <n v="0"/>
    <m/>
    <m/>
    <m/>
    <n v="0"/>
    <n v="0"/>
    <n v="0"/>
    <m/>
    <m/>
    <n v="0"/>
    <n v="2191"/>
    <m/>
    <n v="2191"/>
    <m/>
    <n v="0"/>
    <m/>
    <m/>
    <m/>
    <n v="0"/>
    <n v="0"/>
    <n v="0"/>
    <m/>
    <m/>
  </r>
  <r>
    <x v="14"/>
    <s v="George Mason University "/>
    <m/>
    <n v="232186"/>
    <x v="0"/>
    <n v="601513"/>
    <n v="620785.5"/>
    <n v="542533"/>
    <n v="554395"/>
    <n v="20354"/>
    <n v="20408.5"/>
    <n v="33469"/>
    <n v="5157"/>
    <m/>
    <n v="41311"/>
    <n v="4671"/>
    <m/>
    <m/>
    <m/>
    <n v="171885.6"/>
    <n v="166366.5"/>
    <n v="130479.6"/>
    <n v="123347"/>
    <n v="25485"/>
    <n v="24837.5"/>
    <n v="12220"/>
    <n v="3701"/>
    <m/>
    <n v="14670"/>
    <n v="3512"/>
    <m/>
    <m/>
    <m/>
  </r>
  <r>
    <x v="14"/>
    <s v="Old Dominion University "/>
    <m/>
    <n v="232982"/>
    <x v="0"/>
    <n v="516289"/>
    <n v="523299"/>
    <n v="432956"/>
    <n v="431867"/>
    <n v="1045"/>
    <n v="838"/>
    <n v="55834"/>
    <n v="26454"/>
    <m/>
    <n v="64847"/>
    <n v="25747"/>
    <m/>
    <m/>
    <m/>
    <n v="72248"/>
    <n v="69982"/>
    <n v="46156"/>
    <n v="42556"/>
    <n v="2635"/>
    <n v="1920"/>
    <n v="12808"/>
    <n v="10649"/>
    <m/>
    <n v="14476"/>
    <n v="11030"/>
    <m/>
    <m/>
    <m/>
  </r>
  <r>
    <x v="14"/>
    <s v="University of Virginia"/>
    <m/>
    <n v="234076"/>
    <x v="0"/>
    <n v="470209"/>
    <n v="483467.5"/>
    <n v="434404"/>
    <n v="444796"/>
    <n v="32728"/>
    <n v="35646.5"/>
    <n v="2936"/>
    <n v="141"/>
    <m/>
    <n v="2884"/>
    <n v="141"/>
    <m/>
    <m/>
    <m/>
    <n v="187517.5"/>
    <n v="183654.9"/>
    <n v="168677.5"/>
    <n v="165697.1"/>
    <n v="10719"/>
    <n v="9858"/>
    <n v="7198"/>
    <n v="923"/>
    <m/>
    <n v="6597"/>
    <n v="1502.8"/>
    <m/>
    <m/>
    <m/>
  </r>
  <r>
    <x v="14"/>
    <s v="Virginia Tech "/>
    <m/>
    <n v="233921"/>
    <x v="0"/>
    <n v="757119"/>
    <n v="761729"/>
    <n v="745471"/>
    <n v="745439"/>
    <n v="278"/>
    <n v="394"/>
    <n v="10572"/>
    <n v="798"/>
    <m/>
    <n v="15151"/>
    <n v="745"/>
    <m/>
    <m/>
    <m/>
    <n v="146427.4"/>
    <n v="144439"/>
    <n v="111028.4"/>
    <n v="110389"/>
    <n v="21839"/>
    <n v="21116"/>
    <n v="9041"/>
    <n v="4519"/>
    <m/>
    <n v="8784"/>
    <n v="4150"/>
    <m/>
    <m/>
    <m/>
  </r>
  <r>
    <x v="14"/>
    <s v="College of William &amp; Mary"/>
    <m/>
    <n v="231624"/>
    <x v="1"/>
    <n v="183796.4"/>
    <n v="184836.8"/>
    <n v="179647"/>
    <n v="180540.5"/>
    <n v="4099.3999999999996"/>
    <n v="4173.3"/>
    <n v="0"/>
    <n v="50"/>
    <m/>
    <n v="69"/>
    <n v="54"/>
    <m/>
    <m/>
    <m/>
    <n v="54881"/>
    <n v="55441.5"/>
    <n v="50030.5"/>
    <n v="50737"/>
    <n v="4757.5"/>
    <n v="4587.5"/>
    <n v="0"/>
    <n v="93"/>
    <m/>
    <n v="0"/>
    <n v="117"/>
    <m/>
    <m/>
    <m/>
  </r>
  <r>
    <x v="14"/>
    <s v="Virginia Commonwealth University"/>
    <s v="Met the criteria for Four-Year 1 in 2013-14 and 2014-15."/>
    <n v="234030"/>
    <x v="1"/>
    <n v="651527.5"/>
    <n v="655957.5"/>
    <n v="608404"/>
    <n v="602045.5"/>
    <n v="8221"/>
    <n v="8065"/>
    <n v="34902.5"/>
    <n v="0"/>
    <m/>
    <n v="44890"/>
    <n v="957"/>
    <m/>
    <m/>
    <m/>
    <n v="132733.5"/>
    <n v="131586.5"/>
    <n v="116745.5"/>
    <n v="116352.5"/>
    <n v="7056"/>
    <n v="5443"/>
    <n v="8932"/>
    <n v="0"/>
    <m/>
    <n v="8670"/>
    <n v="1121"/>
    <m/>
    <m/>
    <m/>
  </r>
  <r>
    <x v="14"/>
    <s v="James Madison University"/>
    <m/>
    <n v="232423"/>
    <x v="2"/>
    <n v="552495"/>
    <n v="562519"/>
    <n v="517758"/>
    <n v="529318"/>
    <n v="12243"/>
    <n v="10963"/>
    <n v="22473"/>
    <n v="21"/>
    <m/>
    <n v="22226"/>
    <n v="12"/>
    <m/>
    <m/>
    <m/>
    <n v="34795"/>
    <n v="35321"/>
    <n v="28233"/>
    <n v="28199"/>
    <n v="2621"/>
    <n v="2513"/>
    <n v="3914"/>
    <n v="27"/>
    <m/>
    <n v="4546"/>
    <n v="63"/>
    <m/>
    <m/>
    <m/>
  </r>
  <r>
    <x v="14"/>
    <s v="Longwood University "/>
    <m/>
    <n v="232566"/>
    <x v="2"/>
    <n v="129648"/>
    <n v="133119.5"/>
    <n v="118825"/>
    <n v="121139.5"/>
    <n v="359"/>
    <n v="653"/>
    <n v="10034"/>
    <n v="430"/>
    <m/>
    <n v="11070"/>
    <n v="257"/>
    <m/>
    <m/>
    <m/>
    <n v="7268"/>
    <n v="8242"/>
    <n v="3831"/>
    <n v="3740"/>
    <n v="653"/>
    <n v="1008"/>
    <n v="2673"/>
    <n v="111"/>
    <m/>
    <n v="3236"/>
    <n v="258"/>
    <m/>
    <m/>
    <m/>
  </r>
  <r>
    <x v="14"/>
    <s v="Norfolk State University "/>
    <m/>
    <n v="232937"/>
    <x v="2"/>
    <n v="153969"/>
    <n v="156194"/>
    <n v="135665"/>
    <n v="124660"/>
    <n v="18304"/>
    <n v="3417"/>
    <n v="0"/>
    <n v="0"/>
    <m/>
    <n v="28117"/>
    <n v="0"/>
    <m/>
    <m/>
    <m/>
    <n v="11650"/>
    <n v="12095"/>
    <n v="9922"/>
    <n v="9936"/>
    <n v="1728"/>
    <n v="0"/>
    <n v="0"/>
    <n v="0"/>
    <m/>
    <n v="2159"/>
    <n v="0"/>
    <m/>
    <m/>
    <m/>
  </r>
  <r>
    <x v="14"/>
    <s v="Radford University"/>
    <s v="Met the criteria for Four-Year 2 in 2014-15."/>
    <n v="233277"/>
    <x v="2"/>
    <n v="260127"/>
    <n v="264082"/>
    <n v="241996"/>
    <n v="240132"/>
    <n v="4651"/>
    <n v="4571"/>
    <n v="11600"/>
    <n v="1880"/>
    <m/>
    <n v="17259"/>
    <n v="2120"/>
    <m/>
    <m/>
    <m/>
    <n v="20688"/>
    <n v="20859"/>
    <n v="13288"/>
    <n v="12537"/>
    <n v="2957"/>
    <n v="3366"/>
    <n v="2408"/>
    <n v="2035"/>
    <m/>
    <n v="2355"/>
    <n v="2601"/>
    <m/>
    <m/>
    <m/>
  </r>
  <r>
    <x v="14"/>
    <s v="University of Mary Washington "/>
    <m/>
    <n v="232681"/>
    <x v="2"/>
    <n v="124178"/>
    <n v="120254"/>
    <n v="120605"/>
    <n v="115261"/>
    <n v="0"/>
    <n v="0"/>
    <n v="3393"/>
    <n v="180"/>
    <m/>
    <n v="4960"/>
    <n v="33"/>
    <m/>
    <m/>
    <m/>
    <n v="7323.8"/>
    <n v="5868.2000000000007"/>
    <n v="6185.8"/>
    <n v="3825.8"/>
    <n v="0"/>
    <n v="0"/>
    <n v="1138"/>
    <n v="0"/>
    <m/>
    <n v="2036.4"/>
    <n v="6"/>
    <m/>
    <m/>
    <m/>
  </r>
  <r>
    <x v="14"/>
    <s v="Virginia State University "/>
    <m/>
    <n v="234155"/>
    <x v="2"/>
    <n v="157322"/>
    <n v="141004"/>
    <n v="153551"/>
    <n v="138190"/>
    <n v="1981"/>
    <n v="2003"/>
    <n v="1790"/>
    <n v="0"/>
    <m/>
    <n v="811"/>
    <n v="0"/>
    <m/>
    <m/>
    <m/>
    <n v="11284"/>
    <n v="9514"/>
    <n v="9706"/>
    <n v="8893"/>
    <n v="1578"/>
    <n v="621"/>
    <n v="0"/>
    <n v="0"/>
    <m/>
    <n v="0"/>
    <n v="0"/>
    <m/>
    <m/>
    <m/>
  </r>
  <r>
    <x v="14"/>
    <s v="Christopher Newport University"/>
    <s v="Met the criteria for Four-Year 4 in 2014-15."/>
    <n v="231712"/>
    <x v="4"/>
    <n v="148247"/>
    <n v="148364"/>
    <n v="147851"/>
    <n v="147848"/>
    <n v="396"/>
    <n v="516"/>
    <n v="0"/>
    <n v="0"/>
    <m/>
    <n v="0"/>
    <n v="0"/>
    <m/>
    <m/>
    <m/>
    <n v="3662"/>
    <n v="3394"/>
    <n v="3613"/>
    <n v="3335"/>
    <n v="49"/>
    <n v="59"/>
    <n v="0"/>
    <n v="0"/>
    <m/>
    <n v="0"/>
    <n v="0"/>
    <m/>
    <m/>
    <m/>
  </r>
  <r>
    <x v="14"/>
    <s v="University of Virginia's College at Wise "/>
    <m/>
    <n v="233897"/>
    <x v="5"/>
    <n v="50987"/>
    <n v="52685"/>
    <n v="44332"/>
    <n v="42229"/>
    <n v="399"/>
    <n v="117"/>
    <n v="6256"/>
    <n v="0"/>
    <m/>
    <n v="10339"/>
    <n v="0"/>
    <m/>
    <m/>
    <m/>
    <n v="0"/>
    <n v="0"/>
    <m/>
    <m/>
    <m/>
    <m/>
    <m/>
    <m/>
    <m/>
    <m/>
    <m/>
    <m/>
    <m/>
    <m/>
  </r>
  <r>
    <x v="14"/>
    <s v="J.S. Reynolds Community College"/>
    <m/>
    <n v="232414"/>
    <x v="6"/>
    <n v="245782"/>
    <n v="232247"/>
    <n v="150682"/>
    <n v="146267"/>
    <n v="16220"/>
    <n v="8193"/>
    <n v="78655"/>
    <n v="225"/>
    <m/>
    <n v="77685"/>
    <n v="102"/>
    <m/>
    <m/>
    <m/>
    <n v="0"/>
    <n v="0"/>
    <m/>
    <m/>
    <m/>
    <m/>
    <m/>
    <m/>
    <m/>
    <m/>
    <m/>
    <m/>
    <m/>
    <m/>
  </r>
  <r>
    <x v="14"/>
    <s v="John Tyler Community College"/>
    <m/>
    <n v="232450"/>
    <x v="6"/>
    <n v="173612"/>
    <n v="170311"/>
    <n v="101671"/>
    <n v="100372"/>
    <n v="20865"/>
    <n v="19876"/>
    <n v="50988"/>
    <n v="88"/>
    <m/>
    <n v="50008"/>
    <n v="55"/>
    <m/>
    <m/>
    <m/>
    <n v="0"/>
    <n v="0"/>
    <m/>
    <m/>
    <m/>
    <m/>
    <m/>
    <m/>
    <m/>
    <m/>
    <m/>
    <m/>
    <m/>
    <m/>
  </r>
  <r>
    <x v="14"/>
    <s v="Northern Virginia Community College "/>
    <m/>
    <n v="232946"/>
    <x v="6"/>
    <n v="1071619"/>
    <n v="1057740"/>
    <n v="772556"/>
    <n v="742325"/>
    <n v="54176"/>
    <n v="58234"/>
    <n v="242089"/>
    <n v="2798"/>
    <m/>
    <n v="255899"/>
    <n v="1282"/>
    <m/>
    <m/>
    <m/>
    <n v="0"/>
    <n v="0"/>
    <m/>
    <m/>
    <m/>
    <m/>
    <m/>
    <m/>
    <m/>
    <m/>
    <m/>
    <m/>
    <m/>
    <m/>
  </r>
  <r>
    <x v="14"/>
    <s v="Thomas Nelson Community College "/>
    <m/>
    <n v="233754"/>
    <x v="6"/>
    <n v="211744"/>
    <n v="205718"/>
    <n v="144192"/>
    <n v="139685"/>
    <n v="14375"/>
    <n v="12177"/>
    <n v="53055"/>
    <n v="122"/>
    <m/>
    <n v="53704"/>
    <n v="152"/>
    <m/>
    <m/>
    <m/>
    <n v="0"/>
    <n v="0"/>
    <m/>
    <m/>
    <m/>
    <m/>
    <m/>
    <m/>
    <m/>
    <m/>
    <m/>
    <m/>
    <m/>
    <m/>
  </r>
  <r>
    <x v="14"/>
    <s v="Tidewater Community College "/>
    <m/>
    <n v="233772"/>
    <x v="6"/>
    <n v="618451"/>
    <n v="586435"/>
    <n v="406191"/>
    <n v="384979"/>
    <n v="38096"/>
    <n v="35536"/>
    <n v="174043"/>
    <n v="121"/>
    <m/>
    <n v="165833"/>
    <n v="87"/>
    <m/>
    <m/>
    <m/>
    <n v="0"/>
    <n v="0"/>
    <m/>
    <m/>
    <m/>
    <m/>
    <m/>
    <m/>
    <m/>
    <m/>
    <m/>
    <m/>
    <m/>
    <m/>
  </r>
  <r>
    <x v="14"/>
    <s v="Blue Ridge Community College "/>
    <m/>
    <n v="231536"/>
    <x v="7"/>
    <n v="85447"/>
    <n v="86430"/>
    <n v="44330"/>
    <n v="43918"/>
    <n v="10670"/>
    <n v="9665"/>
    <n v="30447"/>
    <n v="0"/>
    <m/>
    <n v="32847"/>
    <n v="0"/>
    <m/>
    <m/>
    <m/>
    <n v="0"/>
    <n v="0"/>
    <m/>
    <m/>
    <m/>
    <m/>
    <m/>
    <m/>
    <m/>
    <m/>
    <m/>
    <m/>
    <m/>
    <m/>
  </r>
  <r>
    <x v="14"/>
    <s v="Central Virginia Community College "/>
    <m/>
    <n v="231697"/>
    <x v="7"/>
    <n v="82433"/>
    <n v="79535"/>
    <n v="49383"/>
    <n v="48565"/>
    <n v="16183"/>
    <n v="14767"/>
    <n v="13136"/>
    <n v="3731"/>
    <m/>
    <n v="13058"/>
    <n v="3145"/>
    <m/>
    <m/>
    <m/>
    <n v="0"/>
    <n v="0"/>
    <m/>
    <m/>
    <m/>
    <m/>
    <m/>
    <m/>
    <m/>
    <m/>
    <m/>
    <m/>
    <m/>
    <m/>
  </r>
  <r>
    <x v="14"/>
    <s v="Danville Community College "/>
    <m/>
    <n v="231882"/>
    <x v="7"/>
    <n v="81118"/>
    <n v="75768"/>
    <n v="52101"/>
    <n v="47788"/>
    <n v="19113"/>
    <n v="19436"/>
    <n v="9278"/>
    <n v="626"/>
    <m/>
    <n v="8006"/>
    <n v="538"/>
    <m/>
    <m/>
    <m/>
    <n v="0"/>
    <n v="0"/>
    <m/>
    <m/>
    <m/>
    <m/>
    <m/>
    <m/>
    <m/>
    <m/>
    <m/>
    <m/>
    <m/>
    <m/>
  </r>
  <r>
    <x v="14"/>
    <s v="Germanna Community College"/>
    <m/>
    <n v="232195"/>
    <x v="7"/>
    <n v="132456"/>
    <n v="133739"/>
    <n v="73945"/>
    <n v="73637"/>
    <n v="18430"/>
    <n v="18881"/>
    <n v="28840"/>
    <n v="11241"/>
    <m/>
    <n v="29775"/>
    <n v="11446"/>
    <m/>
    <m/>
    <m/>
    <n v="0"/>
    <n v="0"/>
    <m/>
    <m/>
    <m/>
    <m/>
    <m/>
    <m/>
    <m/>
    <m/>
    <m/>
    <m/>
    <m/>
    <m/>
  </r>
  <r>
    <x v="14"/>
    <s v="Lord Fairfax Community College"/>
    <m/>
    <n v="232575"/>
    <x v="7"/>
    <n v="123820"/>
    <n v="120783"/>
    <n v="65407"/>
    <n v="59194"/>
    <n v="22764"/>
    <n v="22939"/>
    <n v="28825"/>
    <n v="6824"/>
    <m/>
    <n v="30941"/>
    <n v="7709"/>
    <m/>
    <m/>
    <m/>
    <n v="0"/>
    <n v="0"/>
    <m/>
    <m/>
    <m/>
    <m/>
    <m/>
    <m/>
    <m/>
    <m/>
    <m/>
    <m/>
    <m/>
    <m/>
  </r>
  <r>
    <x v="14"/>
    <s v="Mountain Empire Community College"/>
    <s v="Met the criteria for Two-Year 3 in 2013-14 and 2014-15. "/>
    <n v="232788"/>
    <x v="7"/>
    <n v="57228"/>
    <n v="53356"/>
    <n v="26223"/>
    <n v="26379"/>
    <n v="8953"/>
    <n v="8069"/>
    <n v="20685"/>
    <n v="1367"/>
    <m/>
    <n v="17307"/>
    <n v="1601"/>
    <m/>
    <m/>
    <m/>
    <n v="0"/>
    <n v="0"/>
    <m/>
    <m/>
    <m/>
    <m/>
    <m/>
    <m/>
    <m/>
    <m/>
    <m/>
    <m/>
    <m/>
    <m/>
  </r>
  <r>
    <x v="14"/>
    <s v="New River Community College "/>
    <m/>
    <n v="232867"/>
    <x v="7"/>
    <n v="88660"/>
    <n v="86634"/>
    <n v="26922"/>
    <n v="27236"/>
    <n v="29259"/>
    <n v="27582"/>
    <n v="32056"/>
    <n v="423"/>
    <m/>
    <n v="31075"/>
    <n v="741"/>
    <m/>
    <m/>
    <m/>
    <n v="0"/>
    <n v="0"/>
    <m/>
    <m/>
    <m/>
    <m/>
    <m/>
    <m/>
    <m/>
    <m/>
    <m/>
    <m/>
    <m/>
    <m/>
  </r>
  <r>
    <x v="14"/>
    <s v="Patrick Henry Community College "/>
    <m/>
    <n v="233019"/>
    <x v="7"/>
    <n v="67130"/>
    <n v="63752"/>
    <n v="31190"/>
    <n v="30416"/>
    <n v="12837"/>
    <n v="13091"/>
    <n v="21256"/>
    <n v="1847"/>
    <m/>
    <n v="19244"/>
    <n v="1001"/>
    <m/>
    <m/>
    <m/>
    <n v="0"/>
    <n v="0"/>
    <m/>
    <m/>
    <m/>
    <m/>
    <m/>
    <m/>
    <m/>
    <m/>
    <m/>
    <m/>
    <m/>
    <m/>
  </r>
  <r>
    <x v="14"/>
    <s v="Piedmont Virginia Community College "/>
    <m/>
    <n v="233116"/>
    <x v="7"/>
    <n v="90127"/>
    <n v="90935"/>
    <n v="57176"/>
    <n v="54893"/>
    <n v="13560"/>
    <n v="16280"/>
    <n v="18801"/>
    <n v="590"/>
    <m/>
    <n v="19212"/>
    <n v="550"/>
    <m/>
    <m/>
    <m/>
    <n v="0"/>
    <n v="0"/>
    <m/>
    <m/>
    <m/>
    <m/>
    <m/>
    <m/>
    <m/>
    <m/>
    <m/>
    <m/>
    <m/>
    <m/>
  </r>
  <r>
    <x v="14"/>
    <s v="Southside Virginia Community College"/>
    <m/>
    <n v="233639"/>
    <x v="7"/>
    <n v="110268"/>
    <n v="102894"/>
    <n v="24294"/>
    <n v="24535"/>
    <n v="54785"/>
    <n v="50364"/>
    <n v="30519"/>
    <n v="670"/>
    <m/>
    <n v="26856"/>
    <n v="1139"/>
    <m/>
    <m/>
    <m/>
    <n v="0"/>
    <n v="0"/>
    <m/>
    <m/>
    <m/>
    <m/>
    <m/>
    <m/>
    <m/>
    <m/>
    <m/>
    <m/>
    <m/>
    <m/>
  </r>
  <r>
    <x v="14"/>
    <s v="Southwest Virginia Community College "/>
    <s v="Reclassified: Met the criteria for Two-Year 3 in 2012-13, 2013-14, and 2014-15."/>
    <n v="233648"/>
    <x v="8"/>
    <n v="54789"/>
    <n v="52425"/>
    <n v="22171"/>
    <n v="19743"/>
    <n v="11001"/>
    <n v="10306"/>
    <n v="19345"/>
    <n v="2272"/>
    <m/>
    <n v="19694"/>
    <n v="2682"/>
    <m/>
    <m/>
    <m/>
    <n v="0"/>
    <n v="0"/>
    <m/>
    <m/>
    <m/>
    <m/>
    <m/>
    <m/>
    <m/>
    <m/>
    <m/>
    <m/>
    <m/>
    <m/>
  </r>
  <r>
    <x v="14"/>
    <s v="Virginia Western Community College "/>
    <s v="Met the criteria for Two-Year 1 in 2014-15."/>
    <n v="233949"/>
    <x v="7"/>
    <n v="145090"/>
    <n v="150419"/>
    <n v="88351"/>
    <n v="85956"/>
    <n v="22183"/>
    <n v="29112"/>
    <n v="25061"/>
    <n v="9495"/>
    <m/>
    <n v="25140"/>
    <n v="10211"/>
    <m/>
    <m/>
    <m/>
    <n v="0"/>
    <n v="0"/>
    <m/>
    <m/>
    <m/>
    <m/>
    <m/>
    <m/>
    <m/>
    <m/>
    <m/>
    <m/>
    <m/>
    <m/>
  </r>
  <r>
    <x v="14"/>
    <s v="Wytheville Community College "/>
    <m/>
    <n v="234377"/>
    <x v="7"/>
    <n v="63949"/>
    <n v="60166"/>
    <n v="12549"/>
    <n v="11577"/>
    <n v="17694"/>
    <n v="17622"/>
    <n v="27606"/>
    <n v="6100"/>
    <m/>
    <n v="23945"/>
    <n v="7022"/>
    <m/>
    <m/>
    <m/>
    <n v="0"/>
    <n v="0"/>
    <m/>
    <m/>
    <m/>
    <m/>
    <m/>
    <m/>
    <m/>
    <m/>
    <m/>
    <m/>
    <m/>
    <m/>
  </r>
  <r>
    <x v="14"/>
    <s v="D.S. Lancaster Community College "/>
    <m/>
    <n v="231873"/>
    <x v="8"/>
    <n v="16671"/>
    <n v="21390"/>
    <n v="11118"/>
    <n v="9130"/>
    <n v="2510"/>
    <n v="5653"/>
    <n v="3043"/>
    <n v="0"/>
    <m/>
    <n v="2543"/>
    <n v="4064"/>
    <m/>
    <m/>
    <m/>
    <n v="0"/>
    <n v="0"/>
    <m/>
    <m/>
    <m/>
    <m/>
    <m/>
    <m/>
    <m/>
    <m/>
    <m/>
    <m/>
    <m/>
    <m/>
  </r>
  <r>
    <x v="14"/>
    <s v="Eastern Shore Community College"/>
    <m/>
    <n v="232052"/>
    <x v="8"/>
    <n v="57228"/>
    <n v="14982"/>
    <n v="26223"/>
    <n v="10176"/>
    <n v="8953"/>
    <n v="2372"/>
    <n v="20685"/>
    <n v="1367"/>
    <m/>
    <n v="2434"/>
    <n v="0"/>
    <m/>
    <m/>
    <m/>
    <n v="0"/>
    <n v="0"/>
    <m/>
    <m/>
    <m/>
    <m/>
    <m/>
    <m/>
    <m/>
    <m/>
    <m/>
    <m/>
    <m/>
    <m/>
  </r>
  <r>
    <x v="14"/>
    <s v="Paul D. Camp Community College"/>
    <m/>
    <n v="233037"/>
    <x v="8"/>
    <n v="27134"/>
    <n v="24515"/>
    <n v="11531"/>
    <n v="10319"/>
    <n v="5493"/>
    <n v="4312"/>
    <n v="7570"/>
    <n v="2540"/>
    <m/>
    <n v="7650"/>
    <n v="2234"/>
    <m/>
    <m/>
    <m/>
    <n v="0"/>
    <n v="0"/>
    <m/>
    <m/>
    <m/>
    <m/>
    <m/>
    <m/>
    <m/>
    <m/>
    <m/>
    <m/>
    <m/>
    <m/>
  </r>
  <r>
    <x v="14"/>
    <s v="Rappahannock Community College"/>
    <m/>
    <n v="233310"/>
    <x v="8"/>
    <n v="58343"/>
    <n v="56718"/>
    <n v="15560"/>
    <n v="13448"/>
    <n v="18358"/>
    <n v="17099"/>
    <n v="15262"/>
    <n v="9163"/>
    <m/>
    <n v="16116"/>
    <n v="10055"/>
    <m/>
    <m/>
    <m/>
    <n v="0"/>
    <n v="0"/>
    <m/>
    <m/>
    <m/>
    <m/>
    <m/>
    <m/>
    <m/>
    <m/>
    <m/>
    <m/>
    <m/>
    <m/>
  </r>
  <r>
    <x v="14"/>
    <s v="Richard Bland College "/>
    <m/>
    <n v="233338"/>
    <x v="8"/>
    <n v="31503"/>
    <n v="31976"/>
    <n v="26472"/>
    <n v="26295"/>
    <n v="2399"/>
    <n v="2845"/>
    <n v="2632"/>
    <n v="0"/>
    <m/>
    <n v="2836"/>
    <n v="0"/>
    <m/>
    <m/>
    <m/>
    <n v="0"/>
    <n v="0"/>
    <m/>
    <m/>
    <m/>
    <m/>
    <m/>
    <m/>
    <m/>
    <m/>
    <m/>
    <m/>
    <m/>
    <m/>
  </r>
  <r>
    <x v="14"/>
    <s v="Virginia Highlands Community College "/>
    <m/>
    <n v="233903"/>
    <x v="8"/>
    <n v="49820"/>
    <n v="49032"/>
    <n v="28240"/>
    <n v="25480"/>
    <n v="7350"/>
    <n v="6663"/>
    <n v="12957"/>
    <n v="1273"/>
    <m/>
    <n v="14909"/>
    <n v="1980"/>
    <m/>
    <m/>
    <m/>
    <n v="0"/>
    <n v="0"/>
    <m/>
    <m/>
    <m/>
    <m/>
    <m/>
    <m/>
    <m/>
    <m/>
    <m/>
    <m/>
    <m/>
    <m/>
  </r>
  <r>
    <x v="15"/>
    <s v="West Virginia University"/>
    <m/>
    <n v="238032"/>
    <x v="0"/>
    <n v="669072"/>
    <n v="666742"/>
    <n v="615228"/>
    <n v="605628"/>
    <n v="803"/>
    <n v="905"/>
    <n v="51363"/>
    <n v="2"/>
    <n v="1676"/>
    <n v="58140"/>
    <m/>
    <n v="2069"/>
    <n v="0"/>
    <m/>
    <n v="104407"/>
    <n v="103371"/>
    <n v="68905"/>
    <n v="68591"/>
    <n v="5377"/>
    <n v="6428"/>
    <n v="29152"/>
    <n v="575"/>
    <n v="398"/>
    <n v="27688"/>
    <n v="399"/>
    <n v="265"/>
    <n v="0"/>
    <m/>
  </r>
  <r>
    <x v="15"/>
    <s v="Marshall University "/>
    <m/>
    <n v="237525"/>
    <x v="2"/>
    <n v="266261"/>
    <n v="267453"/>
    <n v="214146"/>
    <n v="212015"/>
    <n v="17260"/>
    <n v="17214"/>
    <n v="34831"/>
    <n v="24"/>
    <n v="0"/>
    <n v="33446"/>
    <n v="4778"/>
    <m/>
    <n v="0"/>
    <m/>
    <n v="55321"/>
    <n v="59404"/>
    <n v="19128"/>
    <n v="23392"/>
    <n v="19823"/>
    <n v="18091"/>
    <n v="16029"/>
    <n v="341"/>
    <m/>
    <n v="16681"/>
    <n v="1240"/>
    <m/>
    <m/>
    <m/>
  </r>
  <r>
    <x v="15"/>
    <s v="Fairmont State University"/>
    <m/>
    <n v="237367"/>
    <x v="4"/>
    <n v="111800"/>
    <n v="105285"/>
    <n v="84820"/>
    <n v="81361"/>
    <n v="12029"/>
    <n v="9602"/>
    <n v="14951"/>
    <n v="0"/>
    <n v="0"/>
    <n v="14322"/>
    <m/>
    <m/>
    <n v="0"/>
    <m/>
    <n v="4587"/>
    <n v="3987"/>
    <n v="1143"/>
    <n v="829"/>
    <n v="0"/>
    <n v="0"/>
    <n v="3444"/>
    <n v="0"/>
    <m/>
    <n v="3158"/>
    <m/>
    <m/>
    <m/>
    <m/>
  </r>
  <r>
    <x v="15"/>
    <s v="Shepherd University "/>
    <m/>
    <n v="237792"/>
    <x v="4"/>
    <n v="107270"/>
    <n v="102409"/>
    <n v="104923"/>
    <n v="99075"/>
    <n v="0"/>
    <n v="0"/>
    <n v="2347"/>
    <n v="0"/>
    <n v="0"/>
    <n v="3334"/>
    <m/>
    <m/>
    <n v="0"/>
    <m/>
    <n v="4213"/>
    <n v="4501"/>
    <n v="3880"/>
    <n v="3668"/>
    <n v="0"/>
    <n v="0"/>
    <n v="333"/>
    <n v="0"/>
    <m/>
    <n v="833"/>
    <m/>
    <m/>
    <m/>
    <m/>
  </r>
  <r>
    <x v="15"/>
    <s v="Bluefield State College "/>
    <m/>
    <n v="237215"/>
    <x v="5"/>
    <n v="48982"/>
    <n v="43084"/>
    <n v="25802"/>
    <n v="21767"/>
    <n v="3857"/>
    <n v="3012"/>
    <n v="15667"/>
    <n v="3656"/>
    <n v="0"/>
    <n v="13566"/>
    <n v="4739"/>
    <m/>
    <n v="0"/>
    <m/>
    <n v="0"/>
    <n v="0"/>
    <m/>
    <m/>
    <m/>
    <m/>
    <m/>
    <m/>
    <m/>
    <m/>
    <m/>
    <m/>
    <m/>
    <m/>
  </r>
  <r>
    <x v="15"/>
    <s v="Concord University "/>
    <s v="Met the criteria for Four-Year 5 in 2014-15."/>
    <n v="237330"/>
    <x v="5"/>
    <n v="75849"/>
    <n v="68841"/>
    <n v="56236"/>
    <n v="51272"/>
    <n v="10765"/>
    <n v="8600"/>
    <n v="8460"/>
    <n v="388"/>
    <n v="0"/>
    <n v="8654"/>
    <n v="315"/>
    <m/>
    <n v="0"/>
    <m/>
    <n v="4014"/>
    <n v="4620"/>
    <n v="72"/>
    <n v="105"/>
    <n v="0"/>
    <n v="0"/>
    <n v="3942"/>
    <n v="0"/>
    <m/>
    <n v="4515"/>
    <m/>
    <m/>
    <m/>
    <m/>
  </r>
  <r>
    <x v="15"/>
    <s v="Glenville State College "/>
    <m/>
    <n v="237385"/>
    <x v="5"/>
    <n v="39391"/>
    <n v="37537"/>
    <n v="31663"/>
    <n v="28917"/>
    <n v="3638"/>
    <n v="3534"/>
    <n v="4090"/>
    <n v="0"/>
    <n v="0"/>
    <n v="5086"/>
    <m/>
    <m/>
    <n v="0"/>
    <m/>
    <n v="0"/>
    <n v="0"/>
    <m/>
    <m/>
    <m/>
    <m/>
    <m/>
    <m/>
    <m/>
    <m/>
    <m/>
    <m/>
    <m/>
    <m/>
  </r>
  <r>
    <x v="15"/>
    <s v="West Liberty University"/>
    <s v="Met the criteria for Four-Year 5 in 2014-15."/>
    <n v="237932"/>
    <x v="5"/>
    <n v="76215"/>
    <n v="72834"/>
    <n v="64294"/>
    <n v="61232"/>
    <n v="4686"/>
    <n v="3783"/>
    <n v="7235"/>
    <n v="0"/>
    <n v="0"/>
    <n v="7819"/>
    <m/>
    <m/>
    <n v="0"/>
    <m/>
    <n v="4312"/>
    <n v="3865"/>
    <n v="2737"/>
    <n v="2167"/>
    <n v="1215"/>
    <n v="1482"/>
    <n v="360"/>
    <n v="0"/>
    <m/>
    <n v="216"/>
    <m/>
    <m/>
    <m/>
    <m/>
  </r>
  <r>
    <x v="15"/>
    <s v="West Virginia State University "/>
    <m/>
    <n v="237899"/>
    <x v="5"/>
    <n v="62659"/>
    <n v="64761"/>
    <n v="49059"/>
    <n v="48650"/>
    <n v="1489"/>
    <n v="2315"/>
    <n v="12111"/>
    <n v="0"/>
    <n v="0"/>
    <n v="13796"/>
    <m/>
    <m/>
    <n v="0"/>
    <m/>
    <n v="908"/>
    <n v="822"/>
    <n v="827"/>
    <n v="774"/>
    <n v="0"/>
    <n v="0"/>
    <n v="81"/>
    <n v="0"/>
    <m/>
    <n v="48"/>
    <m/>
    <m/>
    <m/>
    <m/>
  </r>
  <r>
    <x v="15"/>
    <s v="West Virginia University Institute of Technology"/>
    <m/>
    <n v="237950"/>
    <x v="5"/>
    <n v="30116"/>
    <n v="32762"/>
    <n v="26638"/>
    <n v="28191"/>
    <n v="554"/>
    <n v="851"/>
    <n v="2924"/>
    <n v="0"/>
    <n v="0"/>
    <n v="3720"/>
    <m/>
    <m/>
    <n v="0"/>
    <m/>
    <n v="0"/>
    <n v="0"/>
    <m/>
    <m/>
    <m/>
    <m/>
    <m/>
    <m/>
    <m/>
    <m/>
    <m/>
    <m/>
    <m/>
    <m/>
  </r>
  <r>
    <x v="15"/>
    <s v="Potomac State College of West Virginia University"/>
    <m/>
    <n v="237701"/>
    <x v="12"/>
    <n v="42236"/>
    <n v="39646"/>
    <n v="38040"/>
    <n v="34919"/>
    <n v="2381"/>
    <n v="2063"/>
    <n v="1815"/>
    <n v="0"/>
    <n v="0"/>
    <n v="2664"/>
    <m/>
    <m/>
    <n v="0"/>
    <m/>
    <n v="0"/>
    <n v="0"/>
    <m/>
    <m/>
    <m/>
    <m/>
    <m/>
    <m/>
    <m/>
    <m/>
    <m/>
    <m/>
    <m/>
    <m/>
  </r>
  <r>
    <x v="15"/>
    <s v="West Virginia University at Parkersburg"/>
    <s v="Met the criteria for Four-Year 6 in 2013-14 and 2014-15."/>
    <n v="237686"/>
    <x v="12"/>
    <n v="82975"/>
    <n v="69347"/>
    <n v="46689"/>
    <n v="56675"/>
    <n v="10696"/>
    <n v="8893"/>
    <n v="24042"/>
    <n v="0"/>
    <n v="1548"/>
    <n v="2982"/>
    <m/>
    <n v="797"/>
    <n v="0"/>
    <m/>
    <n v="0"/>
    <n v="0"/>
    <m/>
    <m/>
    <m/>
    <m/>
    <m/>
    <m/>
    <m/>
    <m/>
    <m/>
    <m/>
    <m/>
    <m/>
  </r>
  <r>
    <x v="15"/>
    <s v="New River Community &amp; Technical College"/>
    <s v="Met the criteria for Two-Year 3 in 2014-15."/>
    <n v="447582"/>
    <x v="7"/>
    <n v="64322"/>
    <n v="54220"/>
    <n v="36735"/>
    <n v="31150"/>
    <n v="9344"/>
    <n v="5393"/>
    <n v="13158"/>
    <n v="5055"/>
    <n v="30"/>
    <n v="12678"/>
    <n v="4999"/>
    <m/>
    <n v="0"/>
    <m/>
    <n v="0"/>
    <n v="0"/>
    <m/>
    <m/>
    <m/>
    <m/>
    <m/>
    <m/>
    <m/>
    <m/>
    <m/>
    <m/>
    <m/>
    <m/>
  </r>
  <r>
    <x v="15"/>
    <s v="Pierpont Community &amp; Technical College"/>
    <s v="Met the criteria for Two-Year 3 in 2014-15."/>
    <n v="443492"/>
    <x v="7"/>
    <n v="61226"/>
    <n v="50831"/>
    <n v="31554"/>
    <n v="25577"/>
    <n v="22564"/>
    <n v="19637"/>
    <n v="7108"/>
    <n v="0"/>
    <n v="0"/>
    <n v="5617"/>
    <m/>
    <m/>
    <n v="0"/>
    <m/>
    <n v="0"/>
    <n v="3"/>
    <m/>
    <m/>
    <m/>
    <m/>
    <m/>
    <m/>
    <m/>
    <n v="3"/>
    <m/>
    <m/>
    <m/>
    <m/>
  </r>
  <r>
    <x v="15"/>
    <s v="West Virginia Northern Community College"/>
    <s v="Reclassified: Met the criteria for Two-Year 3 in 2012-13, 2013-14, and 2014-15."/>
    <n v="238014"/>
    <x v="8"/>
    <n v="47881"/>
    <n v="41963"/>
    <n v="39116"/>
    <n v="32926"/>
    <n v="0"/>
    <n v="0"/>
    <n v="7210"/>
    <n v="1555"/>
    <n v="0"/>
    <n v="7336"/>
    <n v="1701"/>
    <m/>
    <n v="0"/>
    <m/>
    <n v="0"/>
    <n v="0"/>
    <m/>
    <m/>
    <m/>
    <m/>
    <m/>
    <m/>
    <m/>
    <m/>
    <m/>
    <m/>
    <m/>
    <m/>
  </r>
  <r>
    <x v="15"/>
    <s v="Blue Ridge Community &amp; Technical College"/>
    <s v="Met the criteria for Two-Year 2 in 2014-15."/>
    <n v="446774"/>
    <x v="8"/>
    <n v="59829"/>
    <n v="61095"/>
    <n v="20941"/>
    <n v="22795"/>
    <n v="23906"/>
    <n v="25335"/>
    <n v="14982"/>
    <n v="0"/>
    <n v="0"/>
    <n v="12965"/>
    <m/>
    <m/>
    <n v="0"/>
    <m/>
    <n v="0"/>
    <n v="0"/>
    <m/>
    <m/>
    <m/>
    <m/>
    <m/>
    <m/>
    <m/>
    <m/>
    <m/>
    <m/>
    <m/>
    <m/>
  </r>
  <r>
    <x v="15"/>
    <s v="BridgeValley Community &amp; Technical College"/>
    <s v="New"/>
    <n v="484932"/>
    <x v="8"/>
    <n v="51651"/>
    <n v="48091"/>
    <n v="41873"/>
    <n v="38727"/>
    <n v="1557"/>
    <n v="726"/>
    <n v="8221"/>
    <n v="0"/>
    <n v="0"/>
    <n v="8638"/>
    <m/>
    <m/>
    <n v="0"/>
    <m/>
    <n v="0"/>
    <n v="0"/>
    <m/>
    <m/>
    <m/>
    <m/>
    <m/>
    <m/>
    <m/>
    <m/>
    <m/>
    <m/>
    <m/>
    <m/>
  </r>
  <r>
    <x v="15"/>
    <s v="Eastern West Virginia Community &amp; Technical College"/>
    <m/>
    <n v="438708"/>
    <x v="8"/>
    <n v="14970"/>
    <n v="14760"/>
    <n v="6846"/>
    <n v="5996"/>
    <n v="3887"/>
    <n v="4608"/>
    <n v="4018"/>
    <n v="219"/>
    <n v="0"/>
    <n v="4030"/>
    <n v="126"/>
    <m/>
    <n v="0"/>
    <m/>
    <n v="0"/>
    <n v="0"/>
    <m/>
    <m/>
    <m/>
    <m/>
    <m/>
    <m/>
    <m/>
    <m/>
    <m/>
    <m/>
    <m/>
    <m/>
  </r>
  <r>
    <x v="15"/>
    <s v="Mountwest Community &amp; Technical College"/>
    <m/>
    <n v="444954"/>
    <x v="8"/>
    <n v="53786"/>
    <n v="48280"/>
    <n v="30890"/>
    <n v="27658"/>
    <n v="12911"/>
    <n v="10382"/>
    <n v="9985"/>
    <n v="0"/>
    <n v="0"/>
    <n v="10240"/>
    <m/>
    <m/>
    <n v="0"/>
    <m/>
    <n v="0"/>
    <n v="0"/>
    <m/>
    <m/>
    <m/>
    <m/>
    <m/>
    <m/>
    <m/>
    <m/>
    <m/>
    <m/>
    <m/>
    <m/>
  </r>
  <r>
    <x v="15"/>
    <s v="Southern West Virginia Community &amp; Technical College "/>
    <m/>
    <n v="237817"/>
    <x v="8"/>
    <n v="44965"/>
    <n v="41200"/>
    <n v="31549"/>
    <n v="27990"/>
    <n v="2203"/>
    <n v="2085"/>
    <n v="9124"/>
    <n v="2089"/>
    <n v="0"/>
    <n v="8196"/>
    <n v="2929"/>
    <m/>
    <n v="0"/>
    <m/>
    <n v="0"/>
    <n v="0"/>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dataOnRows="1" applyNumberFormats="0" applyBorderFormats="0" applyFontFormats="0" applyPatternFormats="0" applyAlignmentFormats="0" applyWidthHeightFormats="1" dataCaption="Data" updatedVersion="6" showMemberPropertyTips="0" useAutoFormatting="1" itemPrintTitles="1" createdVersion="1" indent="0" compact="0" compactData="0" gridDropZones="1">
  <location ref="A3:U617" firstHeaderRow="1" firstDataRow="3" firstDataCol="2"/>
  <pivotFields count="74">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18">
        <item x="0"/>
        <item x="1"/>
        <item x="2"/>
        <item x="3"/>
        <item x="4"/>
        <item x="5"/>
        <item x="11"/>
        <item x="12"/>
        <item x="6"/>
        <item x="7"/>
        <item x="8"/>
        <item x="9"/>
        <item x="10"/>
        <item h="1" m="1" x="16"/>
        <item h="1" m="1" x="15"/>
        <item h="1" x="14"/>
        <item x="1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compact="0" outline="0" subtotalTop="0" dragToRow="0" dragToCol="0" dragToPage="0" showAll="0" includeNewItemsInFilter="1"/>
    <pivotField compact="0" outline="0" subtotalTop="0" dragToRow="0" dragToCol="0" dragToPage="0" showAll="0" includeNewItemsInFilter="1"/>
    <pivotField compact="0" outline="0" subtotalTop="0" dragToRow="0" dragToCol="0" dragToPage="0" showAll="0" includeNewItemsInFilter="1"/>
    <pivotField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axis="axisCol" compact="0" outline="0" subtotalTop="0" showAll="0" includeNewItemsInFilter="1">
      <items count="8">
        <item n="Four-Year +" x="3"/>
        <item n="Two-Year" x="4"/>
        <item n="Technical" x="5"/>
        <item h="1" x="2"/>
        <item h="1" x="1"/>
        <item h="1" x="0"/>
        <item x="6"/>
        <item t="default"/>
      </items>
    </pivotField>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s>
  <rowFields count="2">
    <field x="0"/>
    <field x="-2"/>
  </rowFields>
  <rowItems count="612">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i t="grand" i="22">
      <x/>
    </i>
    <i t="grand" i="23">
      <x/>
    </i>
    <i t="grand" i="24">
      <x/>
    </i>
    <i t="grand" i="25">
      <x/>
    </i>
    <i t="grand" i="26">
      <x/>
    </i>
    <i t="grand" i="27">
      <x/>
    </i>
    <i t="grand" i="28">
      <x/>
    </i>
    <i t="grand" i="29">
      <x/>
    </i>
    <i t="grand" i="30">
      <x/>
    </i>
    <i t="grand" i="31">
      <x/>
    </i>
    <i t="grand" i="32">
      <x/>
    </i>
    <i t="grand" i="33">
      <x/>
    </i>
    <i t="grand" i="34">
      <x/>
    </i>
    <i t="grand" i="35">
      <x/>
    </i>
  </rowItems>
  <colFields count="2">
    <field x="70"/>
    <field x="4"/>
  </colFields>
  <colItems count="19">
    <i>
      <x/>
      <x/>
    </i>
    <i r="1">
      <x v="1"/>
    </i>
    <i r="1">
      <x v="2"/>
    </i>
    <i r="1">
      <x v="3"/>
    </i>
    <i r="1">
      <x v="4"/>
    </i>
    <i r="1">
      <x v="5"/>
    </i>
    <i r="1">
      <x v="6"/>
    </i>
    <i t="default">
      <x/>
    </i>
    <i>
      <x v="1"/>
      <x v="7"/>
    </i>
    <i r="1">
      <x v="8"/>
    </i>
    <i r="1">
      <x v="9"/>
    </i>
    <i r="1">
      <x v="10"/>
    </i>
    <i t="default">
      <x v="1"/>
    </i>
    <i>
      <x v="2"/>
      <x v="11"/>
    </i>
    <i r="1">
      <x v="12"/>
    </i>
    <i t="default">
      <x v="2"/>
    </i>
    <i>
      <x v="6"/>
      <x v="16"/>
    </i>
    <i t="default">
      <x v="6"/>
    </i>
    <i t="grand">
      <x/>
    </i>
  </colItems>
  <dataFields count="36">
    <dataField name=" Old %UG OnC Trad" fld="69" baseField="0" baseItem="0"/>
    <dataField name=" New %UG OnC Trad" fld="68" baseField="0" baseItem="0"/>
    <dataField name=" Change %UG OnC Trad" fld="51" baseField="0" baseItem="0"/>
    <dataField name=" Old %UG OffC Trad" fld="73" baseField="0" baseItem="0"/>
    <dataField name=" New %UG OffC Trad" fld="67" baseField="0" baseItem="0"/>
    <dataField name=" Change %UG OffC Trad" fld="54" baseField="0" baseItem="5"/>
    <dataField name=" Old %UG EL Web" fld="35" baseField="0" baseItem="0"/>
    <dataField name=" New %UG EL Web" fld="36" baseField="0" baseItem="0"/>
    <dataField name=" Change %UG EL Web" fld="55" baseField="0" baseItem="0"/>
    <dataField name=" Old %UG EL CV" fld="42" baseField="0" baseItem="0"/>
    <dataField name=" New %UG EL CV" fld="41" baseField="0" baseItem="0"/>
    <dataField name=" Change %UG EL CV" fld="58" baseField="0" baseItem="0"/>
    <dataField name=" Old %UG EL O" fld="43" baseField="0" baseItem="0"/>
    <dataField name=" New %UG EL O" fld="44" baseField="0" baseItem="0"/>
    <dataField name=" Change %UG EL O" fld="59" baseField="0" baseItem="0"/>
    <dataField name=" Old %UG Cor" fld="50" baseField="0" baseItem="0"/>
    <dataField name=" New %UG Cor" fld="49" baseField="0" baseItem="0"/>
    <dataField name=" Change %UG Cor" fld="62" baseField="0" baseItem="0"/>
    <dataField name=" Old %G OnC Trad" fld="71" baseField="0" baseItem="0"/>
    <dataField name=" New %G OnC Trad" fld="33" baseField="0" baseItem="0"/>
    <dataField name=" Change %G OnC Trad" fld="52" baseField="0" baseItem="0"/>
    <dataField name=" Old %G OffC Trad" fld="72" baseField="0" baseItem="0"/>
    <dataField name=" New %G OffC Trad" fld="34" baseField="0" baseItem="0"/>
    <dataField name=" Change %G OffC Trad" fld="53" baseField="0" baseItem="0"/>
    <dataField name=" Old %G EL Web" fld="38" baseField="0" baseItem="0"/>
    <dataField name=" New %G EL Web" fld="37" baseField="0" baseItem="0"/>
    <dataField name=" Change %G EL Web" fld="56" baseField="0" baseItem="0"/>
    <dataField name=" Old %G EL CV" fld="39" baseField="0" baseItem="0"/>
    <dataField name=" New %G EL CV" fld="40" baseField="0" baseItem="0"/>
    <dataField name=" Change %G EL CV" fld="57" baseField="0" baseItem="0"/>
    <dataField name=" Old %G EL O" fld="46" baseField="0" baseItem="0"/>
    <dataField name=" New %G EL O" fld="45" baseField="0" baseItem="0"/>
    <dataField name=" Change %G EL O" fld="60" baseField="0" baseItem="0"/>
    <dataField name=" Old %G Cor" fld="47" baseField="0" baseItem="0"/>
    <dataField name=" New %G Cor" fld="48" baseField="0" baseItem="0"/>
    <dataField name=" Change %G Cor" fld="61" baseField="0" baseItem="0"/>
  </dataFields>
  <formats count="1612">
    <format dxfId="2638">
      <pivotArea field="4" type="button" dataOnly="0" labelOnly="1" outline="0" axis="axisCol" fieldPosition="1"/>
    </format>
    <format dxfId="2637">
      <pivotArea type="topRight" dataOnly="0" labelOnly="1" outline="0" fieldPosition="0"/>
    </format>
    <format dxfId="2636">
      <pivotArea dataOnly="0" labelOnly="1" grandCol="1" outline="0" fieldPosition="0"/>
    </format>
    <format dxfId="2635">
      <pivotArea outline="0" fieldPosition="0"/>
    </format>
    <format dxfId="2634">
      <pivotArea dataOnly="0" labelOnly="1" outline="0" offset="IV256" fieldPosition="0">
        <references count="1">
          <reference field="0" count="1">
            <x v="9"/>
          </reference>
        </references>
      </pivotArea>
    </format>
    <format dxfId="2633">
      <pivotArea dataOnly="0" labelOnly="1" outline="0" fieldPosition="0">
        <references count="1">
          <reference field="0" count="0"/>
        </references>
      </pivotArea>
    </format>
    <format dxfId="2632">
      <pivotArea type="origin" dataOnly="0" labelOnly="1" outline="0" fieldPosition="0"/>
    </format>
    <format dxfId="2631">
      <pivotArea field="0" type="button" dataOnly="0" labelOnly="1" outline="0" axis="axisRow" fieldPosition="0"/>
    </format>
    <format dxfId="2630">
      <pivotArea field="-2" type="button" dataOnly="0" labelOnly="1" outline="0" axis="axisRow" fieldPosition="1"/>
    </format>
    <format dxfId="2629">
      <pivotArea field="4" type="button" dataOnly="0" labelOnly="1" outline="0" axis="axisCol" fieldPosition="1"/>
    </format>
    <format dxfId="2628">
      <pivotArea type="topRight" dataOnly="0" labelOnly="1" outline="0" fieldPosition="0"/>
    </format>
    <format dxfId="2627">
      <pivotArea dataOnly="0" labelOnly="1" grandCol="1" outline="0" offset="IV256" fieldPosition="0"/>
    </format>
    <format dxfId="2626">
      <pivotArea field="0" grandRow="1" outline="0" axis="axisRow" fieldPosition="0">
        <references count="1">
          <reference field="4294967294" count="1" selected="0">
            <x v="35"/>
          </reference>
        </references>
      </pivotArea>
    </format>
    <format dxfId="2625">
      <pivotArea field="0" dataOnly="0" labelOnly="1" grandRow="1" outline="0" axis="axisRow" fieldPosition="0">
        <references count="1">
          <reference field="4294967294" count="1" selected="0">
            <x v="0"/>
          </reference>
        </references>
      </pivotArea>
    </format>
    <format dxfId="2624">
      <pivotArea field="0" dataOnly="0" labelOnly="1" grandRow="1" outline="0" axis="axisRow" fieldPosition="0">
        <references count="1">
          <reference field="4294967294" count="1" selected="0">
            <x v="1"/>
          </reference>
        </references>
      </pivotArea>
    </format>
    <format dxfId="2623">
      <pivotArea field="0" dataOnly="0" labelOnly="1" grandRow="1" outline="0" axis="axisRow" fieldPosition="0">
        <references count="1">
          <reference field="4294967294" count="1" selected="0">
            <x v="3"/>
          </reference>
        </references>
      </pivotArea>
    </format>
    <format dxfId="2622">
      <pivotArea field="0" dataOnly="0" labelOnly="1" grandRow="1" outline="0" axis="axisRow" fieldPosition="0">
        <references count="1">
          <reference field="4294967294" count="1" selected="0">
            <x v="4"/>
          </reference>
        </references>
      </pivotArea>
    </format>
    <format dxfId="2621">
      <pivotArea field="0" dataOnly="0" labelOnly="1" grandRow="1" outline="0" axis="axisRow" fieldPosition="0">
        <references count="1">
          <reference field="4294967294" count="1" selected="0">
            <x v="5"/>
          </reference>
        </references>
      </pivotArea>
    </format>
    <format dxfId="2620">
      <pivotArea field="0" dataOnly="0" labelOnly="1" grandRow="1" outline="0" axis="axisRow" fieldPosition="0">
        <references count="1">
          <reference field="4294967294" count="1" selected="0">
            <x v="6"/>
          </reference>
        </references>
      </pivotArea>
    </format>
    <format dxfId="2619">
      <pivotArea field="0" dataOnly="0" labelOnly="1" grandRow="1" outline="0" axis="axisRow" fieldPosition="0">
        <references count="1">
          <reference field="4294967294" count="1" selected="0">
            <x v="7"/>
          </reference>
        </references>
      </pivotArea>
    </format>
    <format dxfId="2618">
      <pivotArea field="0" dataOnly="0" labelOnly="1" grandRow="1" outline="0" axis="axisRow" fieldPosition="0">
        <references count="1">
          <reference field="4294967294" count="1" selected="0">
            <x v="8"/>
          </reference>
        </references>
      </pivotArea>
    </format>
    <format dxfId="2617">
      <pivotArea field="0" dataOnly="0" labelOnly="1" grandRow="1" outline="0" axis="axisRow" fieldPosition="0">
        <references count="1">
          <reference field="4294967294" count="1" selected="0">
            <x v="9"/>
          </reference>
        </references>
      </pivotArea>
    </format>
    <format dxfId="2616">
      <pivotArea field="0" dataOnly="0" labelOnly="1" grandRow="1" outline="0" axis="axisRow" fieldPosition="0">
        <references count="1">
          <reference field="4294967294" count="1" selected="0">
            <x v="10"/>
          </reference>
        </references>
      </pivotArea>
    </format>
    <format dxfId="2615">
      <pivotArea field="0" dataOnly="0" labelOnly="1" grandRow="1" outline="0" axis="axisRow" fieldPosition="0">
        <references count="1">
          <reference field="4294967294" count="1" selected="0">
            <x v="11"/>
          </reference>
        </references>
      </pivotArea>
    </format>
    <format dxfId="2614">
      <pivotArea field="0" dataOnly="0" labelOnly="1" grandRow="1" outline="0" axis="axisRow" fieldPosition="0">
        <references count="1">
          <reference field="4294967294" count="1" selected="0">
            <x v="12"/>
          </reference>
        </references>
      </pivotArea>
    </format>
    <format dxfId="2613">
      <pivotArea field="0" dataOnly="0" labelOnly="1" grandRow="1" outline="0" axis="axisRow" fieldPosition="0">
        <references count="1">
          <reference field="4294967294" count="1" selected="0">
            <x v="13"/>
          </reference>
        </references>
      </pivotArea>
    </format>
    <format dxfId="2612">
      <pivotArea field="0" dataOnly="0" labelOnly="1" grandRow="1" outline="0" axis="axisRow" fieldPosition="0">
        <references count="1">
          <reference field="4294967294" count="1" selected="0">
            <x v="14"/>
          </reference>
        </references>
      </pivotArea>
    </format>
    <format dxfId="2611">
      <pivotArea field="0" dataOnly="0" labelOnly="1" grandRow="1" outline="0" axis="axisRow" fieldPosition="0">
        <references count="1">
          <reference field="4294967294" count="1" selected="0">
            <x v="15"/>
          </reference>
        </references>
      </pivotArea>
    </format>
    <format dxfId="2610">
      <pivotArea field="0" dataOnly="0" labelOnly="1" grandRow="1" outline="0" axis="axisRow" fieldPosition="0">
        <references count="1">
          <reference field="4294967294" count="1" selected="0">
            <x v="16"/>
          </reference>
        </references>
      </pivotArea>
    </format>
    <format dxfId="2609">
      <pivotArea field="0" dataOnly="0" labelOnly="1" grandRow="1" outline="0" axis="axisRow" fieldPosition="0">
        <references count="1">
          <reference field="4294967294" count="1" selected="0">
            <x v="17"/>
          </reference>
        </references>
      </pivotArea>
    </format>
    <format dxfId="2608">
      <pivotArea field="0" dataOnly="0" labelOnly="1" grandRow="1" outline="0" axis="axisRow" fieldPosition="0">
        <references count="1">
          <reference field="4294967294" count="1" selected="0">
            <x v="18"/>
          </reference>
        </references>
      </pivotArea>
    </format>
    <format dxfId="2607">
      <pivotArea field="0" dataOnly="0" labelOnly="1" grandRow="1" outline="0" axis="axisRow" fieldPosition="0">
        <references count="1">
          <reference field="4294967294" count="1" selected="0">
            <x v="19"/>
          </reference>
        </references>
      </pivotArea>
    </format>
    <format dxfId="2606">
      <pivotArea field="0" dataOnly="0" labelOnly="1" grandRow="1" outline="0" axis="axisRow" fieldPosition="0">
        <references count="1">
          <reference field="4294967294" count="1" selected="0">
            <x v="20"/>
          </reference>
        </references>
      </pivotArea>
    </format>
    <format dxfId="2605">
      <pivotArea field="0" dataOnly="0" labelOnly="1" grandRow="1" outline="0" axis="axisRow" fieldPosition="0">
        <references count="1">
          <reference field="4294967294" count="1" selected="0">
            <x v="21"/>
          </reference>
        </references>
      </pivotArea>
    </format>
    <format dxfId="2604">
      <pivotArea field="0" dataOnly="0" labelOnly="1" grandRow="1" outline="0" axis="axisRow" fieldPosition="0">
        <references count="1">
          <reference field="4294967294" count="1" selected="0">
            <x v="22"/>
          </reference>
        </references>
      </pivotArea>
    </format>
    <format dxfId="2603">
      <pivotArea field="0" dataOnly="0" labelOnly="1" grandRow="1" outline="0" axis="axisRow" fieldPosition="0">
        <references count="1">
          <reference field="4294967294" count="1" selected="0">
            <x v="23"/>
          </reference>
        </references>
      </pivotArea>
    </format>
    <format dxfId="2602">
      <pivotArea field="0" dataOnly="0" labelOnly="1" grandRow="1" outline="0" axis="axisRow" fieldPosition="0">
        <references count="1">
          <reference field="4294967294" count="1" selected="0">
            <x v="24"/>
          </reference>
        </references>
      </pivotArea>
    </format>
    <format dxfId="2601">
      <pivotArea field="0" dataOnly="0" labelOnly="1" grandRow="1" outline="0" axis="axisRow" fieldPosition="0">
        <references count="1">
          <reference field="4294967294" count="1" selected="0">
            <x v="25"/>
          </reference>
        </references>
      </pivotArea>
    </format>
    <format dxfId="2600">
      <pivotArea field="0" dataOnly="0" labelOnly="1" grandRow="1" outline="0" axis="axisRow" fieldPosition="0">
        <references count="1">
          <reference field="4294967294" count="1" selected="0">
            <x v="26"/>
          </reference>
        </references>
      </pivotArea>
    </format>
    <format dxfId="2599">
      <pivotArea field="0" dataOnly="0" labelOnly="1" grandRow="1" outline="0" axis="axisRow" fieldPosition="0">
        <references count="1">
          <reference field="4294967294" count="1" selected="0">
            <x v="27"/>
          </reference>
        </references>
      </pivotArea>
    </format>
    <format dxfId="2598">
      <pivotArea field="0" dataOnly="0" labelOnly="1" grandRow="1" outline="0" axis="axisRow" fieldPosition="0">
        <references count="1">
          <reference field="4294967294" count="1" selected="0">
            <x v="28"/>
          </reference>
        </references>
      </pivotArea>
    </format>
    <format dxfId="2597">
      <pivotArea field="0" dataOnly="0" labelOnly="1" grandRow="1" outline="0" axis="axisRow" fieldPosition="0">
        <references count="1">
          <reference field="4294967294" count="1" selected="0">
            <x v="29"/>
          </reference>
        </references>
      </pivotArea>
    </format>
    <format dxfId="2596">
      <pivotArea field="0" dataOnly="0" labelOnly="1" grandRow="1" outline="0" axis="axisRow" fieldPosition="0">
        <references count="1">
          <reference field="4294967294" count="1" selected="0">
            <x v="30"/>
          </reference>
        </references>
      </pivotArea>
    </format>
    <format dxfId="2595">
      <pivotArea field="0" dataOnly="0" labelOnly="1" grandRow="1" outline="0" axis="axisRow" fieldPosition="0">
        <references count="1">
          <reference field="4294967294" count="1" selected="0">
            <x v="31"/>
          </reference>
        </references>
      </pivotArea>
    </format>
    <format dxfId="2594">
      <pivotArea field="0" dataOnly="0" labelOnly="1" grandRow="1" outline="0" axis="axisRow" fieldPosition="0">
        <references count="1">
          <reference field="4294967294" count="1" selected="0">
            <x v="32"/>
          </reference>
        </references>
      </pivotArea>
    </format>
    <format dxfId="2593">
      <pivotArea field="0" dataOnly="0" labelOnly="1" grandRow="1" outline="0" axis="axisRow" fieldPosition="0">
        <references count="1">
          <reference field="4294967294" count="1" selected="0">
            <x v="33"/>
          </reference>
        </references>
      </pivotArea>
    </format>
    <format dxfId="2592">
      <pivotArea field="0" dataOnly="0" labelOnly="1" grandRow="1" outline="0" axis="axisRow" fieldPosition="0">
        <references count="1">
          <reference field="4294967294" count="1" selected="0">
            <x v="34"/>
          </reference>
        </references>
      </pivotArea>
    </format>
    <format dxfId="2591">
      <pivotArea field="0" dataOnly="0" labelOnly="1" grandRow="1" outline="0" axis="axisRow" fieldPosition="0">
        <references count="1">
          <reference field="4294967294" count="1" selected="0">
            <x v="35"/>
          </reference>
        </references>
      </pivotArea>
    </format>
    <format dxfId="2590">
      <pivotArea field="0" grandRow="1" outline="0" axis="axisRow" fieldPosition="0">
        <references count="1">
          <reference field="4294967294" count="1" selected="0">
            <x v="5"/>
          </reference>
        </references>
      </pivotArea>
    </format>
    <format dxfId="2589">
      <pivotArea field="0" grandRow="1" outline="0" axis="axisRow" fieldPosition="0">
        <references count="1">
          <reference field="4294967294" count="1" selected="0">
            <x v="8"/>
          </reference>
        </references>
      </pivotArea>
    </format>
    <format dxfId="2588">
      <pivotArea field="0" grandRow="1" outline="0" axis="axisRow" fieldPosition="0">
        <references count="1">
          <reference field="4294967294" count="1" selected="0">
            <x v="11"/>
          </reference>
        </references>
      </pivotArea>
    </format>
    <format dxfId="2587">
      <pivotArea field="0" grandRow="1" outline="0" axis="axisRow" fieldPosition="0">
        <references count="1">
          <reference field="4294967294" count="1" selected="0">
            <x v="14"/>
          </reference>
        </references>
      </pivotArea>
    </format>
    <format dxfId="2586">
      <pivotArea field="0" grandRow="1" outline="0" axis="axisRow" fieldPosition="0">
        <references count="1">
          <reference field="4294967294" count="1" selected="0">
            <x v="17"/>
          </reference>
        </references>
      </pivotArea>
    </format>
    <format dxfId="2585">
      <pivotArea field="0" grandRow="1" outline="0" axis="axisRow" fieldPosition="0">
        <references count="1">
          <reference field="4294967294" count="1" selected="0">
            <x v="20"/>
          </reference>
        </references>
      </pivotArea>
    </format>
    <format dxfId="2584">
      <pivotArea field="0" grandRow="1" outline="0" axis="axisRow" fieldPosition="0">
        <references count="1">
          <reference field="4294967294" count="1" selected="0">
            <x v="23"/>
          </reference>
        </references>
      </pivotArea>
    </format>
    <format dxfId="2583">
      <pivotArea field="0" grandRow="1" outline="0" axis="axisRow" fieldPosition="0">
        <references count="1">
          <reference field="4294967294" count="1" selected="0">
            <x v="26"/>
          </reference>
        </references>
      </pivotArea>
    </format>
    <format dxfId="2582">
      <pivotArea field="0" grandRow="1" outline="0" axis="axisRow" fieldPosition="0">
        <references count="1">
          <reference field="4294967294" count="1" selected="0">
            <x v="29"/>
          </reference>
        </references>
      </pivotArea>
    </format>
    <format dxfId="2581">
      <pivotArea field="0" grandRow="1" outline="0" axis="axisRow" fieldPosition="0">
        <references count="1">
          <reference field="4294967294" count="1" selected="0">
            <x v="32"/>
          </reference>
        </references>
      </pivotArea>
    </format>
    <format dxfId="2580">
      <pivotArea field="0" grandRow="1" outline="0" axis="axisRow" fieldPosition="0">
        <references count="1">
          <reference field="4294967294" count="1" selected="0">
            <x v="35"/>
          </reference>
        </references>
      </pivotArea>
    </format>
    <format dxfId="2579">
      <pivotArea field="4" type="button" dataOnly="0" labelOnly="1" outline="0" axis="axisCol" fieldPosition="1"/>
    </format>
    <format dxfId="2578">
      <pivotArea type="topRight" dataOnly="0" labelOnly="1" outline="0" fieldPosition="0"/>
    </format>
    <format dxfId="2577">
      <pivotArea type="topRight" dataOnly="0" labelOnly="1" outline="0" offset="O1" fieldPosition="0"/>
    </format>
    <format dxfId="2576">
      <pivotArea type="origin" dataOnly="0" labelOnly="1" outline="0" offset="A2:B2" fieldPosition="0"/>
    </format>
    <format dxfId="2575">
      <pivotArea field="0" dataOnly="0" labelOnly="1" grandRow="1" outline="0" axis="axisRow" fieldPosition="0">
        <references count="1">
          <reference field="4294967294" count="1" selected="0">
            <x v="0"/>
          </reference>
        </references>
      </pivotArea>
    </format>
    <format dxfId="2574">
      <pivotArea field="0" dataOnly="0" labelOnly="1" grandRow="1" outline="0" axis="axisRow" fieldPosition="0">
        <references count="1">
          <reference field="4294967294" count="1" selected="0">
            <x v="1"/>
          </reference>
        </references>
      </pivotArea>
    </format>
    <format dxfId="2573">
      <pivotArea field="0" dataOnly="0" labelOnly="1" grandRow="1" outline="0" axis="axisRow" fieldPosition="0">
        <references count="1">
          <reference field="4294967294" count="1" selected="0">
            <x v="3"/>
          </reference>
        </references>
      </pivotArea>
    </format>
    <format dxfId="2572">
      <pivotArea field="0" dataOnly="0" labelOnly="1" grandRow="1" outline="0" axis="axisRow" fieldPosition="0">
        <references count="1">
          <reference field="4294967294" count="1" selected="0">
            <x v="4"/>
          </reference>
        </references>
      </pivotArea>
    </format>
    <format dxfId="2571">
      <pivotArea field="0" dataOnly="0" labelOnly="1" grandRow="1" outline="0" axis="axisRow" fieldPosition="0">
        <references count="1">
          <reference field="4294967294" count="1" selected="0">
            <x v="5"/>
          </reference>
        </references>
      </pivotArea>
    </format>
    <format dxfId="2570">
      <pivotArea field="0" dataOnly="0" labelOnly="1" grandRow="1" outline="0" axis="axisRow" fieldPosition="0">
        <references count="1">
          <reference field="4294967294" count="1" selected="0">
            <x v="6"/>
          </reference>
        </references>
      </pivotArea>
    </format>
    <format dxfId="2569">
      <pivotArea field="0" dataOnly="0" labelOnly="1" grandRow="1" outline="0" axis="axisRow" fieldPosition="0">
        <references count="1">
          <reference field="4294967294" count="1" selected="0">
            <x v="7"/>
          </reference>
        </references>
      </pivotArea>
    </format>
    <format dxfId="2568">
      <pivotArea field="0" dataOnly="0" labelOnly="1" grandRow="1" outline="0" axis="axisRow" fieldPosition="0">
        <references count="1">
          <reference field="4294967294" count="1" selected="0">
            <x v="8"/>
          </reference>
        </references>
      </pivotArea>
    </format>
    <format dxfId="2567">
      <pivotArea field="0" dataOnly="0" labelOnly="1" grandRow="1" outline="0" axis="axisRow" fieldPosition="0">
        <references count="1">
          <reference field="4294967294" count="1" selected="0">
            <x v="9"/>
          </reference>
        </references>
      </pivotArea>
    </format>
    <format dxfId="2566">
      <pivotArea field="0" dataOnly="0" labelOnly="1" grandRow="1" outline="0" axis="axisRow" fieldPosition="0">
        <references count="1">
          <reference field="4294967294" count="1" selected="0">
            <x v="10"/>
          </reference>
        </references>
      </pivotArea>
    </format>
    <format dxfId="2565">
      <pivotArea field="0" dataOnly="0" labelOnly="1" grandRow="1" outline="0" axis="axisRow" fieldPosition="0">
        <references count="1">
          <reference field="4294967294" count="1" selected="0">
            <x v="11"/>
          </reference>
        </references>
      </pivotArea>
    </format>
    <format dxfId="2564">
      <pivotArea field="0" dataOnly="0" labelOnly="1" grandRow="1" outline="0" axis="axisRow" fieldPosition="0">
        <references count="1">
          <reference field="4294967294" count="1" selected="0">
            <x v="12"/>
          </reference>
        </references>
      </pivotArea>
    </format>
    <format dxfId="2563">
      <pivotArea field="0" dataOnly="0" labelOnly="1" grandRow="1" outline="0" axis="axisRow" fieldPosition="0">
        <references count="1">
          <reference field="4294967294" count="1" selected="0">
            <x v="13"/>
          </reference>
        </references>
      </pivotArea>
    </format>
    <format dxfId="2562">
      <pivotArea field="0" dataOnly="0" labelOnly="1" grandRow="1" outline="0" axis="axisRow" fieldPosition="0">
        <references count="1">
          <reference field="4294967294" count="1" selected="0">
            <x v="14"/>
          </reference>
        </references>
      </pivotArea>
    </format>
    <format dxfId="2561">
      <pivotArea field="0" dataOnly="0" labelOnly="1" grandRow="1" outline="0" axis="axisRow" fieldPosition="0">
        <references count="1">
          <reference field="4294967294" count="1" selected="0">
            <x v="15"/>
          </reference>
        </references>
      </pivotArea>
    </format>
    <format dxfId="2560">
      <pivotArea field="0" dataOnly="0" labelOnly="1" grandRow="1" outline="0" axis="axisRow" fieldPosition="0">
        <references count="1">
          <reference field="4294967294" count="1" selected="0">
            <x v="16"/>
          </reference>
        </references>
      </pivotArea>
    </format>
    <format dxfId="2559">
      <pivotArea field="0" dataOnly="0" labelOnly="1" grandRow="1" outline="0" axis="axisRow" fieldPosition="0">
        <references count="1">
          <reference field="4294967294" count="1" selected="0">
            <x v="17"/>
          </reference>
        </references>
      </pivotArea>
    </format>
    <format dxfId="2558">
      <pivotArea field="0" dataOnly="0" labelOnly="1" grandRow="1" outline="0" axis="axisRow" fieldPosition="0">
        <references count="1">
          <reference field="4294967294" count="1" selected="0">
            <x v="18"/>
          </reference>
        </references>
      </pivotArea>
    </format>
    <format dxfId="2557">
      <pivotArea field="0" dataOnly="0" labelOnly="1" grandRow="1" outline="0" axis="axisRow" fieldPosition="0">
        <references count="1">
          <reference field="4294967294" count="1" selected="0">
            <x v="19"/>
          </reference>
        </references>
      </pivotArea>
    </format>
    <format dxfId="2556">
      <pivotArea field="0" dataOnly="0" labelOnly="1" grandRow="1" outline="0" axis="axisRow" fieldPosition="0">
        <references count="1">
          <reference field="4294967294" count="1" selected="0">
            <x v="20"/>
          </reference>
        </references>
      </pivotArea>
    </format>
    <format dxfId="2555">
      <pivotArea field="0" dataOnly="0" labelOnly="1" grandRow="1" outline="0" axis="axisRow" fieldPosition="0">
        <references count="1">
          <reference field="4294967294" count="1" selected="0">
            <x v="21"/>
          </reference>
        </references>
      </pivotArea>
    </format>
    <format dxfId="2554">
      <pivotArea field="0" dataOnly="0" labelOnly="1" grandRow="1" outline="0" axis="axisRow" fieldPosition="0">
        <references count="1">
          <reference field="4294967294" count="1" selected="0">
            <x v="22"/>
          </reference>
        </references>
      </pivotArea>
    </format>
    <format dxfId="2553">
      <pivotArea field="0" dataOnly="0" labelOnly="1" grandRow="1" outline="0" axis="axisRow" fieldPosition="0">
        <references count="1">
          <reference field="4294967294" count="1" selected="0">
            <x v="23"/>
          </reference>
        </references>
      </pivotArea>
    </format>
    <format dxfId="2552">
      <pivotArea field="0" dataOnly="0" labelOnly="1" grandRow="1" outline="0" axis="axisRow" fieldPosition="0">
        <references count="1">
          <reference field="4294967294" count="1" selected="0">
            <x v="24"/>
          </reference>
        </references>
      </pivotArea>
    </format>
    <format dxfId="2551">
      <pivotArea field="0" dataOnly="0" labelOnly="1" grandRow="1" outline="0" axis="axisRow" fieldPosition="0">
        <references count="1">
          <reference field="4294967294" count="1" selected="0">
            <x v="25"/>
          </reference>
        </references>
      </pivotArea>
    </format>
    <format dxfId="2550">
      <pivotArea field="0" dataOnly="0" labelOnly="1" grandRow="1" outline="0" axis="axisRow" fieldPosition="0">
        <references count="1">
          <reference field="4294967294" count="1" selected="0">
            <x v="26"/>
          </reference>
        </references>
      </pivotArea>
    </format>
    <format dxfId="2549">
      <pivotArea field="0" dataOnly="0" labelOnly="1" grandRow="1" outline="0" axis="axisRow" fieldPosition="0">
        <references count="1">
          <reference field="4294967294" count="1" selected="0">
            <x v="27"/>
          </reference>
        </references>
      </pivotArea>
    </format>
    <format dxfId="2548">
      <pivotArea field="0" dataOnly="0" labelOnly="1" grandRow="1" outline="0" axis="axisRow" fieldPosition="0">
        <references count="1">
          <reference field="4294967294" count="1" selected="0">
            <x v="28"/>
          </reference>
        </references>
      </pivotArea>
    </format>
    <format dxfId="2547">
      <pivotArea field="0" dataOnly="0" labelOnly="1" grandRow="1" outline="0" axis="axisRow" fieldPosition="0">
        <references count="1">
          <reference field="4294967294" count="1" selected="0">
            <x v="29"/>
          </reference>
        </references>
      </pivotArea>
    </format>
    <format dxfId="2546">
      <pivotArea field="0" dataOnly="0" labelOnly="1" grandRow="1" outline="0" axis="axisRow" fieldPosition="0">
        <references count="1">
          <reference field="4294967294" count="1" selected="0">
            <x v="30"/>
          </reference>
        </references>
      </pivotArea>
    </format>
    <format dxfId="2545">
      <pivotArea field="0" dataOnly="0" labelOnly="1" grandRow="1" outline="0" axis="axisRow" fieldPosition="0">
        <references count="1">
          <reference field="4294967294" count="1" selected="0">
            <x v="31"/>
          </reference>
        </references>
      </pivotArea>
    </format>
    <format dxfId="2544">
      <pivotArea field="0" dataOnly="0" labelOnly="1" grandRow="1" outline="0" axis="axisRow" fieldPosition="0">
        <references count="1">
          <reference field="4294967294" count="1" selected="0">
            <x v="32"/>
          </reference>
        </references>
      </pivotArea>
    </format>
    <format dxfId="2543">
      <pivotArea field="0" dataOnly="0" labelOnly="1" grandRow="1" outline="0" axis="axisRow" fieldPosition="0">
        <references count="1">
          <reference field="4294967294" count="1" selected="0">
            <x v="33"/>
          </reference>
        </references>
      </pivotArea>
    </format>
    <format dxfId="2542">
      <pivotArea field="0" dataOnly="0" labelOnly="1" grandRow="1" outline="0" axis="axisRow" fieldPosition="0">
        <references count="1">
          <reference field="4294967294" count="1" selected="0">
            <x v="34"/>
          </reference>
        </references>
      </pivotArea>
    </format>
    <format dxfId="2541">
      <pivotArea field="0" dataOnly="0" labelOnly="1" grandRow="1" outline="0" axis="axisRow" fieldPosition="0">
        <references count="1">
          <reference field="4294967294" count="1" selected="0">
            <x v="35"/>
          </reference>
        </references>
      </pivotArea>
    </format>
    <format dxfId="2540">
      <pivotArea field="0" grandRow="1" outline="0" axis="axisRow" fieldPosition="0">
        <references count="1">
          <reference field="4294967294" count="1" selected="0">
            <x v="35"/>
          </reference>
        </references>
      </pivotArea>
    </format>
    <format dxfId="2539">
      <pivotArea field="0" dataOnly="0" labelOnly="1" grandRow="1" outline="0" offset="IV256" axis="axisRow" fieldPosition="0">
        <references count="1">
          <reference field="4294967294" count="1" selected="0">
            <x v="0"/>
          </reference>
        </references>
      </pivotArea>
    </format>
    <format dxfId="2538">
      <pivotArea field="0" dataOnly="0" labelOnly="1" grandRow="1" outline="0" offset="IV256" axis="axisRow" fieldPosition="0">
        <references count="1">
          <reference field="4294967294" count="1" selected="0">
            <x v="1"/>
          </reference>
        </references>
      </pivotArea>
    </format>
    <format dxfId="2537">
      <pivotArea field="0" dataOnly="0" labelOnly="1" grandRow="1" outline="0" offset="IV256" axis="axisRow" fieldPosition="0">
        <references count="1">
          <reference field="4294967294" count="1" selected="0">
            <x v="3"/>
          </reference>
        </references>
      </pivotArea>
    </format>
    <format dxfId="2536">
      <pivotArea field="0" dataOnly="0" labelOnly="1" grandRow="1" outline="0" offset="IV256" axis="axisRow" fieldPosition="0">
        <references count="1">
          <reference field="4294967294" count="1" selected="0">
            <x v="4"/>
          </reference>
        </references>
      </pivotArea>
    </format>
    <format dxfId="2535">
      <pivotArea field="0" dataOnly="0" labelOnly="1" grandRow="1" outline="0" offset="IV256" axis="axisRow" fieldPosition="0">
        <references count="1">
          <reference field="4294967294" count="1" selected="0">
            <x v="5"/>
          </reference>
        </references>
      </pivotArea>
    </format>
    <format dxfId="2534">
      <pivotArea field="0" dataOnly="0" labelOnly="1" grandRow="1" outline="0" offset="IV256" axis="axisRow" fieldPosition="0">
        <references count="1">
          <reference field="4294967294" count="1" selected="0">
            <x v="6"/>
          </reference>
        </references>
      </pivotArea>
    </format>
    <format dxfId="2533">
      <pivotArea field="0" dataOnly="0" labelOnly="1" grandRow="1" outline="0" offset="IV256" axis="axisRow" fieldPosition="0">
        <references count="1">
          <reference field="4294967294" count="1" selected="0">
            <x v="7"/>
          </reference>
        </references>
      </pivotArea>
    </format>
    <format dxfId="2532">
      <pivotArea field="0" dataOnly="0" labelOnly="1" grandRow="1" outline="0" offset="IV256" axis="axisRow" fieldPosition="0">
        <references count="1">
          <reference field="4294967294" count="1" selected="0">
            <x v="8"/>
          </reference>
        </references>
      </pivotArea>
    </format>
    <format dxfId="2531">
      <pivotArea field="0" dataOnly="0" labelOnly="1" grandRow="1" outline="0" offset="IV256" axis="axisRow" fieldPosition="0">
        <references count="1">
          <reference field="4294967294" count="1" selected="0">
            <x v="9"/>
          </reference>
        </references>
      </pivotArea>
    </format>
    <format dxfId="2530">
      <pivotArea field="0" dataOnly="0" labelOnly="1" grandRow="1" outline="0" offset="IV256" axis="axisRow" fieldPosition="0">
        <references count="1">
          <reference field="4294967294" count="1" selected="0">
            <x v="10"/>
          </reference>
        </references>
      </pivotArea>
    </format>
    <format dxfId="2529">
      <pivotArea field="0" dataOnly="0" labelOnly="1" grandRow="1" outline="0" offset="IV256" axis="axisRow" fieldPosition="0">
        <references count="1">
          <reference field="4294967294" count="1" selected="0">
            <x v="11"/>
          </reference>
        </references>
      </pivotArea>
    </format>
    <format dxfId="2528">
      <pivotArea field="0" dataOnly="0" labelOnly="1" grandRow="1" outline="0" offset="IV256" axis="axisRow" fieldPosition="0">
        <references count="1">
          <reference field="4294967294" count="1" selected="0">
            <x v="12"/>
          </reference>
        </references>
      </pivotArea>
    </format>
    <format dxfId="2527">
      <pivotArea field="0" dataOnly="0" labelOnly="1" grandRow="1" outline="0" offset="IV256" axis="axisRow" fieldPosition="0">
        <references count="1">
          <reference field="4294967294" count="1" selected="0">
            <x v="13"/>
          </reference>
        </references>
      </pivotArea>
    </format>
    <format dxfId="2526">
      <pivotArea field="0" dataOnly="0" labelOnly="1" grandRow="1" outline="0" offset="IV256" axis="axisRow" fieldPosition="0">
        <references count="1">
          <reference field="4294967294" count="1" selected="0">
            <x v="14"/>
          </reference>
        </references>
      </pivotArea>
    </format>
    <format dxfId="2525">
      <pivotArea field="0" dataOnly="0" labelOnly="1" grandRow="1" outline="0" offset="IV256" axis="axisRow" fieldPosition="0">
        <references count="1">
          <reference field="4294967294" count="1" selected="0">
            <x v="15"/>
          </reference>
        </references>
      </pivotArea>
    </format>
    <format dxfId="2524">
      <pivotArea field="0" dataOnly="0" labelOnly="1" grandRow="1" outline="0" offset="IV256" axis="axisRow" fieldPosition="0">
        <references count="1">
          <reference field="4294967294" count="1" selected="0">
            <x v="16"/>
          </reference>
        </references>
      </pivotArea>
    </format>
    <format dxfId="2523">
      <pivotArea field="0" dataOnly="0" labelOnly="1" grandRow="1" outline="0" offset="IV256" axis="axisRow" fieldPosition="0">
        <references count="1">
          <reference field="4294967294" count="1" selected="0">
            <x v="17"/>
          </reference>
        </references>
      </pivotArea>
    </format>
    <format dxfId="2522">
      <pivotArea field="0" dataOnly="0" labelOnly="1" grandRow="1" outline="0" offset="IV256" axis="axisRow" fieldPosition="0">
        <references count="1">
          <reference field="4294967294" count="1" selected="0">
            <x v="18"/>
          </reference>
        </references>
      </pivotArea>
    </format>
    <format dxfId="2521">
      <pivotArea field="0" dataOnly="0" labelOnly="1" grandRow="1" outline="0" offset="IV256" axis="axisRow" fieldPosition="0">
        <references count="1">
          <reference field="4294967294" count="1" selected="0">
            <x v="19"/>
          </reference>
        </references>
      </pivotArea>
    </format>
    <format dxfId="2520">
      <pivotArea field="0" dataOnly="0" labelOnly="1" grandRow="1" outline="0" offset="IV256" axis="axisRow" fieldPosition="0">
        <references count="1">
          <reference field="4294967294" count="1" selected="0">
            <x v="20"/>
          </reference>
        </references>
      </pivotArea>
    </format>
    <format dxfId="2519">
      <pivotArea field="0" dataOnly="0" labelOnly="1" grandRow="1" outline="0" offset="IV256" axis="axisRow" fieldPosition="0">
        <references count="1">
          <reference field="4294967294" count="1" selected="0">
            <x v="21"/>
          </reference>
        </references>
      </pivotArea>
    </format>
    <format dxfId="2518">
      <pivotArea field="0" dataOnly="0" labelOnly="1" grandRow="1" outline="0" offset="IV256" axis="axisRow" fieldPosition="0">
        <references count="1">
          <reference field="4294967294" count="1" selected="0">
            <x v="22"/>
          </reference>
        </references>
      </pivotArea>
    </format>
    <format dxfId="2517">
      <pivotArea field="0" dataOnly="0" labelOnly="1" grandRow="1" outline="0" offset="IV256" axis="axisRow" fieldPosition="0">
        <references count="1">
          <reference field="4294967294" count="1" selected="0">
            <x v="23"/>
          </reference>
        </references>
      </pivotArea>
    </format>
    <format dxfId="2516">
      <pivotArea field="0" dataOnly="0" labelOnly="1" grandRow="1" outline="0" offset="IV256" axis="axisRow" fieldPosition="0">
        <references count="1">
          <reference field="4294967294" count="1" selected="0">
            <x v="24"/>
          </reference>
        </references>
      </pivotArea>
    </format>
    <format dxfId="2515">
      <pivotArea field="0" dataOnly="0" labelOnly="1" grandRow="1" outline="0" offset="IV256" axis="axisRow" fieldPosition="0">
        <references count="1">
          <reference field="4294967294" count="1" selected="0">
            <x v="25"/>
          </reference>
        </references>
      </pivotArea>
    </format>
    <format dxfId="2514">
      <pivotArea field="0" dataOnly="0" labelOnly="1" grandRow="1" outline="0" offset="IV256" axis="axisRow" fieldPosition="0">
        <references count="1">
          <reference field="4294967294" count="1" selected="0">
            <x v="26"/>
          </reference>
        </references>
      </pivotArea>
    </format>
    <format dxfId="2513">
      <pivotArea field="0" dataOnly="0" labelOnly="1" grandRow="1" outline="0" offset="IV256" axis="axisRow" fieldPosition="0">
        <references count="1">
          <reference field="4294967294" count="1" selected="0">
            <x v="27"/>
          </reference>
        </references>
      </pivotArea>
    </format>
    <format dxfId="2512">
      <pivotArea field="0" dataOnly="0" labelOnly="1" grandRow="1" outline="0" offset="IV256" axis="axisRow" fieldPosition="0">
        <references count="1">
          <reference field="4294967294" count="1" selected="0">
            <x v="28"/>
          </reference>
        </references>
      </pivotArea>
    </format>
    <format dxfId="2511">
      <pivotArea field="0" dataOnly="0" labelOnly="1" grandRow="1" outline="0" offset="IV256" axis="axisRow" fieldPosition="0">
        <references count="1">
          <reference field="4294967294" count="1" selected="0">
            <x v="29"/>
          </reference>
        </references>
      </pivotArea>
    </format>
    <format dxfId="2510">
      <pivotArea field="0" dataOnly="0" labelOnly="1" grandRow="1" outline="0" offset="IV256" axis="axisRow" fieldPosition="0">
        <references count="1">
          <reference field="4294967294" count="1" selected="0">
            <x v="30"/>
          </reference>
        </references>
      </pivotArea>
    </format>
    <format dxfId="2509">
      <pivotArea field="0" dataOnly="0" labelOnly="1" grandRow="1" outline="0" offset="IV256" axis="axisRow" fieldPosition="0">
        <references count="1">
          <reference field="4294967294" count="1" selected="0">
            <x v="31"/>
          </reference>
        </references>
      </pivotArea>
    </format>
    <format dxfId="2508">
      <pivotArea field="0" dataOnly="0" labelOnly="1" grandRow="1" outline="0" offset="IV256" axis="axisRow" fieldPosition="0">
        <references count="1">
          <reference field="4294967294" count="1" selected="0">
            <x v="32"/>
          </reference>
        </references>
      </pivotArea>
    </format>
    <format dxfId="2507">
      <pivotArea field="0" dataOnly="0" labelOnly="1" grandRow="1" outline="0" offset="IV256" axis="axisRow" fieldPosition="0">
        <references count="1">
          <reference field="4294967294" count="1" selected="0">
            <x v="33"/>
          </reference>
        </references>
      </pivotArea>
    </format>
    <format dxfId="2506">
      <pivotArea field="0" dataOnly="0" labelOnly="1" grandRow="1" outline="0" offset="IV256" axis="axisRow" fieldPosition="0">
        <references count="1">
          <reference field="4294967294" count="1" selected="0">
            <x v="34"/>
          </reference>
        </references>
      </pivotArea>
    </format>
    <format dxfId="2505">
      <pivotArea field="0" dataOnly="0" labelOnly="1" grandRow="1" outline="0" offset="IV256" axis="axisRow" fieldPosition="0">
        <references count="1">
          <reference field="4294967294" count="1" selected="0">
            <x v="35"/>
          </reference>
        </references>
      </pivotArea>
    </format>
    <format dxfId="2504">
      <pivotArea type="all" dataOnly="0" outline="0" fieldPosition="0"/>
    </format>
    <format dxfId="2503">
      <pivotArea type="all" dataOnly="0" outline="0" fieldPosition="0"/>
    </format>
    <format dxfId="2502">
      <pivotArea outline="0" fieldPosition="0">
        <references count="2">
          <reference field="4" count="1" selected="0">
            <x v="8"/>
          </reference>
          <reference field="70" count="1" selected="0">
            <x v="1"/>
          </reference>
        </references>
      </pivotArea>
    </format>
    <format dxfId="2501">
      <pivotArea dataOnly="0" labelOnly="1" outline="0" offset="B256" fieldPosition="0">
        <references count="1">
          <reference field="70" count="1">
            <x v="1"/>
          </reference>
        </references>
      </pivotArea>
    </format>
    <format dxfId="2500">
      <pivotArea dataOnly="0" labelOnly="1" outline="0" fieldPosition="0">
        <references count="2">
          <reference field="4" count="1">
            <x v="8"/>
          </reference>
          <reference field="70" count="1" selected="0">
            <x v="1"/>
          </reference>
        </references>
      </pivotArea>
    </format>
    <format dxfId="2499">
      <pivotArea outline="0" fieldPosition="0">
        <references count="2">
          <reference field="4" count="1" selected="0">
            <x v="7"/>
          </reference>
          <reference field="70" count="1" selected="0">
            <x v="1"/>
          </reference>
        </references>
      </pivotArea>
    </format>
    <format dxfId="2498">
      <pivotArea dataOnly="0" labelOnly="1" outline="0" fieldPosition="0">
        <references count="2">
          <reference field="4" count="1">
            <x v="7"/>
          </reference>
          <reference field="70" count="1" selected="0">
            <x v="1"/>
          </reference>
        </references>
      </pivotArea>
    </format>
    <format dxfId="2497">
      <pivotArea dataOnly="0" labelOnly="1" outline="0" offset="A256" fieldPosition="0">
        <references count="1">
          <reference field="70" count="1">
            <x v="1"/>
          </reference>
        </references>
      </pivotArea>
    </format>
    <format dxfId="2496">
      <pivotArea outline="0" fieldPosition="0">
        <references count="2">
          <reference field="4" count="1" selected="0">
            <x v="11"/>
          </reference>
          <reference field="70" count="1" selected="0">
            <x v="2"/>
          </reference>
        </references>
      </pivotArea>
    </format>
    <format dxfId="2495">
      <pivotArea dataOnly="0" labelOnly="1" outline="0" fieldPosition="0">
        <references count="2">
          <reference field="4" count="1">
            <x v="11"/>
          </reference>
          <reference field="70" count="1" selected="0">
            <x v="2"/>
          </reference>
        </references>
      </pivotArea>
    </format>
    <format dxfId="2494">
      <pivotArea outline="0" fieldPosition="0">
        <references count="2">
          <reference field="4294967294" count="1" selected="0">
            <x v="35"/>
          </reference>
          <reference field="0" count="1" selected="0">
            <x v="0"/>
          </reference>
        </references>
      </pivotArea>
    </format>
    <format dxfId="2493">
      <pivotArea dataOnly="0" labelOnly="1" outline="0" offset="IV256" fieldPosition="0">
        <references count="1">
          <reference field="0" count="1">
            <x v="0"/>
          </reference>
        </references>
      </pivotArea>
    </format>
    <format dxfId="2492">
      <pivotArea dataOnly="0" labelOnly="1" outline="0" fieldPosition="0">
        <references count="2">
          <reference field="4294967294" count="1">
            <x v="35"/>
          </reference>
          <reference field="0" count="1" selected="0">
            <x v="0"/>
          </reference>
        </references>
      </pivotArea>
    </format>
    <format dxfId="2491">
      <pivotArea outline="0" fieldPosition="0">
        <references count="1">
          <reference field="70" count="3" selected="0" defaultSubtotal="1">
            <x v="0"/>
            <x v="1"/>
            <x v="2"/>
          </reference>
        </references>
      </pivotArea>
    </format>
    <format dxfId="2490">
      <pivotArea outline="0" fieldPosition="0">
        <references count="2">
          <reference field="4" count="1" selected="0">
            <x v="16"/>
          </reference>
          <reference field="70" count="1" selected="0">
            <x v="6"/>
          </reference>
        </references>
      </pivotArea>
    </format>
    <format dxfId="2489">
      <pivotArea dataOnly="0" labelOnly="1" outline="0" offset="IV256" fieldPosition="0">
        <references count="1">
          <reference field="70" count="1" defaultSubtotal="1">
            <x v="0"/>
          </reference>
        </references>
      </pivotArea>
    </format>
    <format dxfId="2488">
      <pivotArea dataOnly="0" labelOnly="1" outline="0" offset="IV256" fieldPosition="0">
        <references count="1">
          <reference field="70" count="1" defaultSubtotal="1">
            <x v="1"/>
          </reference>
        </references>
      </pivotArea>
    </format>
    <format dxfId="2487">
      <pivotArea dataOnly="0" labelOnly="1" outline="0" offset="IV256" fieldPosition="0">
        <references count="1">
          <reference field="70" count="1" defaultSubtotal="1">
            <x v="2"/>
          </reference>
        </references>
      </pivotArea>
    </format>
    <format dxfId="2486">
      <pivotArea dataOnly="0" labelOnly="1" outline="0" fieldPosition="0">
        <references count="2">
          <reference field="4" count="7">
            <x v="0"/>
            <x v="1"/>
            <x v="2"/>
            <x v="3"/>
            <x v="4"/>
            <x v="5"/>
            <x v="6"/>
          </reference>
          <reference field="70" count="1" selected="0">
            <x v="0"/>
          </reference>
        </references>
      </pivotArea>
    </format>
    <format dxfId="2485">
      <pivotArea dataOnly="0" labelOnly="1" outline="0" fieldPosition="0">
        <references count="2">
          <reference field="4" count="4">
            <x v="7"/>
            <x v="8"/>
            <x v="9"/>
            <x v="10"/>
          </reference>
          <reference field="70" count="1" selected="0">
            <x v="1"/>
          </reference>
        </references>
      </pivotArea>
    </format>
    <format dxfId="2484">
      <pivotArea dataOnly="0" labelOnly="1" outline="0" fieldPosition="0">
        <references count="2">
          <reference field="4" count="2">
            <x v="11"/>
            <x v="12"/>
          </reference>
          <reference field="70" count="1" selected="0">
            <x v="2"/>
          </reference>
        </references>
      </pivotArea>
    </format>
    <format dxfId="2483">
      <pivotArea dataOnly="0" labelOnly="1" outline="0" fieldPosition="0">
        <references count="2">
          <reference field="4" count="1">
            <x v="16"/>
          </reference>
          <reference field="70" count="1" selected="0">
            <x v="6"/>
          </reference>
        </references>
      </pivotArea>
    </format>
    <format dxfId="2482">
      <pivotArea outline="0" fieldPosition="0">
        <references count="4">
          <reference field="4294967294" count="1" selected="0">
            <x v="20"/>
          </reference>
          <reference field="0" count="1" selected="0">
            <x v="1"/>
          </reference>
          <reference field="4" count="1" selected="0">
            <x v="3"/>
          </reference>
          <reference field="70" count="1" selected="0">
            <x v="0"/>
          </reference>
        </references>
      </pivotArea>
    </format>
    <format dxfId="2481">
      <pivotArea outline="0" fieldPosition="0">
        <references count="4">
          <reference field="4294967294" count="1" selected="0">
            <x v="20"/>
          </reference>
          <reference field="0" count="1" selected="0">
            <x v="1"/>
          </reference>
          <reference field="4" count="1" selected="0">
            <x v="5"/>
          </reference>
          <reference field="70" count="1" selected="0">
            <x v="0"/>
          </reference>
        </references>
      </pivotArea>
    </format>
    <format dxfId="2480">
      <pivotArea outline="0" fieldPosition="0">
        <references count="4">
          <reference field="4294967294" count="1" selected="0">
            <x v="26"/>
          </reference>
          <reference field="0" count="1" selected="0">
            <x v="1"/>
          </reference>
          <reference field="4" count="1" selected="0">
            <x v="3"/>
          </reference>
          <reference field="70" count="1" selected="0">
            <x v="0"/>
          </reference>
        </references>
      </pivotArea>
    </format>
    <format dxfId="2479">
      <pivotArea outline="0" fieldPosition="0">
        <references count="4">
          <reference field="4294967294" count="1" selected="0">
            <x v="26"/>
          </reference>
          <reference field="0" count="1" selected="0">
            <x v="1"/>
          </reference>
          <reference field="4" count="1" selected="0">
            <x v="5"/>
          </reference>
          <reference field="70" count="1" selected="0">
            <x v="0"/>
          </reference>
        </references>
      </pivotArea>
    </format>
    <format dxfId="2478">
      <pivotArea outline="0" fieldPosition="0">
        <references count="4">
          <reference field="4294967294" count="1" selected="0">
            <x v="2"/>
          </reference>
          <reference field="0" count="1" selected="0">
            <x v="3"/>
          </reference>
          <reference field="4" count="1" selected="0">
            <x v="0"/>
          </reference>
          <reference field="70" count="1" selected="0">
            <x v="0"/>
          </reference>
        </references>
      </pivotArea>
    </format>
    <format dxfId="2477">
      <pivotArea outline="0" fieldPosition="0">
        <references count="4">
          <reference field="4294967294" count="1" selected="0">
            <x v="8"/>
          </reference>
          <reference field="0" count="1" selected="0">
            <x v="3"/>
          </reference>
          <reference field="4" count="1" selected="0">
            <x v="0"/>
          </reference>
          <reference field="70" count="1" selected="0">
            <x v="0"/>
          </reference>
        </references>
      </pivotArea>
    </format>
    <format dxfId="2476">
      <pivotArea outline="0" fieldPosition="0">
        <references count="4">
          <reference field="4294967294" count="1" selected="0">
            <x v="20"/>
          </reference>
          <reference field="0" count="1" selected="0">
            <x v="3"/>
          </reference>
          <reference field="4" count="2" selected="0">
            <x v="0"/>
            <x v="1"/>
          </reference>
          <reference field="70" count="1" selected="0">
            <x v="0"/>
          </reference>
        </references>
      </pivotArea>
    </format>
    <format dxfId="2475">
      <pivotArea outline="0" fieldPosition="0">
        <references count="4">
          <reference field="4294967294" count="1" selected="0">
            <x v="26"/>
          </reference>
          <reference field="0" count="1" selected="0">
            <x v="3"/>
          </reference>
          <reference field="4" count="2" selected="0">
            <x v="0"/>
            <x v="1"/>
          </reference>
          <reference field="70" count="1" selected="0">
            <x v="0"/>
          </reference>
        </references>
      </pivotArea>
    </format>
    <format dxfId="2474">
      <pivotArea outline="0" fieldPosition="0">
        <references count="4">
          <reference field="4294967294" count="1" selected="0">
            <x v="32"/>
          </reference>
          <reference field="0" count="1" selected="0">
            <x v="3"/>
          </reference>
          <reference field="4" count="1" selected="0">
            <x v="2"/>
          </reference>
          <reference field="70" count="1" selected="0">
            <x v="0"/>
          </reference>
        </references>
      </pivotArea>
    </format>
    <format dxfId="2473">
      <pivotArea outline="0" fieldPosition="0">
        <references count="4">
          <reference field="4294967294" count="1" selected="0">
            <x v="20"/>
          </reference>
          <reference field="0" count="1" selected="0">
            <x v="8"/>
          </reference>
          <reference field="4" count="1" selected="0">
            <x v="3"/>
          </reference>
          <reference field="70" count="1" selected="0">
            <x v="0"/>
          </reference>
        </references>
      </pivotArea>
    </format>
    <format dxfId="2472">
      <pivotArea outline="0" fieldPosition="0">
        <references count="4">
          <reference field="4294967294" count="1" selected="0">
            <x v="26"/>
          </reference>
          <reference field="0" count="1" selected="0">
            <x v="8"/>
          </reference>
          <reference field="4" count="1" selected="0">
            <x v="3"/>
          </reference>
          <reference field="70" count="1" selected="0">
            <x v="0"/>
          </reference>
        </references>
      </pivotArea>
    </format>
    <format dxfId="2471">
      <pivotArea outline="0" fieldPosition="0">
        <references count="4">
          <reference field="4294967294" count="1" selected="0">
            <x v="20"/>
          </reference>
          <reference field="0" count="1" selected="0">
            <x v="10"/>
          </reference>
          <reference field="4" count="1" selected="0">
            <x v="3"/>
          </reference>
          <reference field="70" count="1" selected="0">
            <x v="0"/>
          </reference>
        </references>
      </pivotArea>
    </format>
    <format dxfId="2470">
      <pivotArea outline="0" fieldPosition="0">
        <references count="4">
          <reference field="4294967294" count="1" selected="0">
            <x v="20"/>
          </reference>
          <reference field="0" count="1" selected="0">
            <x v="10"/>
          </reference>
          <reference field="4" count="1" selected="0">
            <x v="4"/>
          </reference>
          <reference field="70" count="1" selected="0">
            <x v="0"/>
          </reference>
        </references>
      </pivotArea>
    </format>
    <format dxfId="2469">
      <pivotArea outline="0" fieldPosition="0">
        <references count="4">
          <reference field="4294967294" count="1" selected="0">
            <x v="29"/>
          </reference>
          <reference field="0" count="1" selected="0">
            <x v="10"/>
          </reference>
          <reference field="4" count="1" selected="0">
            <x v="4"/>
          </reference>
          <reference field="70" count="1" selected="0">
            <x v="0"/>
          </reference>
        </references>
      </pivotArea>
    </format>
    <format dxfId="2468">
      <pivotArea outline="0" fieldPosition="0">
        <references count="4">
          <reference field="4294967294" count="1" selected="0">
            <x v="26"/>
          </reference>
          <reference field="0" count="1" selected="0">
            <x v="11"/>
          </reference>
          <reference field="4" count="1" selected="0">
            <x v="4"/>
          </reference>
          <reference field="70" count="1" selected="0">
            <x v="0"/>
          </reference>
        </references>
      </pivotArea>
    </format>
    <format dxfId="2467">
      <pivotArea outline="0" fieldPosition="0">
        <references count="4">
          <reference field="4294967294" count="1" selected="0">
            <x v="20"/>
          </reference>
          <reference field="0" count="1" selected="0">
            <x v="11"/>
          </reference>
          <reference field="4" count="1" selected="0">
            <x v="4"/>
          </reference>
          <reference field="70" count="1" selected="0">
            <x v="0"/>
          </reference>
        </references>
      </pivotArea>
    </format>
    <format dxfId="2466">
      <pivotArea outline="0" fieldPosition="0">
        <references count="4">
          <reference field="4294967294" count="1" selected="0">
            <x v="26"/>
          </reference>
          <reference field="0" count="1" selected="0">
            <x v="12"/>
          </reference>
          <reference field="4" count="1" selected="0">
            <x v="2"/>
          </reference>
          <reference field="70" count="1" selected="0">
            <x v="0"/>
          </reference>
        </references>
      </pivotArea>
    </format>
    <format dxfId="2465">
      <pivotArea outline="0" fieldPosition="0">
        <references count="4">
          <reference field="4294967294" count="1" selected="0">
            <x v="20"/>
          </reference>
          <reference field="0" count="1" selected="0">
            <x v="13"/>
          </reference>
          <reference field="4" count="1" selected="0">
            <x v="5"/>
          </reference>
          <reference field="70" count="1" selected="0">
            <x v="0"/>
          </reference>
        </references>
      </pivotArea>
    </format>
    <format dxfId="2464">
      <pivotArea outline="0" fieldPosition="0">
        <references count="4">
          <reference field="4294967294" count="1" selected="0">
            <x v="26"/>
          </reference>
          <reference field="0" count="1" selected="0">
            <x v="13"/>
          </reference>
          <reference field="4" count="1" selected="0">
            <x v="5"/>
          </reference>
          <reference field="70" count="1" selected="0">
            <x v="0"/>
          </reference>
        </references>
      </pivotArea>
    </format>
    <format dxfId="2463">
      <pivotArea outline="0" fieldPosition="0">
        <references count="4">
          <reference field="4294967294" count="1" selected="0">
            <x v="8"/>
          </reference>
          <reference field="0" count="1" selected="0">
            <x v="14"/>
          </reference>
          <reference field="4" count="1" selected="0">
            <x v="5"/>
          </reference>
          <reference field="70" count="1" selected="0">
            <x v="0"/>
          </reference>
        </references>
      </pivotArea>
    </format>
    <format dxfId="2462">
      <pivotArea outline="0" fieldPosition="0">
        <references count="4">
          <reference field="4294967294" count="1" selected="0">
            <x v="11"/>
          </reference>
          <reference field="0" count="1" selected="0">
            <x v="14"/>
          </reference>
          <reference field="4" count="1" selected="0">
            <x v="5"/>
          </reference>
          <reference field="70" count="1" selected="0">
            <x v="0"/>
          </reference>
        </references>
      </pivotArea>
    </format>
    <format dxfId="2461">
      <pivotArea outline="0" fieldPosition="0">
        <references count="4">
          <reference field="4294967294" count="1" selected="0">
            <x v="23"/>
          </reference>
          <reference field="0" count="1" selected="0">
            <x v="15"/>
          </reference>
          <reference field="4" count="1" selected="0">
            <x v="5"/>
          </reference>
          <reference field="70" count="1" selected="0">
            <x v="0"/>
          </reference>
        </references>
      </pivotArea>
    </format>
    <format dxfId="2460">
      <pivotArea outline="0" fieldPosition="0">
        <references count="4">
          <reference field="4294967294" count="1" selected="0">
            <x v="26"/>
          </reference>
          <reference field="0" count="1" selected="0">
            <x v="15"/>
          </reference>
          <reference field="4" count="1" selected="0">
            <x v="5"/>
          </reference>
          <reference field="70" count="1" selected="0">
            <x v="0"/>
          </reference>
        </references>
      </pivotArea>
    </format>
    <format dxfId="2459">
      <pivotArea outline="0" fieldPosition="0">
        <references count="4">
          <reference field="4294967294" count="1" selected="0">
            <x v="5"/>
          </reference>
          <reference field="0" count="1" selected="0">
            <x v="1"/>
          </reference>
          <reference field="4" count="1" selected="0">
            <x v="8"/>
          </reference>
          <reference field="70" count="1" selected="0">
            <x v="1"/>
          </reference>
        </references>
      </pivotArea>
    </format>
    <format dxfId="2458">
      <pivotArea outline="0" fieldPosition="0">
        <references count="4">
          <reference field="4294967294" count="1" selected="0">
            <x v="2"/>
          </reference>
          <reference field="0" count="1" selected="0">
            <x v="1"/>
          </reference>
          <reference field="4" count="1" selected="0">
            <x v="8"/>
          </reference>
          <reference field="70" count="1" selected="0">
            <x v="1"/>
          </reference>
        </references>
      </pivotArea>
    </format>
    <format dxfId="2457">
      <pivotArea outline="0" fieldPosition="0">
        <references count="4">
          <reference field="4294967294" count="1" selected="0">
            <x v="2"/>
          </reference>
          <reference field="0" count="1" selected="0">
            <x v="2"/>
          </reference>
          <reference field="4" count="1" selected="0">
            <x v="9"/>
          </reference>
          <reference field="70" count="1" selected="0">
            <x v="1"/>
          </reference>
        </references>
      </pivotArea>
    </format>
    <format dxfId="2456">
      <pivotArea outline="0" fieldPosition="0">
        <references count="4">
          <reference field="4294967294" count="1" selected="0">
            <x v="8"/>
          </reference>
          <reference field="0" count="1" selected="0">
            <x v="2"/>
          </reference>
          <reference field="4" count="1" selected="0">
            <x v="9"/>
          </reference>
          <reference field="70" count="1" selected="0">
            <x v="1"/>
          </reference>
        </references>
      </pivotArea>
    </format>
    <format dxfId="2455">
      <pivotArea outline="0" fieldPosition="0">
        <references count="4">
          <reference field="4294967294" count="1" selected="0">
            <x v="2"/>
          </reference>
          <reference field="0" count="1" selected="0">
            <x v="3"/>
          </reference>
          <reference field="4" count="1" selected="0">
            <x v="10"/>
          </reference>
          <reference field="70" count="1" selected="0">
            <x v="1"/>
          </reference>
        </references>
      </pivotArea>
    </format>
    <format dxfId="2454">
      <pivotArea outline="0" fieldPosition="0">
        <references count="4">
          <reference field="4294967294" count="1" selected="0">
            <x v="14"/>
          </reference>
          <reference field="0" count="1" selected="0">
            <x v="3"/>
          </reference>
          <reference field="4" count="1" selected="0">
            <x v="10"/>
          </reference>
          <reference field="70" count="1" selected="0">
            <x v="1"/>
          </reference>
        </references>
      </pivotArea>
    </format>
    <format dxfId="2453">
      <pivotArea outline="0" fieldPosition="0">
        <references count="4">
          <reference field="4294967294" count="1" selected="0">
            <x v="2"/>
          </reference>
          <reference field="0" count="1" selected="0">
            <x v="5"/>
          </reference>
          <reference field="4" count="1" selected="0">
            <x v="10"/>
          </reference>
          <reference field="70" count="1" selected="0">
            <x v="1"/>
          </reference>
        </references>
      </pivotArea>
    </format>
    <format dxfId="2452">
      <pivotArea outline="0" fieldPosition="0">
        <references count="4">
          <reference field="4294967294" count="1" selected="0">
            <x v="8"/>
          </reference>
          <reference field="0" count="1" selected="0">
            <x v="5"/>
          </reference>
          <reference field="4" count="1" selected="0">
            <x v="10"/>
          </reference>
          <reference field="70" count="1" selected="0">
            <x v="1"/>
          </reference>
        </references>
      </pivotArea>
    </format>
    <format dxfId="2451">
      <pivotArea outline="0" fieldPosition="0">
        <references count="4">
          <reference field="4294967294" count="1" selected="0">
            <x v="5"/>
          </reference>
          <reference field="0" count="1" selected="0">
            <x v="5"/>
          </reference>
          <reference field="4" count="1" selected="0">
            <x v="10"/>
          </reference>
          <reference field="70" count="1" selected="0">
            <x v="1"/>
          </reference>
        </references>
      </pivotArea>
    </format>
    <format dxfId="2450">
      <pivotArea outline="0" fieldPosition="0">
        <references count="4">
          <reference field="4294967294" count="1" selected="0">
            <x v="2"/>
          </reference>
          <reference field="0" count="1" selected="0">
            <x v="5"/>
          </reference>
          <reference field="4" count="1" selected="0">
            <x v="11"/>
          </reference>
          <reference field="70" count="1" selected="0">
            <x v="2"/>
          </reference>
        </references>
      </pivotArea>
    </format>
    <format dxfId="2449">
      <pivotArea outline="0" fieldPosition="0">
        <references count="4">
          <reference field="4294967294" count="1" selected="0">
            <x v="8"/>
          </reference>
          <reference field="0" count="1" selected="0">
            <x v="5"/>
          </reference>
          <reference field="4" count="1" selected="0">
            <x v="11"/>
          </reference>
          <reference field="70" count="1" selected="0">
            <x v="2"/>
          </reference>
        </references>
      </pivotArea>
    </format>
    <format dxfId="2448">
      <pivotArea outline="0" fieldPosition="0">
        <references count="4">
          <reference field="4294967294" count="1" selected="0">
            <x v="26"/>
          </reference>
          <reference field="0" count="1" selected="0">
            <x v="15"/>
          </reference>
          <reference field="4" count="1" selected="0">
            <x v="9"/>
          </reference>
          <reference field="70" count="1" selected="0">
            <x v="1"/>
          </reference>
        </references>
      </pivotArea>
    </format>
    <format dxfId="2447">
      <pivotArea outline="0" fieldPosition="0">
        <references count="4">
          <reference field="4294967294" count="1" selected="0">
            <x v="14"/>
          </reference>
          <reference field="0" count="1" selected="0">
            <x v="0"/>
          </reference>
          <reference field="4" count="1" selected="0">
            <x v="8"/>
          </reference>
          <reference field="70" count="1" selected="0">
            <x v="1"/>
          </reference>
        </references>
      </pivotArea>
    </format>
    <format dxfId="2446">
      <pivotArea outline="0" fieldPosition="0">
        <references count="4">
          <reference field="4294967294" count="1" selected="0">
            <x v="32"/>
          </reference>
          <reference field="0" count="1" selected="0">
            <x v="9"/>
          </reference>
          <reference field="4" count="1" selected="0">
            <x v="2"/>
          </reference>
          <reference field="70" count="1" selected="0">
            <x v="0"/>
          </reference>
        </references>
      </pivotArea>
    </format>
    <format dxfId="2445">
      <pivotArea outline="0" fieldPosition="0">
        <references count="4">
          <reference field="4294967294" count="1" selected="0">
            <x v="26"/>
          </reference>
          <reference field="0" count="1" selected="0">
            <x v="10"/>
          </reference>
          <reference field="4" count="1" selected="0">
            <x v="3"/>
          </reference>
          <reference field="70" count="1" selected="0">
            <x v="0"/>
          </reference>
        </references>
      </pivotArea>
    </format>
    <format dxfId="2444">
      <pivotArea outline="0" fieldPosition="0">
        <references count="4">
          <reference field="4294967294" count="1" selected="0">
            <x v="29"/>
          </reference>
          <reference field="0" count="1" selected="0">
            <x v="11"/>
          </reference>
          <reference field="4" count="1" selected="0">
            <x v="2"/>
          </reference>
          <reference field="70" count="1" selected="0">
            <x v="0"/>
          </reference>
        </references>
      </pivotArea>
    </format>
    <format dxfId="2443">
      <pivotArea outline="0" fieldPosition="0">
        <references count="4">
          <reference field="4294967294" count="1" selected="0">
            <x v="20"/>
          </reference>
          <reference field="0" count="1" selected="0">
            <x v="5"/>
          </reference>
          <reference field="4" count="1" selected="0">
            <x v="0"/>
          </reference>
          <reference field="70" count="1" selected="0">
            <x v="0"/>
          </reference>
        </references>
      </pivotArea>
    </format>
    <format dxfId="2442">
      <pivotArea outline="0" fieldPosition="0">
        <references count="4">
          <reference field="4294967294" count="1" selected="0">
            <x v="26"/>
          </reference>
          <reference field="0" count="1" selected="0">
            <x v="5"/>
          </reference>
          <reference field="4" count="1" selected="0">
            <x v="0"/>
          </reference>
          <reference field="70" count="1" selected="0">
            <x v="0"/>
          </reference>
        </references>
      </pivotArea>
    </format>
    <format dxfId="2441">
      <pivotArea type="all" dataOnly="0" outline="0" fieldPosition="0"/>
    </format>
    <format dxfId="2440">
      <pivotArea outline="0" fieldPosition="0"/>
    </format>
    <format dxfId="2439">
      <pivotArea type="origin" dataOnly="0" labelOnly="1" outline="0" fieldPosition="0"/>
    </format>
    <format dxfId="2438">
      <pivotArea field="70" type="button" dataOnly="0" labelOnly="1" outline="0" axis="axisCol" fieldPosition="0"/>
    </format>
    <format dxfId="2437">
      <pivotArea field="4" type="button" dataOnly="0" labelOnly="1" outline="0" axis="axisCol" fieldPosition="1"/>
    </format>
    <format dxfId="2436">
      <pivotArea type="topRight" dataOnly="0" labelOnly="1" outline="0" fieldPosition="0"/>
    </format>
    <format dxfId="2435">
      <pivotArea field="0" type="button" dataOnly="0" labelOnly="1" outline="0" axis="axisRow" fieldPosition="0"/>
    </format>
    <format dxfId="2434">
      <pivotArea field="-2" type="button" dataOnly="0" labelOnly="1" outline="0" axis="axisRow" fieldPosition="1"/>
    </format>
    <format dxfId="2433">
      <pivotArea dataOnly="0" labelOnly="1" outline="0" fieldPosition="0">
        <references count="1">
          <reference field="0" count="0"/>
        </references>
      </pivotArea>
    </format>
    <format dxfId="2432">
      <pivotArea field="0" dataOnly="0" labelOnly="1" grandRow="1" outline="0" axis="axisRow" fieldPosition="0">
        <references count="1">
          <reference field="4294967294" count="1" selected="0">
            <x v="0"/>
          </reference>
        </references>
      </pivotArea>
    </format>
    <format dxfId="2431">
      <pivotArea field="0" dataOnly="0" labelOnly="1" grandRow="1" outline="0" axis="axisRow" fieldPosition="0">
        <references count="1">
          <reference field="4294967294" count="1" selected="0">
            <x v="1"/>
          </reference>
        </references>
      </pivotArea>
    </format>
    <format dxfId="2430">
      <pivotArea field="0" dataOnly="0" labelOnly="1" grandRow="1" outline="0" axis="axisRow" fieldPosition="0">
        <references count="1">
          <reference field="4294967294" count="1" selected="0">
            <x v="2"/>
          </reference>
        </references>
      </pivotArea>
    </format>
    <format dxfId="2429">
      <pivotArea field="0" dataOnly="0" labelOnly="1" grandRow="1" outline="0" axis="axisRow" fieldPosition="0">
        <references count="1">
          <reference field="4294967294" count="1" selected="0">
            <x v="3"/>
          </reference>
        </references>
      </pivotArea>
    </format>
    <format dxfId="2428">
      <pivotArea field="0" dataOnly="0" labelOnly="1" grandRow="1" outline="0" axis="axisRow" fieldPosition="0">
        <references count="1">
          <reference field="4294967294" count="1" selected="0">
            <x v="4"/>
          </reference>
        </references>
      </pivotArea>
    </format>
    <format dxfId="2427">
      <pivotArea field="0" dataOnly="0" labelOnly="1" grandRow="1" outline="0" axis="axisRow" fieldPosition="0">
        <references count="1">
          <reference field="4294967294" count="1" selected="0">
            <x v="5"/>
          </reference>
        </references>
      </pivotArea>
    </format>
    <format dxfId="2426">
      <pivotArea field="0" dataOnly="0" labelOnly="1" grandRow="1" outline="0" axis="axisRow" fieldPosition="0">
        <references count="1">
          <reference field="4294967294" count="1" selected="0">
            <x v="6"/>
          </reference>
        </references>
      </pivotArea>
    </format>
    <format dxfId="2425">
      <pivotArea field="0" dataOnly="0" labelOnly="1" grandRow="1" outline="0" axis="axisRow" fieldPosition="0">
        <references count="1">
          <reference field="4294967294" count="1" selected="0">
            <x v="7"/>
          </reference>
        </references>
      </pivotArea>
    </format>
    <format dxfId="2424">
      <pivotArea field="0" dataOnly="0" labelOnly="1" grandRow="1" outline="0" axis="axisRow" fieldPosition="0">
        <references count="1">
          <reference field="4294967294" count="1" selected="0">
            <x v="8"/>
          </reference>
        </references>
      </pivotArea>
    </format>
    <format dxfId="2423">
      <pivotArea field="0" dataOnly="0" labelOnly="1" grandRow="1" outline="0" axis="axisRow" fieldPosition="0">
        <references count="1">
          <reference field="4294967294" count="1" selected="0">
            <x v="9"/>
          </reference>
        </references>
      </pivotArea>
    </format>
    <format dxfId="2422">
      <pivotArea field="0" dataOnly="0" labelOnly="1" grandRow="1" outline="0" axis="axisRow" fieldPosition="0">
        <references count="1">
          <reference field="4294967294" count="1" selected="0">
            <x v="10"/>
          </reference>
        </references>
      </pivotArea>
    </format>
    <format dxfId="2421">
      <pivotArea field="0" dataOnly="0" labelOnly="1" grandRow="1" outline="0" axis="axisRow" fieldPosition="0">
        <references count="1">
          <reference field="4294967294" count="1" selected="0">
            <x v="11"/>
          </reference>
        </references>
      </pivotArea>
    </format>
    <format dxfId="2420">
      <pivotArea field="0" dataOnly="0" labelOnly="1" grandRow="1" outline="0" axis="axisRow" fieldPosition="0">
        <references count="1">
          <reference field="4294967294" count="1" selected="0">
            <x v="12"/>
          </reference>
        </references>
      </pivotArea>
    </format>
    <format dxfId="2419">
      <pivotArea field="0" dataOnly="0" labelOnly="1" grandRow="1" outline="0" axis="axisRow" fieldPosition="0">
        <references count="1">
          <reference field="4294967294" count="1" selected="0">
            <x v="13"/>
          </reference>
        </references>
      </pivotArea>
    </format>
    <format dxfId="2418">
      <pivotArea field="0" dataOnly="0" labelOnly="1" grandRow="1" outline="0" axis="axisRow" fieldPosition="0">
        <references count="1">
          <reference field="4294967294" count="1" selected="0">
            <x v="14"/>
          </reference>
        </references>
      </pivotArea>
    </format>
    <format dxfId="2417">
      <pivotArea field="0" dataOnly="0" labelOnly="1" grandRow="1" outline="0" axis="axisRow" fieldPosition="0">
        <references count="1">
          <reference field="4294967294" count="1" selected="0">
            <x v="15"/>
          </reference>
        </references>
      </pivotArea>
    </format>
    <format dxfId="2416">
      <pivotArea field="0" dataOnly="0" labelOnly="1" grandRow="1" outline="0" axis="axisRow" fieldPosition="0">
        <references count="1">
          <reference field="4294967294" count="1" selected="0">
            <x v="16"/>
          </reference>
        </references>
      </pivotArea>
    </format>
    <format dxfId="2415">
      <pivotArea field="0" dataOnly="0" labelOnly="1" grandRow="1" outline="0" axis="axisRow" fieldPosition="0">
        <references count="1">
          <reference field="4294967294" count="1" selected="0">
            <x v="17"/>
          </reference>
        </references>
      </pivotArea>
    </format>
    <format dxfId="2414">
      <pivotArea field="0" dataOnly="0" labelOnly="1" grandRow="1" outline="0" axis="axisRow" fieldPosition="0">
        <references count="1">
          <reference field="4294967294" count="1" selected="0">
            <x v="18"/>
          </reference>
        </references>
      </pivotArea>
    </format>
    <format dxfId="2413">
      <pivotArea field="0" dataOnly="0" labelOnly="1" grandRow="1" outline="0" axis="axisRow" fieldPosition="0">
        <references count="1">
          <reference field="4294967294" count="1" selected="0">
            <x v="19"/>
          </reference>
        </references>
      </pivotArea>
    </format>
    <format dxfId="2412">
      <pivotArea field="0" dataOnly="0" labelOnly="1" grandRow="1" outline="0" axis="axisRow" fieldPosition="0">
        <references count="1">
          <reference field="4294967294" count="1" selected="0">
            <x v="20"/>
          </reference>
        </references>
      </pivotArea>
    </format>
    <format dxfId="2411">
      <pivotArea field="0" dataOnly="0" labelOnly="1" grandRow="1" outline="0" axis="axisRow" fieldPosition="0">
        <references count="1">
          <reference field="4294967294" count="1" selected="0">
            <x v="21"/>
          </reference>
        </references>
      </pivotArea>
    </format>
    <format dxfId="2410">
      <pivotArea field="0" dataOnly="0" labelOnly="1" grandRow="1" outline="0" axis="axisRow" fieldPosition="0">
        <references count="1">
          <reference field="4294967294" count="1" selected="0">
            <x v="22"/>
          </reference>
        </references>
      </pivotArea>
    </format>
    <format dxfId="2409">
      <pivotArea field="0" dataOnly="0" labelOnly="1" grandRow="1" outline="0" axis="axisRow" fieldPosition="0">
        <references count="1">
          <reference field="4294967294" count="1" selected="0">
            <x v="23"/>
          </reference>
        </references>
      </pivotArea>
    </format>
    <format dxfId="2408">
      <pivotArea field="0" dataOnly="0" labelOnly="1" grandRow="1" outline="0" axis="axisRow" fieldPosition="0">
        <references count="1">
          <reference field="4294967294" count="1" selected="0">
            <x v="24"/>
          </reference>
        </references>
      </pivotArea>
    </format>
    <format dxfId="2407">
      <pivotArea field="0" dataOnly="0" labelOnly="1" grandRow="1" outline="0" axis="axisRow" fieldPosition="0">
        <references count="1">
          <reference field="4294967294" count="1" selected="0">
            <x v="25"/>
          </reference>
        </references>
      </pivotArea>
    </format>
    <format dxfId="2406">
      <pivotArea field="0" dataOnly="0" labelOnly="1" grandRow="1" outline="0" axis="axisRow" fieldPosition="0">
        <references count="1">
          <reference field="4294967294" count="1" selected="0">
            <x v="26"/>
          </reference>
        </references>
      </pivotArea>
    </format>
    <format dxfId="2405">
      <pivotArea field="0" dataOnly="0" labelOnly="1" grandRow="1" outline="0" axis="axisRow" fieldPosition="0">
        <references count="1">
          <reference field="4294967294" count="1" selected="0">
            <x v="27"/>
          </reference>
        </references>
      </pivotArea>
    </format>
    <format dxfId="2404">
      <pivotArea field="0" dataOnly="0" labelOnly="1" grandRow="1" outline="0" axis="axisRow" fieldPosition="0">
        <references count="1">
          <reference field="4294967294" count="1" selected="0">
            <x v="28"/>
          </reference>
        </references>
      </pivotArea>
    </format>
    <format dxfId="2403">
      <pivotArea field="0" dataOnly="0" labelOnly="1" grandRow="1" outline="0" axis="axisRow" fieldPosition="0">
        <references count="1">
          <reference field="4294967294" count="1" selected="0">
            <x v="29"/>
          </reference>
        </references>
      </pivotArea>
    </format>
    <format dxfId="2402">
      <pivotArea field="0" dataOnly="0" labelOnly="1" grandRow="1" outline="0" axis="axisRow" fieldPosition="0">
        <references count="1">
          <reference field="4294967294" count="1" selected="0">
            <x v="30"/>
          </reference>
        </references>
      </pivotArea>
    </format>
    <format dxfId="2401">
      <pivotArea field="0" dataOnly="0" labelOnly="1" grandRow="1" outline="0" axis="axisRow" fieldPosition="0">
        <references count="1">
          <reference field="4294967294" count="1" selected="0">
            <x v="31"/>
          </reference>
        </references>
      </pivotArea>
    </format>
    <format dxfId="2400">
      <pivotArea field="0" dataOnly="0" labelOnly="1" grandRow="1" outline="0" axis="axisRow" fieldPosition="0">
        <references count="1">
          <reference field="4294967294" count="1" selected="0">
            <x v="32"/>
          </reference>
        </references>
      </pivotArea>
    </format>
    <format dxfId="2399">
      <pivotArea field="0" dataOnly="0" labelOnly="1" grandRow="1" outline="0" axis="axisRow" fieldPosition="0">
        <references count="1">
          <reference field="4294967294" count="1" selected="0">
            <x v="33"/>
          </reference>
        </references>
      </pivotArea>
    </format>
    <format dxfId="2398">
      <pivotArea field="0" dataOnly="0" labelOnly="1" grandRow="1" outline="0" axis="axisRow" fieldPosition="0">
        <references count="1">
          <reference field="4294967294" count="1" selected="0">
            <x v="34"/>
          </reference>
        </references>
      </pivotArea>
    </format>
    <format dxfId="2397">
      <pivotArea field="0" dataOnly="0" labelOnly="1" grandRow="1" outline="0" axis="axisRow" fieldPosition="0">
        <references count="1">
          <reference field="4294967294" count="1" selected="0">
            <x v="35"/>
          </reference>
        </references>
      </pivotArea>
    </format>
    <format dxfId="2396">
      <pivotArea field="0" dataOnly="0" labelOnly="1" grandRow="1" outline="0" axis="axisRow" fieldPosition="0">
        <references count="1">
          <reference field="4294967294" count="1" selected="0">
            <x v="0"/>
          </reference>
        </references>
      </pivotArea>
    </format>
    <format dxfId="2395">
      <pivotArea field="0" dataOnly="0" labelOnly="1" grandRow="1" outline="0" axis="axisRow" fieldPosition="0">
        <references count="1">
          <reference field="4294967294" count="1" selected="0">
            <x v="1"/>
          </reference>
        </references>
      </pivotArea>
    </format>
    <format dxfId="2394">
      <pivotArea field="0" dataOnly="0" labelOnly="1" grandRow="1" outline="0" axis="axisRow" fieldPosition="0">
        <references count="1">
          <reference field="4294967294" count="1" selected="0">
            <x v="2"/>
          </reference>
        </references>
      </pivotArea>
    </format>
    <format dxfId="2393">
      <pivotArea field="0" dataOnly="0" labelOnly="1" grandRow="1" outline="0" axis="axisRow" fieldPosition="0">
        <references count="1">
          <reference field="4294967294" count="1" selected="0">
            <x v="3"/>
          </reference>
        </references>
      </pivotArea>
    </format>
    <format dxfId="2392">
      <pivotArea field="0" dataOnly="0" labelOnly="1" grandRow="1" outline="0" axis="axisRow" fieldPosition="0">
        <references count="1">
          <reference field="4294967294" count="1" selected="0">
            <x v="4"/>
          </reference>
        </references>
      </pivotArea>
    </format>
    <format dxfId="2391">
      <pivotArea field="0" dataOnly="0" labelOnly="1" grandRow="1" outline="0" axis="axisRow" fieldPosition="0">
        <references count="1">
          <reference field="4294967294" count="1" selected="0">
            <x v="5"/>
          </reference>
        </references>
      </pivotArea>
    </format>
    <format dxfId="2390">
      <pivotArea field="0" dataOnly="0" labelOnly="1" grandRow="1" outline="0" axis="axisRow" fieldPosition="0">
        <references count="1">
          <reference field="4294967294" count="1" selected="0">
            <x v="6"/>
          </reference>
        </references>
      </pivotArea>
    </format>
    <format dxfId="2389">
      <pivotArea field="0" dataOnly="0" labelOnly="1" grandRow="1" outline="0" axis="axisRow" fieldPosition="0">
        <references count="1">
          <reference field="4294967294" count="1" selected="0">
            <x v="7"/>
          </reference>
        </references>
      </pivotArea>
    </format>
    <format dxfId="2388">
      <pivotArea field="0" dataOnly="0" labelOnly="1" grandRow="1" outline="0" axis="axisRow" fieldPosition="0">
        <references count="1">
          <reference field="4294967294" count="1" selected="0">
            <x v="8"/>
          </reference>
        </references>
      </pivotArea>
    </format>
    <format dxfId="2387">
      <pivotArea field="0" dataOnly="0" labelOnly="1" grandRow="1" outline="0" axis="axisRow" fieldPosition="0">
        <references count="1">
          <reference field="4294967294" count="1" selected="0">
            <x v="9"/>
          </reference>
        </references>
      </pivotArea>
    </format>
    <format dxfId="2386">
      <pivotArea field="0" dataOnly="0" labelOnly="1" grandRow="1" outline="0" axis="axisRow" fieldPosition="0">
        <references count="1">
          <reference field="4294967294" count="1" selected="0">
            <x v="10"/>
          </reference>
        </references>
      </pivotArea>
    </format>
    <format dxfId="2385">
      <pivotArea field="0" dataOnly="0" labelOnly="1" grandRow="1" outline="0" axis="axisRow" fieldPosition="0">
        <references count="1">
          <reference field="4294967294" count="1" selected="0">
            <x v="11"/>
          </reference>
        </references>
      </pivotArea>
    </format>
    <format dxfId="2384">
      <pivotArea field="0" dataOnly="0" labelOnly="1" grandRow="1" outline="0" axis="axisRow" fieldPosition="0">
        <references count="1">
          <reference field="4294967294" count="1" selected="0">
            <x v="12"/>
          </reference>
        </references>
      </pivotArea>
    </format>
    <format dxfId="2383">
      <pivotArea field="0" dataOnly="0" labelOnly="1" grandRow="1" outline="0" axis="axisRow" fieldPosition="0">
        <references count="1">
          <reference field="4294967294" count="1" selected="0">
            <x v="13"/>
          </reference>
        </references>
      </pivotArea>
    </format>
    <format dxfId="2382">
      <pivotArea field="0" dataOnly="0" labelOnly="1" grandRow="1" outline="0" axis="axisRow" fieldPosition="0">
        <references count="1">
          <reference field="4294967294" count="1" selected="0">
            <x v="14"/>
          </reference>
        </references>
      </pivotArea>
    </format>
    <format dxfId="2381">
      <pivotArea field="0" dataOnly="0" labelOnly="1" grandRow="1" outline="0" axis="axisRow" fieldPosition="0">
        <references count="1">
          <reference field="4294967294" count="1" selected="0">
            <x v="15"/>
          </reference>
        </references>
      </pivotArea>
    </format>
    <format dxfId="2380">
      <pivotArea field="0" dataOnly="0" labelOnly="1" grandRow="1" outline="0" axis="axisRow" fieldPosition="0">
        <references count="1">
          <reference field="4294967294" count="1" selected="0">
            <x v="16"/>
          </reference>
        </references>
      </pivotArea>
    </format>
    <format dxfId="2379">
      <pivotArea field="0" dataOnly="0" labelOnly="1" grandRow="1" outline="0" axis="axisRow" fieldPosition="0">
        <references count="1">
          <reference field="4294967294" count="1" selected="0">
            <x v="17"/>
          </reference>
        </references>
      </pivotArea>
    </format>
    <format dxfId="2378">
      <pivotArea field="0" dataOnly="0" labelOnly="1" grandRow="1" outline="0" axis="axisRow" fieldPosition="0">
        <references count="1">
          <reference field="4294967294" count="1" selected="0">
            <x v="18"/>
          </reference>
        </references>
      </pivotArea>
    </format>
    <format dxfId="2377">
      <pivotArea field="0" dataOnly="0" labelOnly="1" grandRow="1" outline="0" axis="axisRow" fieldPosition="0">
        <references count="1">
          <reference field="4294967294" count="1" selected="0">
            <x v="19"/>
          </reference>
        </references>
      </pivotArea>
    </format>
    <format dxfId="2376">
      <pivotArea field="0" dataOnly="0" labelOnly="1" grandRow="1" outline="0" axis="axisRow" fieldPosition="0">
        <references count="1">
          <reference field="4294967294" count="1" selected="0">
            <x v="20"/>
          </reference>
        </references>
      </pivotArea>
    </format>
    <format dxfId="2375">
      <pivotArea field="0" dataOnly="0" labelOnly="1" grandRow="1" outline="0" axis="axisRow" fieldPosition="0">
        <references count="1">
          <reference field="4294967294" count="1" selected="0">
            <x v="21"/>
          </reference>
        </references>
      </pivotArea>
    </format>
    <format dxfId="2374">
      <pivotArea field="0" dataOnly="0" labelOnly="1" grandRow="1" outline="0" axis="axisRow" fieldPosition="0">
        <references count="1">
          <reference field="4294967294" count="1" selected="0">
            <x v="22"/>
          </reference>
        </references>
      </pivotArea>
    </format>
    <format dxfId="2373">
      <pivotArea field="0" dataOnly="0" labelOnly="1" grandRow="1" outline="0" axis="axisRow" fieldPosition="0">
        <references count="1">
          <reference field="4294967294" count="1" selected="0">
            <x v="23"/>
          </reference>
        </references>
      </pivotArea>
    </format>
    <format dxfId="2372">
      <pivotArea field="0" dataOnly="0" labelOnly="1" grandRow="1" outline="0" axis="axisRow" fieldPosition="0">
        <references count="1">
          <reference field="4294967294" count="1" selected="0">
            <x v="24"/>
          </reference>
        </references>
      </pivotArea>
    </format>
    <format dxfId="2371">
      <pivotArea field="0" dataOnly="0" labelOnly="1" grandRow="1" outline="0" axis="axisRow" fieldPosition="0">
        <references count="1">
          <reference field="4294967294" count="1" selected="0">
            <x v="25"/>
          </reference>
        </references>
      </pivotArea>
    </format>
    <format dxfId="2370">
      <pivotArea field="0" dataOnly="0" labelOnly="1" grandRow="1" outline="0" axis="axisRow" fieldPosition="0">
        <references count="1">
          <reference field="4294967294" count="1" selected="0">
            <x v="26"/>
          </reference>
        </references>
      </pivotArea>
    </format>
    <format dxfId="2369">
      <pivotArea field="0" dataOnly="0" labelOnly="1" grandRow="1" outline="0" axis="axisRow" fieldPosition="0">
        <references count="1">
          <reference field="4294967294" count="1" selected="0">
            <x v="27"/>
          </reference>
        </references>
      </pivotArea>
    </format>
    <format dxfId="2368">
      <pivotArea field="0" dataOnly="0" labelOnly="1" grandRow="1" outline="0" axis="axisRow" fieldPosition="0">
        <references count="1">
          <reference field="4294967294" count="1" selected="0">
            <x v="28"/>
          </reference>
        </references>
      </pivotArea>
    </format>
    <format dxfId="2367">
      <pivotArea field="0" dataOnly="0" labelOnly="1" grandRow="1" outline="0" axis="axisRow" fieldPosition="0">
        <references count="1">
          <reference field="4294967294" count="1" selected="0">
            <x v="29"/>
          </reference>
        </references>
      </pivotArea>
    </format>
    <format dxfId="2366">
      <pivotArea field="0" dataOnly="0" labelOnly="1" grandRow="1" outline="0" axis="axisRow" fieldPosition="0">
        <references count="1">
          <reference field="4294967294" count="1" selected="0">
            <x v="30"/>
          </reference>
        </references>
      </pivotArea>
    </format>
    <format dxfId="2365">
      <pivotArea field="0" dataOnly="0" labelOnly="1" grandRow="1" outline="0" axis="axisRow" fieldPosition="0">
        <references count="1">
          <reference field="4294967294" count="1" selected="0">
            <x v="31"/>
          </reference>
        </references>
      </pivotArea>
    </format>
    <format dxfId="2364">
      <pivotArea field="0" dataOnly="0" labelOnly="1" grandRow="1" outline="0" axis="axisRow" fieldPosition="0">
        <references count="1">
          <reference field="4294967294" count="1" selected="0">
            <x v="32"/>
          </reference>
        </references>
      </pivotArea>
    </format>
    <format dxfId="2363">
      <pivotArea field="0" dataOnly="0" labelOnly="1" grandRow="1" outline="0" axis="axisRow" fieldPosition="0">
        <references count="1">
          <reference field="4294967294" count="1" selected="0">
            <x v="33"/>
          </reference>
        </references>
      </pivotArea>
    </format>
    <format dxfId="2362">
      <pivotArea field="0" dataOnly="0" labelOnly="1" grandRow="1" outline="0" axis="axisRow" fieldPosition="0">
        <references count="1">
          <reference field="4294967294" count="1" selected="0">
            <x v="34"/>
          </reference>
        </references>
      </pivotArea>
    </format>
    <format dxfId="2361">
      <pivotArea field="0" dataOnly="0" labelOnly="1" grandRow="1" outline="0" axis="axisRow" fieldPosition="0">
        <references count="1">
          <reference field="4294967294" count="1" selected="0">
            <x v="35"/>
          </reference>
        </references>
      </pivotArea>
    </format>
    <format dxfId="2360">
      <pivotArea field="0" dataOnly="0" labelOnly="1" grandRow="1" outline="0" axis="axisRow" fieldPosition="0">
        <references count="1">
          <reference field="4294967294" count="1" selected="0">
            <x v="0"/>
          </reference>
        </references>
      </pivotArea>
    </format>
    <format dxfId="2359">
      <pivotArea field="0" dataOnly="0" labelOnly="1" grandRow="1" outline="0" axis="axisRow" fieldPosition="0">
        <references count="1">
          <reference field="4294967294" count="1" selected="0">
            <x v="1"/>
          </reference>
        </references>
      </pivotArea>
    </format>
    <format dxfId="2358">
      <pivotArea field="0" dataOnly="0" labelOnly="1" grandRow="1" outline="0" axis="axisRow" fieldPosition="0">
        <references count="1">
          <reference field="4294967294" count="1" selected="0">
            <x v="2"/>
          </reference>
        </references>
      </pivotArea>
    </format>
    <format dxfId="2357">
      <pivotArea field="0" dataOnly="0" labelOnly="1" grandRow="1" outline="0" axis="axisRow" fieldPosition="0">
        <references count="1">
          <reference field="4294967294" count="1" selected="0">
            <x v="3"/>
          </reference>
        </references>
      </pivotArea>
    </format>
    <format dxfId="2356">
      <pivotArea field="0" dataOnly="0" labelOnly="1" grandRow="1" outline="0" axis="axisRow" fieldPosition="0">
        <references count="1">
          <reference field="4294967294" count="1" selected="0">
            <x v="4"/>
          </reference>
        </references>
      </pivotArea>
    </format>
    <format dxfId="2355">
      <pivotArea field="0" dataOnly="0" labelOnly="1" grandRow="1" outline="0" axis="axisRow" fieldPosition="0">
        <references count="1">
          <reference field="4294967294" count="1" selected="0">
            <x v="5"/>
          </reference>
        </references>
      </pivotArea>
    </format>
    <format dxfId="2354">
      <pivotArea field="0" dataOnly="0" labelOnly="1" grandRow="1" outline="0" axis="axisRow" fieldPosition="0">
        <references count="1">
          <reference field="4294967294" count="1" selected="0">
            <x v="6"/>
          </reference>
        </references>
      </pivotArea>
    </format>
    <format dxfId="2353">
      <pivotArea field="0" dataOnly="0" labelOnly="1" grandRow="1" outline="0" axis="axisRow" fieldPosition="0">
        <references count="1">
          <reference field="4294967294" count="1" selected="0">
            <x v="7"/>
          </reference>
        </references>
      </pivotArea>
    </format>
    <format dxfId="2352">
      <pivotArea field="0" dataOnly="0" labelOnly="1" grandRow="1" outline="0" axis="axisRow" fieldPosition="0">
        <references count="1">
          <reference field="4294967294" count="1" selected="0">
            <x v="8"/>
          </reference>
        </references>
      </pivotArea>
    </format>
    <format dxfId="2351">
      <pivotArea field="0" dataOnly="0" labelOnly="1" grandRow="1" outline="0" axis="axisRow" fieldPosition="0">
        <references count="1">
          <reference field="4294967294" count="1" selected="0">
            <x v="9"/>
          </reference>
        </references>
      </pivotArea>
    </format>
    <format dxfId="2350">
      <pivotArea field="0" dataOnly="0" labelOnly="1" grandRow="1" outline="0" axis="axisRow" fieldPosition="0">
        <references count="1">
          <reference field="4294967294" count="1" selected="0">
            <x v="10"/>
          </reference>
        </references>
      </pivotArea>
    </format>
    <format dxfId="2349">
      <pivotArea field="0" dataOnly="0" labelOnly="1" grandRow="1" outline="0" axis="axisRow" fieldPosition="0">
        <references count="1">
          <reference field="4294967294" count="1" selected="0">
            <x v="11"/>
          </reference>
        </references>
      </pivotArea>
    </format>
    <format dxfId="2348">
      <pivotArea field="0" dataOnly="0" labelOnly="1" grandRow="1" outline="0" axis="axisRow" fieldPosition="0">
        <references count="1">
          <reference field="4294967294" count="1" selected="0">
            <x v="12"/>
          </reference>
        </references>
      </pivotArea>
    </format>
    <format dxfId="2347">
      <pivotArea field="0" dataOnly="0" labelOnly="1" grandRow="1" outline="0" axis="axisRow" fieldPosition="0">
        <references count="1">
          <reference field="4294967294" count="1" selected="0">
            <x v="13"/>
          </reference>
        </references>
      </pivotArea>
    </format>
    <format dxfId="2346">
      <pivotArea field="0" dataOnly="0" labelOnly="1" grandRow="1" outline="0" axis="axisRow" fieldPosition="0">
        <references count="1">
          <reference field="4294967294" count="1" selected="0">
            <x v="14"/>
          </reference>
        </references>
      </pivotArea>
    </format>
    <format dxfId="2345">
      <pivotArea field="0" dataOnly="0" labelOnly="1" grandRow="1" outline="0" axis="axisRow" fieldPosition="0">
        <references count="1">
          <reference field="4294967294" count="1" selected="0">
            <x v="15"/>
          </reference>
        </references>
      </pivotArea>
    </format>
    <format dxfId="2344">
      <pivotArea field="0" dataOnly="0" labelOnly="1" grandRow="1" outline="0" axis="axisRow" fieldPosition="0">
        <references count="1">
          <reference field="4294967294" count="1" selected="0">
            <x v="16"/>
          </reference>
        </references>
      </pivotArea>
    </format>
    <format dxfId="2343">
      <pivotArea field="0" dataOnly="0" labelOnly="1" grandRow="1" outline="0" axis="axisRow" fieldPosition="0">
        <references count="1">
          <reference field="4294967294" count="1" selected="0">
            <x v="17"/>
          </reference>
        </references>
      </pivotArea>
    </format>
    <format dxfId="2342">
      <pivotArea field="0" dataOnly="0" labelOnly="1" grandRow="1" outline="0" axis="axisRow" fieldPosition="0">
        <references count="1">
          <reference field="4294967294" count="1" selected="0">
            <x v="18"/>
          </reference>
        </references>
      </pivotArea>
    </format>
    <format dxfId="2341">
      <pivotArea field="0" dataOnly="0" labelOnly="1" grandRow="1" outline="0" axis="axisRow" fieldPosition="0">
        <references count="1">
          <reference field="4294967294" count="1" selected="0">
            <x v="19"/>
          </reference>
        </references>
      </pivotArea>
    </format>
    <format dxfId="2340">
      <pivotArea field="0" dataOnly="0" labelOnly="1" grandRow="1" outline="0" axis="axisRow" fieldPosition="0">
        <references count="1">
          <reference field="4294967294" count="1" selected="0">
            <x v="20"/>
          </reference>
        </references>
      </pivotArea>
    </format>
    <format dxfId="2339">
      <pivotArea field="0" dataOnly="0" labelOnly="1" grandRow="1" outline="0" axis="axisRow" fieldPosition="0">
        <references count="1">
          <reference field="4294967294" count="1" selected="0">
            <x v="21"/>
          </reference>
        </references>
      </pivotArea>
    </format>
    <format dxfId="2338">
      <pivotArea field="0" dataOnly="0" labelOnly="1" grandRow="1" outline="0" axis="axisRow" fieldPosition="0">
        <references count="1">
          <reference field="4294967294" count="1" selected="0">
            <x v="22"/>
          </reference>
        </references>
      </pivotArea>
    </format>
    <format dxfId="2337">
      <pivotArea field="0" dataOnly="0" labelOnly="1" grandRow="1" outline="0" axis="axisRow" fieldPosition="0">
        <references count="1">
          <reference field="4294967294" count="1" selected="0">
            <x v="23"/>
          </reference>
        </references>
      </pivotArea>
    </format>
    <format dxfId="2336">
      <pivotArea field="0" dataOnly="0" labelOnly="1" grandRow="1" outline="0" axis="axisRow" fieldPosition="0">
        <references count="1">
          <reference field="4294967294" count="1" selected="0">
            <x v="24"/>
          </reference>
        </references>
      </pivotArea>
    </format>
    <format dxfId="2335">
      <pivotArea field="0" dataOnly="0" labelOnly="1" grandRow="1" outline="0" axis="axisRow" fieldPosition="0">
        <references count="1">
          <reference field="4294967294" count="1" selected="0">
            <x v="25"/>
          </reference>
        </references>
      </pivotArea>
    </format>
    <format dxfId="2334">
      <pivotArea field="0" dataOnly="0" labelOnly="1" grandRow="1" outline="0" axis="axisRow" fieldPosition="0">
        <references count="1">
          <reference field="4294967294" count="1" selected="0">
            <x v="26"/>
          </reference>
        </references>
      </pivotArea>
    </format>
    <format dxfId="2333">
      <pivotArea field="0" dataOnly="0" labelOnly="1" grandRow="1" outline="0" axis="axisRow" fieldPosition="0">
        <references count="1">
          <reference field="4294967294" count="1" selected="0">
            <x v="27"/>
          </reference>
        </references>
      </pivotArea>
    </format>
    <format dxfId="2332">
      <pivotArea field="0" dataOnly="0" labelOnly="1" grandRow="1" outline="0" axis="axisRow" fieldPosition="0">
        <references count="1">
          <reference field="4294967294" count="1" selected="0">
            <x v="28"/>
          </reference>
        </references>
      </pivotArea>
    </format>
    <format dxfId="2331">
      <pivotArea field="0" dataOnly="0" labelOnly="1" grandRow="1" outline="0" axis="axisRow" fieldPosition="0">
        <references count="1">
          <reference field="4294967294" count="1" selected="0">
            <x v="29"/>
          </reference>
        </references>
      </pivotArea>
    </format>
    <format dxfId="2330">
      <pivotArea field="0" dataOnly="0" labelOnly="1" grandRow="1" outline="0" axis="axisRow" fieldPosition="0">
        <references count="1">
          <reference field="4294967294" count="1" selected="0">
            <x v="30"/>
          </reference>
        </references>
      </pivotArea>
    </format>
    <format dxfId="2329">
      <pivotArea field="0" dataOnly="0" labelOnly="1" grandRow="1" outline="0" axis="axisRow" fieldPosition="0">
        <references count="1">
          <reference field="4294967294" count="1" selected="0">
            <x v="31"/>
          </reference>
        </references>
      </pivotArea>
    </format>
    <format dxfId="2328">
      <pivotArea field="0" dataOnly="0" labelOnly="1" grandRow="1" outline="0" axis="axisRow" fieldPosition="0">
        <references count="1">
          <reference field="4294967294" count="1" selected="0">
            <x v="32"/>
          </reference>
        </references>
      </pivotArea>
    </format>
    <format dxfId="2327">
      <pivotArea field="0" dataOnly="0" labelOnly="1" grandRow="1" outline="0" axis="axisRow" fieldPosition="0">
        <references count="1">
          <reference field="4294967294" count="1" selected="0">
            <x v="33"/>
          </reference>
        </references>
      </pivotArea>
    </format>
    <format dxfId="2326">
      <pivotArea field="0" dataOnly="0" labelOnly="1" grandRow="1" outline="0" axis="axisRow" fieldPosition="0">
        <references count="1">
          <reference field="4294967294" count="1" selected="0">
            <x v="34"/>
          </reference>
        </references>
      </pivotArea>
    </format>
    <format dxfId="2325">
      <pivotArea field="0" dataOnly="0" labelOnly="1" grandRow="1" outline="0" axis="axisRow" fieldPosition="0">
        <references count="1">
          <reference field="4294967294" count="1" selected="0">
            <x v="35"/>
          </reference>
        </references>
      </pivotArea>
    </format>
    <format dxfId="2324">
      <pivotArea field="0" dataOnly="0" labelOnly="1" grandRow="1" outline="0" axis="axisRow" fieldPosition="0">
        <references count="1">
          <reference field="4294967294" count="1" selected="0">
            <x v="0"/>
          </reference>
        </references>
      </pivotArea>
    </format>
    <format dxfId="2323">
      <pivotArea field="0" dataOnly="0" labelOnly="1" grandRow="1" outline="0" axis="axisRow" fieldPosition="0">
        <references count="1">
          <reference field="4294967294" count="1" selected="0">
            <x v="1"/>
          </reference>
        </references>
      </pivotArea>
    </format>
    <format dxfId="2322">
      <pivotArea field="0" dataOnly="0" labelOnly="1" grandRow="1" outline="0" axis="axisRow" fieldPosition="0">
        <references count="1">
          <reference field="4294967294" count="1" selected="0">
            <x v="2"/>
          </reference>
        </references>
      </pivotArea>
    </format>
    <format dxfId="2321">
      <pivotArea field="0" dataOnly="0" labelOnly="1" grandRow="1" outline="0" axis="axisRow" fieldPosition="0">
        <references count="1">
          <reference field="4294967294" count="1" selected="0">
            <x v="3"/>
          </reference>
        </references>
      </pivotArea>
    </format>
    <format dxfId="2320">
      <pivotArea field="0" dataOnly="0" labelOnly="1" grandRow="1" outline="0" axis="axisRow" fieldPosition="0">
        <references count="1">
          <reference field="4294967294" count="1" selected="0">
            <x v="4"/>
          </reference>
        </references>
      </pivotArea>
    </format>
    <format dxfId="2319">
      <pivotArea field="0" dataOnly="0" labelOnly="1" grandRow="1" outline="0" axis="axisRow" fieldPosition="0">
        <references count="1">
          <reference field="4294967294" count="1" selected="0">
            <x v="5"/>
          </reference>
        </references>
      </pivotArea>
    </format>
    <format dxfId="2318">
      <pivotArea field="0" dataOnly="0" labelOnly="1" grandRow="1" outline="0" axis="axisRow" fieldPosition="0">
        <references count="1">
          <reference field="4294967294" count="1" selected="0">
            <x v="6"/>
          </reference>
        </references>
      </pivotArea>
    </format>
    <format dxfId="2317">
      <pivotArea field="0" dataOnly="0" labelOnly="1" grandRow="1" outline="0" axis="axisRow" fieldPosition="0">
        <references count="1">
          <reference field="4294967294" count="1" selected="0">
            <x v="7"/>
          </reference>
        </references>
      </pivotArea>
    </format>
    <format dxfId="2316">
      <pivotArea field="0" dataOnly="0" labelOnly="1" grandRow="1" outline="0" axis="axisRow" fieldPosition="0">
        <references count="1">
          <reference field="4294967294" count="1" selected="0">
            <x v="8"/>
          </reference>
        </references>
      </pivotArea>
    </format>
    <format dxfId="2315">
      <pivotArea field="0" dataOnly="0" labelOnly="1" grandRow="1" outline="0" axis="axisRow" fieldPosition="0">
        <references count="1">
          <reference field="4294967294" count="1" selected="0">
            <x v="9"/>
          </reference>
        </references>
      </pivotArea>
    </format>
    <format dxfId="2314">
      <pivotArea field="0" dataOnly="0" labelOnly="1" grandRow="1" outline="0" axis="axisRow" fieldPosition="0">
        <references count="1">
          <reference field="4294967294" count="1" selected="0">
            <x v="10"/>
          </reference>
        </references>
      </pivotArea>
    </format>
    <format dxfId="2313">
      <pivotArea field="0" dataOnly="0" labelOnly="1" grandRow="1" outline="0" axis="axisRow" fieldPosition="0">
        <references count="1">
          <reference field="4294967294" count="1" selected="0">
            <x v="11"/>
          </reference>
        </references>
      </pivotArea>
    </format>
    <format dxfId="2312">
      <pivotArea field="0" dataOnly="0" labelOnly="1" grandRow="1" outline="0" axis="axisRow" fieldPosition="0">
        <references count="1">
          <reference field="4294967294" count="1" selected="0">
            <x v="12"/>
          </reference>
        </references>
      </pivotArea>
    </format>
    <format dxfId="2311">
      <pivotArea field="0" dataOnly="0" labelOnly="1" grandRow="1" outline="0" axis="axisRow" fieldPosition="0">
        <references count="1">
          <reference field="4294967294" count="1" selected="0">
            <x v="13"/>
          </reference>
        </references>
      </pivotArea>
    </format>
    <format dxfId="2310">
      <pivotArea field="0" dataOnly="0" labelOnly="1" grandRow="1" outline="0" axis="axisRow" fieldPosition="0">
        <references count="1">
          <reference field="4294967294" count="1" selected="0">
            <x v="14"/>
          </reference>
        </references>
      </pivotArea>
    </format>
    <format dxfId="2309">
      <pivotArea field="0" dataOnly="0" labelOnly="1" grandRow="1" outline="0" axis="axisRow" fieldPosition="0">
        <references count="1">
          <reference field="4294967294" count="1" selected="0">
            <x v="15"/>
          </reference>
        </references>
      </pivotArea>
    </format>
    <format dxfId="2308">
      <pivotArea field="0" dataOnly="0" labelOnly="1" grandRow="1" outline="0" axis="axisRow" fieldPosition="0">
        <references count="1">
          <reference field="4294967294" count="1" selected="0">
            <x v="16"/>
          </reference>
        </references>
      </pivotArea>
    </format>
    <format dxfId="2307">
      <pivotArea field="0" dataOnly="0" labelOnly="1" grandRow="1" outline="0" axis="axisRow" fieldPosition="0">
        <references count="1">
          <reference field="4294967294" count="1" selected="0">
            <x v="17"/>
          </reference>
        </references>
      </pivotArea>
    </format>
    <format dxfId="2306">
      <pivotArea field="0" dataOnly="0" labelOnly="1" grandRow="1" outline="0" axis="axisRow" fieldPosition="0">
        <references count="1">
          <reference field="4294967294" count="1" selected="0">
            <x v="18"/>
          </reference>
        </references>
      </pivotArea>
    </format>
    <format dxfId="2305">
      <pivotArea field="0" dataOnly="0" labelOnly="1" grandRow="1" outline="0" axis="axisRow" fieldPosition="0">
        <references count="1">
          <reference field="4294967294" count="1" selected="0">
            <x v="19"/>
          </reference>
        </references>
      </pivotArea>
    </format>
    <format dxfId="2304">
      <pivotArea field="0" dataOnly="0" labelOnly="1" grandRow="1" outline="0" axis="axisRow" fieldPosition="0">
        <references count="1">
          <reference field="4294967294" count="1" selected="0">
            <x v="20"/>
          </reference>
        </references>
      </pivotArea>
    </format>
    <format dxfId="2303">
      <pivotArea field="0" dataOnly="0" labelOnly="1" grandRow="1" outline="0" axis="axisRow" fieldPosition="0">
        <references count="1">
          <reference field="4294967294" count="1" selected="0">
            <x v="21"/>
          </reference>
        </references>
      </pivotArea>
    </format>
    <format dxfId="2302">
      <pivotArea field="0" dataOnly="0" labelOnly="1" grandRow="1" outline="0" axis="axisRow" fieldPosition="0">
        <references count="1">
          <reference field="4294967294" count="1" selected="0">
            <x v="22"/>
          </reference>
        </references>
      </pivotArea>
    </format>
    <format dxfId="2301">
      <pivotArea field="0" dataOnly="0" labelOnly="1" grandRow="1" outline="0" axis="axisRow" fieldPosition="0">
        <references count="1">
          <reference field="4294967294" count="1" selected="0">
            <x v="23"/>
          </reference>
        </references>
      </pivotArea>
    </format>
    <format dxfId="2300">
      <pivotArea field="0" dataOnly="0" labelOnly="1" grandRow="1" outline="0" axis="axisRow" fieldPosition="0">
        <references count="1">
          <reference field="4294967294" count="1" selected="0">
            <x v="24"/>
          </reference>
        </references>
      </pivotArea>
    </format>
    <format dxfId="2299">
      <pivotArea field="0" dataOnly="0" labelOnly="1" grandRow="1" outline="0" axis="axisRow" fieldPosition="0">
        <references count="1">
          <reference field="4294967294" count="1" selected="0">
            <x v="25"/>
          </reference>
        </references>
      </pivotArea>
    </format>
    <format dxfId="2298">
      <pivotArea field="0" dataOnly="0" labelOnly="1" grandRow="1" outline="0" axis="axisRow" fieldPosition="0">
        <references count="1">
          <reference field="4294967294" count="1" selected="0">
            <x v="26"/>
          </reference>
        </references>
      </pivotArea>
    </format>
    <format dxfId="2297">
      <pivotArea field="0" dataOnly="0" labelOnly="1" grandRow="1" outline="0" axis="axisRow" fieldPosition="0">
        <references count="1">
          <reference field="4294967294" count="1" selected="0">
            <x v="27"/>
          </reference>
        </references>
      </pivotArea>
    </format>
    <format dxfId="2296">
      <pivotArea field="0" dataOnly="0" labelOnly="1" grandRow="1" outline="0" axis="axisRow" fieldPosition="0">
        <references count="1">
          <reference field="4294967294" count="1" selected="0">
            <x v="28"/>
          </reference>
        </references>
      </pivotArea>
    </format>
    <format dxfId="2295">
      <pivotArea field="0" dataOnly="0" labelOnly="1" grandRow="1" outline="0" axis="axisRow" fieldPosition="0">
        <references count="1">
          <reference field="4294967294" count="1" selected="0">
            <x v="29"/>
          </reference>
        </references>
      </pivotArea>
    </format>
    <format dxfId="2294">
      <pivotArea field="0" dataOnly="0" labelOnly="1" grandRow="1" outline="0" axis="axisRow" fieldPosition="0">
        <references count="1">
          <reference field="4294967294" count="1" selected="0">
            <x v="30"/>
          </reference>
        </references>
      </pivotArea>
    </format>
    <format dxfId="2293">
      <pivotArea field="0" dataOnly="0" labelOnly="1" grandRow="1" outline="0" axis="axisRow" fieldPosition="0">
        <references count="1">
          <reference field="4294967294" count="1" selected="0">
            <x v="31"/>
          </reference>
        </references>
      </pivotArea>
    </format>
    <format dxfId="2292">
      <pivotArea field="0" dataOnly="0" labelOnly="1" grandRow="1" outline="0" axis="axisRow" fieldPosition="0">
        <references count="1">
          <reference field="4294967294" count="1" selected="0">
            <x v="32"/>
          </reference>
        </references>
      </pivotArea>
    </format>
    <format dxfId="2291">
      <pivotArea field="0" dataOnly="0" labelOnly="1" grandRow="1" outline="0" axis="axisRow" fieldPosition="0">
        <references count="1">
          <reference field="4294967294" count="1" selected="0">
            <x v="33"/>
          </reference>
        </references>
      </pivotArea>
    </format>
    <format dxfId="2290">
      <pivotArea field="0" dataOnly="0" labelOnly="1" grandRow="1" outline="0" axis="axisRow" fieldPosition="0">
        <references count="1">
          <reference field="4294967294" count="1" selected="0">
            <x v="34"/>
          </reference>
        </references>
      </pivotArea>
    </format>
    <format dxfId="2289">
      <pivotArea field="0" dataOnly="0" labelOnly="1" grandRow="1" outline="0" axis="axisRow" fieldPosition="0">
        <references count="1">
          <reference field="4294967294" count="1" selected="0">
            <x v="35"/>
          </reference>
        </references>
      </pivotArea>
    </format>
    <format dxfId="2288">
      <pivotArea field="0" dataOnly="0" labelOnly="1" grandRow="1" outline="0" axis="axisRow" fieldPosition="0">
        <references count="1">
          <reference field="4294967294" count="1" selected="0">
            <x v="0"/>
          </reference>
        </references>
      </pivotArea>
    </format>
    <format dxfId="2287">
      <pivotArea field="0" dataOnly="0" labelOnly="1" grandRow="1" outline="0" axis="axisRow" fieldPosition="0">
        <references count="1">
          <reference field="4294967294" count="1" selected="0">
            <x v="1"/>
          </reference>
        </references>
      </pivotArea>
    </format>
    <format dxfId="2286">
      <pivotArea field="0" dataOnly="0" labelOnly="1" grandRow="1" outline="0" axis="axisRow" fieldPosition="0">
        <references count="1">
          <reference field="4294967294" count="1" selected="0">
            <x v="2"/>
          </reference>
        </references>
      </pivotArea>
    </format>
    <format dxfId="2285">
      <pivotArea field="0" dataOnly="0" labelOnly="1" grandRow="1" outline="0" axis="axisRow" fieldPosition="0">
        <references count="1">
          <reference field="4294967294" count="1" selected="0">
            <x v="3"/>
          </reference>
        </references>
      </pivotArea>
    </format>
    <format dxfId="2284">
      <pivotArea field="0" dataOnly="0" labelOnly="1" grandRow="1" outline="0" axis="axisRow" fieldPosition="0">
        <references count="1">
          <reference field="4294967294" count="1" selected="0">
            <x v="4"/>
          </reference>
        </references>
      </pivotArea>
    </format>
    <format dxfId="2283">
      <pivotArea field="0" dataOnly="0" labelOnly="1" grandRow="1" outline="0" axis="axisRow" fieldPosition="0">
        <references count="1">
          <reference field="4294967294" count="1" selected="0">
            <x v="5"/>
          </reference>
        </references>
      </pivotArea>
    </format>
    <format dxfId="2282">
      <pivotArea field="0" dataOnly="0" labelOnly="1" grandRow="1" outline="0" axis="axisRow" fieldPosition="0">
        <references count="1">
          <reference field="4294967294" count="1" selected="0">
            <x v="6"/>
          </reference>
        </references>
      </pivotArea>
    </format>
    <format dxfId="2281">
      <pivotArea field="0" dataOnly="0" labelOnly="1" grandRow="1" outline="0" axis="axisRow" fieldPosition="0">
        <references count="1">
          <reference field="4294967294" count="1" selected="0">
            <x v="7"/>
          </reference>
        </references>
      </pivotArea>
    </format>
    <format dxfId="2280">
      <pivotArea field="0" dataOnly="0" labelOnly="1" grandRow="1" outline="0" axis="axisRow" fieldPosition="0">
        <references count="1">
          <reference field="4294967294" count="1" selected="0">
            <x v="8"/>
          </reference>
        </references>
      </pivotArea>
    </format>
    <format dxfId="2279">
      <pivotArea field="0" dataOnly="0" labelOnly="1" grandRow="1" outline="0" axis="axisRow" fieldPosition="0">
        <references count="1">
          <reference field="4294967294" count="1" selected="0">
            <x v="9"/>
          </reference>
        </references>
      </pivotArea>
    </format>
    <format dxfId="2278">
      <pivotArea field="0" dataOnly="0" labelOnly="1" grandRow="1" outline="0" axis="axisRow" fieldPosition="0">
        <references count="1">
          <reference field="4294967294" count="1" selected="0">
            <x v="10"/>
          </reference>
        </references>
      </pivotArea>
    </format>
    <format dxfId="2277">
      <pivotArea field="0" dataOnly="0" labelOnly="1" grandRow="1" outline="0" axis="axisRow" fieldPosition="0">
        <references count="1">
          <reference field="4294967294" count="1" selected="0">
            <x v="11"/>
          </reference>
        </references>
      </pivotArea>
    </format>
    <format dxfId="2276">
      <pivotArea field="0" dataOnly="0" labelOnly="1" grandRow="1" outline="0" axis="axisRow" fieldPosition="0">
        <references count="1">
          <reference field="4294967294" count="1" selected="0">
            <x v="12"/>
          </reference>
        </references>
      </pivotArea>
    </format>
    <format dxfId="2275">
      <pivotArea field="0" dataOnly="0" labelOnly="1" grandRow="1" outline="0" axis="axisRow" fieldPosition="0">
        <references count="1">
          <reference field="4294967294" count="1" selected="0">
            <x v="13"/>
          </reference>
        </references>
      </pivotArea>
    </format>
    <format dxfId="2274">
      <pivotArea field="0" dataOnly="0" labelOnly="1" grandRow="1" outline="0" axis="axisRow" fieldPosition="0">
        <references count="1">
          <reference field="4294967294" count="1" selected="0">
            <x v="14"/>
          </reference>
        </references>
      </pivotArea>
    </format>
    <format dxfId="2273">
      <pivotArea field="0" dataOnly="0" labelOnly="1" grandRow="1" outline="0" axis="axisRow" fieldPosition="0">
        <references count="1">
          <reference field="4294967294" count="1" selected="0">
            <x v="15"/>
          </reference>
        </references>
      </pivotArea>
    </format>
    <format dxfId="2272">
      <pivotArea field="0" dataOnly="0" labelOnly="1" grandRow="1" outline="0" axis="axisRow" fieldPosition="0">
        <references count="1">
          <reference field="4294967294" count="1" selected="0">
            <x v="16"/>
          </reference>
        </references>
      </pivotArea>
    </format>
    <format dxfId="2271">
      <pivotArea field="0" dataOnly="0" labelOnly="1" grandRow="1" outline="0" axis="axisRow" fieldPosition="0">
        <references count="1">
          <reference field="4294967294" count="1" selected="0">
            <x v="17"/>
          </reference>
        </references>
      </pivotArea>
    </format>
    <format dxfId="2270">
      <pivotArea field="0" dataOnly="0" labelOnly="1" grandRow="1" outline="0" axis="axisRow" fieldPosition="0">
        <references count="1">
          <reference field="4294967294" count="1" selected="0">
            <x v="18"/>
          </reference>
        </references>
      </pivotArea>
    </format>
    <format dxfId="2269">
      <pivotArea field="0" dataOnly="0" labelOnly="1" grandRow="1" outline="0" axis="axisRow" fieldPosition="0">
        <references count="1">
          <reference field="4294967294" count="1" selected="0">
            <x v="19"/>
          </reference>
        </references>
      </pivotArea>
    </format>
    <format dxfId="2268">
      <pivotArea field="0" dataOnly="0" labelOnly="1" grandRow="1" outline="0" axis="axisRow" fieldPosition="0">
        <references count="1">
          <reference field="4294967294" count="1" selected="0">
            <x v="20"/>
          </reference>
        </references>
      </pivotArea>
    </format>
    <format dxfId="2267">
      <pivotArea field="0" dataOnly="0" labelOnly="1" grandRow="1" outline="0" axis="axisRow" fieldPosition="0">
        <references count="1">
          <reference field="4294967294" count="1" selected="0">
            <x v="21"/>
          </reference>
        </references>
      </pivotArea>
    </format>
    <format dxfId="2266">
      <pivotArea field="0" dataOnly="0" labelOnly="1" grandRow="1" outline="0" axis="axisRow" fieldPosition="0">
        <references count="1">
          <reference field="4294967294" count="1" selected="0">
            <x v="22"/>
          </reference>
        </references>
      </pivotArea>
    </format>
    <format dxfId="2265">
      <pivotArea field="0" dataOnly="0" labelOnly="1" grandRow="1" outline="0" axis="axisRow" fieldPosition="0">
        <references count="1">
          <reference field="4294967294" count="1" selected="0">
            <x v="23"/>
          </reference>
        </references>
      </pivotArea>
    </format>
    <format dxfId="2264">
      <pivotArea field="0" dataOnly="0" labelOnly="1" grandRow="1" outline="0" axis="axisRow" fieldPosition="0">
        <references count="1">
          <reference field="4294967294" count="1" selected="0">
            <x v="24"/>
          </reference>
        </references>
      </pivotArea>
    </format>
    <format dxfId="2263">
      <pivotArea field="0" dataOnly="0" labelOnly="1" grandRow="1" outline="0" axis="axisRow" fieldPosition="0">
        <references count="1">
          <reference field="4294967294" count="1" selected="0">
            <x v="25"/>
          </reference>
        </references>
      </pivotArea>
    </format>
    <format dxfId="2262">
      <pivotArea field="0" dataOnly="0" labelOnly="1" grandRow="1" outline="0" axis="axisRow" fieldPosition="0">
        <references count="1">
          <reference field="4294967294" count="1" selected="0">
            <x v="26"/>
          </reference>
        </references>
      </pivotArea>
    </format>
    <format dxfId="2261">
      <pivotArea field="0" dataOnly="0" labelOnly="1" grandRow="1" outline="0" axis="axisRow" fieldPosition="0">
        <references count="1">
          <reference field="4294967294" count="1" selected="0">
            <x v="27"/>
          </reference>
        </references>
      </pivotArea>
    </format>
    <format dxfId="2260">
      <pivotArea field="0" dataOnly="0" labelOnly="1" grandRow="1" outline="0" axis="axisRow" fieldPosition="0">
        <references count="1">
          <reference field="4294967294" count="1" selected="0">
            <x v="28"/>
          </reference>
        </references>
      </pivotArea>
    </format>
    <format dxfId="2259">
      <pivotArea field="0" dataOnly="0" labelOnly="1" grandRow="1" outline="0" axis="axisRow" fieldPosition="0">
        <references count="1">
          <reference field="4294967294" count="1" selected="0">
            <x v="29"/>
          </reference>
        </references>
      </pivotArea>
    </format>
    <format dxfId="2258">
      <pivotArea field="0" dataOnly="0" labelOnly="1" grandRow="1" outline="0" axis="axisRow" fieldPosition="0">
        <references count="1">
          <reference field="4294967294" count="1" selected="0">
            <x v="30"/>
          </reference>
        </references>
      </pivotArea>
    </format>
    <format dxfId="2257">
      <pivotArea field="0" dataOnly="0" labelOnly="1" grandRow="1" outline="0" axis="axisRow" fieldPosition="0">
        <references count="1">
          <reference field="4294967294" count="1" selected="0">
            <x v="31"/>
          </reference>
        </references>
      </pivotArea>
    </format>
    <format dxfId="2256">
      <pivotArea field="0" dataOnly="0" labelOnly="1" grandRow="1" outline="0" axis="axisRow" fieldPosition="0">
        <references count="1">
          <reference field="4294967294" count="1" selected="0">
            <x v="32"/>
          </reference>
        </references>
      </pivotArea>
    </format>
    <format dxfId="2255">
      <pivotArea field="0" dataOnly="0" labelOnly="1" grandRow="1" outline="0" axis="axisRow" fieldPosition="0">
        <references count="1">
          <reference field="4294967294" count="1" selected="0">
            <x v="33"/>
          </reference>
        </references>
      </pivotArea>
    </format>
    <format dxfId="2254">
      <pivotArea field="0" dataOnly="0" labelOnly="1" grandRow="1" outline="0" axis="axisRow" fieldPosition="0">
        <references count="1">
          <reference field="4294967294" count="1" selected="0">
            <x v="34"/>
          </reference>
        </references>
      </pivotArea>
    </format>
    <format dxfId="2253">
      <pivotArea field="0" dataOnly="0" labelOnly="1" grandRow="1" outline="0" axis="axisRow" fieldPosition="0">
        <references count="1">
          <reference field="4294967294" count="1" selected="0">
            <x v="35"/>
          </reference>
        </references>
      </pivotArea>
    </format>
    <format dxfId="2252">
      <pivotArea field="0" dataOnly="0" labelOnly="1" grandRow="1" outline="0" axis="axisRow" fieldPosition="0">
        <references count="1">
          <reference field="4294967294" count="1" selected="0">
            <x v="0"/>
          </reference>
        </references>
      </pivotArea>
    </format>
    <format dxfId="2251">
      <pivotArea field="0" dataOnly="0" labelOnly="1" grandRow="1" outline="0" axis="axisRow" fieldPosition="0">
        <references count="1">
          <reference field="4294967294" count="1" selected="0">
            <x v="1"/>
          </reference>
        </references>
      </pivotArea>
    </format>
    <format dxfId="2250">
      <pivotArea field="0" dataOnly="0" labelOnly="1" grandRow="1" outline="0" axis="axisRow" fieldPosition="0">
        <references count="1">
          <reference field="4294967294" count="1" selected="0">
            <x v="2"/>
          </reference>
        </references>
      </pivotArea>
    </format>
    <format dxfId="2249">
      <pivotArea field="0" dataOnly="0" labelOnly="1" grandRow="1" outline="0" axis="axisRow" fieldPosition="0">
        <references count="1">
          <reference field="4294967294" count="1" selected="0">
            <x v="3"/>
          </reference>
        </references>
      </pivotArea>
    </format>
    <format dxfId="2248">
      <pivotArea field="0" dataOnly="0" labelOnly="1" grandRow="1" outline="0" axis="axisRow" fieldPosition="0">
        <references count="1">
          <reference field="4294967294" count="1" selected="0">
            <x v="4"/>
          </reference>
        </references>
      </pivotArea>
    </format>
    <format dxfId="2247">
      <pivotArea field="0" dataOnly="0" labelOnly="1" grandRow="1" outline="0" axis="axisRow" fieldPosition="0">
        <references count="1">
          <reference field="4294967294" count="1" selected="0">
            <x v="5"/>
          </reference>
        </references>
      </pivotArea>
    </format>
    <format dxfId="2246">
      <pivotArea field="0" dataOnly="0" labelOnly="1" grandRow="1" outline="0" axis="axisRow" fieldPosition="0">
        <references count="1">
          <reference field="4294967294" count="1" selected="0">
            <x v="6"/>
          </reference>
        </references>
      </pivotArea>
    </format>
    <format dxfId="2245">
      <pivotArea field="0" dataOnly="0" labelOnly="1" grandRow="1" outline="0" axis="axisRow" fieldPosition="0">
        <references count="1">
          <reference field="4294967294" count="1" selected="0">
            <x v="7"/>
          </reference>
        </references>
      </pivotArea>
    </format>
    <format dxfId="2244">
      <pivotArea field="0" dataOnly="0" labelOnly="1" grandRow="1" outline="0" axis="axisRow" fieldPosition="0">
        <references count="1">
          <reference field="4294967294" count="1" selected="0">
            <x v="8"/>
          </reference>
        </references>
      </pivotArea>
    </format>
    <format dxfId="2243">
      <pivotArea field="0" dataOnly="0" labelOnly="1" grandRow="1" outline="0" axis="axisRow" fieldPosition="0">
        <references count="1">
          <reference field="4294967294" count="1" selected="0">
            <x v="9"/>
          </reference>
        </references>
      </pivotArea>
    </format>
    <format dxfId="2242">
      <pivotArea field="0" dataOnly="0" labelOnly="1" grandRow="1" outline="0" axis="axisRow" fieldPosition="0">
        <references count="1">
          <reference field="4294967294" count="1" selected="0">
            <x v="10"/>
          </reference>
        </references>
      </pivotArea>
    </format>
    <format dxfId="2241">
      <pivotArea field="0" dataOnly="0" labelOnly="1" grandRow="1" outline="0" axis="axisRow" fieldPosition="0">
        <references count="1">
          <reference field="4294967294" count="1" selected="0">
            <x v="11"/>
          </reference>
        </references>
      </pivotArea>
    </format>
    <format dxfId="2240">
      <pivotArea field="0" dataOnly="0" labelOnly="1" grandRow="1" outline="0" axis="axisRow" fieldPosition="0">
        <references count="1">
          <reference field="4294967294" count="1" selected="0">
            <x v="12"/>
          </reference>
        </references>
      </pivotArea>
    </format>
    <format dxfId="2239">
      <pivotArea field="0" dataOnly="0" labelOnly="1" grandRow="1" outline="0" axis="axisRow" fieldPosition="0">
        <references count="1">
          <reference field="4294967294" count="1" selected="0">
            <x v="13"/>
          </reference>
        </references>
      </pivotArea>
    </format>
    <format dxfId="2238">
      <pivotArea field="0" dataOnly="0" labelOnly="1" grandRow="1" outline="0" axis="axisRow" fieldPosition="0">
        <references count="1">
          <reference field="4294967294" count="1" selected="0">
            <x v="14"/>
          </reference>
        </references>
      </pivotArea>
    </format>
    <format dxfId="2237">
      <pivotArea field="0" dataOnly="0" labelOnly="1" grandRow="1" outline="0" axis="axisRow" fieldPosition="0">
        <references count="1">
          <reference field="4294967294" count="1" selected="0">
            <x v="15"/>
          </reference>
        </references>
      </pivotArea>
    </format>
    <format dxfId="2236">
      <pivotArea field="0" dataOnly="0" labelOnly="1" grandRow="1" outline="0" axis="axisRow" fieldPosition="0">
        <references count="1">
          <reference field="4294967294" count="1" selected="0">
            <x v="16"/>
          </reference>
        </references>
      </pivotArea>
    </format>
    <format dxfId="2235">
      <pivotArea field="0" dataOnly="0" labelOnly="1" grandRow="1" outline="0" axis="axisRow" fieldPosition="0">
        <references count="1">
          <reference field="4294967294" count="1" selected="0">
            <x v="17"/>
          </reference>
        </references>
      </pivotArea>
    </format>
    <format dxfId="2234">
      <pivotArea field="0" dataOnly="0" labelOnly="1" grandRow="1" outline="0" axis="axisRow" fieldPosition="0">
        <references count="1">
          <reference field="4294967294" count="1" selected="0">
            <x v="18"/>
          </reference>
        </references>
      </pivotArea>
    </format>
    <format dxfId="2233">
      <pivotArea field="0" dataOnly="0" labelOnly="1" grandRow="1" outline="0" axis="axisRow" fieldPosition="0">
        <references count="1">
          <reference field="4294967294" count="1" selected="0">
            <x v="19"/>
          </reference>
        </references>
      </pivotArea>
    </format>
    <format dxfId="2232">
      <pivotArea field="0" dataOnly="0" labelOnly="1" grandRow="1" outline="0" axis="axisRow" fieldPosition="0">
        <references count="1">
          <reference field="4294967294" count="1" selected="0">
            <x v="20"/>
          </reference>
        </references>
      </pivotArea>
    </format>
    <format dxfId="2231">
      <pivotArea field="0" dataOnly="0" labelOnly="1" grandRow="1" outline="0" axis="axisRow" fieldPosition="0">
        <references count="1">
          <reference field="4294967294" count="1" selected="0">
            <x v="21"/>
          </reference>
        </references>
      </pivotArea>
    </format>
    <format dxfId="2230">
      <pivotArea field="0" dataOnly="0" labelOnly="1" grandRow="1" outline="0" axis="axisRow" fieldPosition="0">
        <references count="1">
          <reference field="4294967294" count="1" selected="0">
            <x v="22"/>
          </reference>
        </references>
      </pivotArea>
    </format>
    <format dxfId="2229">
      <pivotArea field="0" dataOnly="0" labelOnly="1" grandRow="1" outline="0" axis="axisRow" fieldPosition="0">
        <references count="1">
          <reference field="4294967294" count="1" selected="0">
            <x v="23"/>
          </reference>
        </references>
      </pivotArea>
    </format>
    <format dxfId="2228">
      <pivotArea field="0" dataOnly="0" labelOnly="1" grandRow="1" outline="0" axis="axisRow" fieldPosition="0">
        <references count="1">
          <reference field="4294967294" count="1" selected="0">
            <x v="24"/>
          </reference>
        </references>
      </pivotArea>
    </format>
    <format dxfId="2227">
      <pivotArea field="0" dataOnly="0" labelOnly="1" grandRow="1" outline="0" axis="axisRow" fieldPosition="0">
        <references count="1">
          <reference field="4294967294" count="1" selected="0">
            <x v="25"/>
          </reference>
        </references>
      </pivotArea>
    </format>
    <format dxfId="2226">
      <pivotArea field="0" dataOnly="0" labelOnly="1" grandRow="1" outline="0" axis="axisRow" fieldPosition="0">
        <references count="1">
          <reference field="4294967294" count="1" selected="0">
            <x v="26"/>
          </reference>
        </references>
      </pivotArea>
    </format>
    <format dxfId="2225">
      <pivotArea field="0" dataOnly="0" labelOnly="1" grandRow="1" outline="0" axis="axisRow" fieldPosition="0">
        <references count="1">
          <reference field="4294967294" count="1" selected="0">
            <x v="27"/>
          </reference>
        </references>
      </pivotArea>
    </format>
    <format dxfId="2224">
      <pivotArea field="0" dataOnly="0" labelOnly="1" grandRow="1" outline="0" axis="axisRow" fieldPosition="0">
        <references count="1">
          <reference field="4294967294" count="1" selected="0">
            <x v="28"/>
          </reference>
        </references>
      </pivotArea>
    </format>
    <format dxfId="2223">
      <pivotArea field="0" dataOnly="0" labelOnly="1" grandRow="1" outline="0" axis="axisRow" fieldPosition="0">
        <references count="1">
          <reference field="4294967294" count="1" selected="0">
            <x v="29"/>
          </reference>
        </references>
      </pivotArea>
    </format>
    <format dxfId="2222">
      <pivotArea field="0" dataOnly="0" labelOnly="1" grandRow="1" outline="0" axis="axisRow" fieldPosition="0">
        <references count="1">
          <reference field="4294967294" count="1" selected="0">
            <x v="30"/>
          </reference>
        </references>
      </pivotArea>
    </format>
    <format dxfId="2221">
      <pivotArea field="0" dataOnly="0" labelOnly="1" grandRow="1" outline="0" axis="axisRow" fieldPosition="0">
        <references count="1">
          <reference field="4294967294" count="1" selected="0">
            <x v="31"/>
          </reference>
        </references>
      </pivotArea>
    </format>
    <format dxfId="2220">
      <pivotArea field="0" dataOnly="0" labelOnly="1" grandRow="1" outline="0" axis="axisRow" fieldPosition="0">
        <references count="1">
          <reference field="4294967294" count="1" selected="0">
            <x v="32"/>
          </reference>
        </references>
      </pivotArea>
    </format>
    <format dxfId="2219">
      <pivotArea field="0" dataOnly="0" labelOnly="1" grandRow="1" outline="0" axis="axisRow" fieldPosition="0">
        <references count="1">
          <reference field="4294967294" count="1" selected="0">
            <x v="33"/>
          </reference>
        </references>
      </pivotArea>
    </format>
    <format dxfId="2218">
      <pivotArea field="0" dataOnly="0" labelOnly="1" grandRow="1" outline="0" axis="axisRow" fieldPosition="0">
        <references count="1">
          <reference field="4294967294" count="1" selected="0">
            <x v="34"/>
          </reference>
        </references>
      </pivotArea>
    </format>
    <format dxfId="2217">
      <pivotArea field="0" dataOnly="0" labelOnly="1" grandRow="1" outline="0" axis="axisRow" fieldPosition="0">
        <references count="1">
          <reference field="4294967294" count="1" selected="0">
            <x v="35"/>
          </reference>
        </references>
      </pivotArea>
    </format>
    <format dxfId="2216">
      <pivotArea field="0" dataOnly="0" labelOnly="1" grandRow="1" outline="0" axis="axisRow" fieldPosition="0">
        <references count="1">
          <reference field="4294967294" count="1" selected="0">
            <x v="0"/>
          </reference>
        </references>
      </pivotArea>
    </format>
    <format dxfId="2215">
      <pivotArea field="0" dataOnly="0" labelOnly="1" grandRow="1" outline="0" axis="axisRow" fieldPosition="0">
        <references count="1">
          <reference field="4294967294" count="1" selected="0">
            <x v="1"/>
          </reference>
        </references>
      </pivotArea>
    </format>
    <format dxfId="2214">
      <pivotArea field="0" dataOnly="0" labelOnly="1" grandRow="1" outline="0" axis="axisRow" fieldPosition="0">
        <references count="1">
          <reference field="4294967294" count="1" selected="0">
            <x v="2"/>
          </reference>
        </references>
      </pivotArea>
    </format>
    <format dxfId="2213">
      <pivotArea field="0" dataOnly="0" labelOnly="1" grandRow="1" outline="0" axis="axisRow" fieldPosition="0">
        <references count="1">
          <reference field="4294967294" count="1" selected="0">
            <x v="3"/>
          </reference>
        </references>
      </pivotArea>
    </format>
    <format dxfId="2212">
      <pivotArea field="0" dataOnly="0" labelOnly="1" grandRow="1" outline="0" axis="axisRow" fieldPosition="0">
        <references count="1">
          <reference field="4294967294" count="1" selected="0">
            <x v="4"/>
          </reference>
        </references>
      </pivotArea>
    </format>
    <format dxfId="2211">
      <pivotArea field="0" dataOnly="0" labelOnly="1" grandRow="1" outline="0" axis="axisRow" fieldPosition="0">
        <references count="1">
          <reference field="4294967294" count="1" selected="0">
            <x v="5"/>
          </reference>
        </references>
      </pivotArea>
    </format>
    <format dxfId="2210">
      <pivotArea field="0" dataOnly="0" labelOnly="1" grandRow="1" outline="0" axis="axisRow" fieldPosition="0">
        <references count="1">
          <reference field="4294967294" count="1" selected="0">
            <x v="6"/>
          </reference>
        </references>
      </pivotArea>
    </format>
    <format dxfId="2209">
      <pivotArea field="0" dataOnly="0" labelOnly="1" grandRow="1" outline="0" axis="axisRow" fieldPosition="0">
        <references count="1">
          <reference field="4294967294" count="1" selected="0">
            <x v="7"/>
          </reference>
        </references>
      </pivotArea>
    </format>
    <format dxfId="2208">
      <pivotArea field="0" dataOnly="0" labelOnly="1" grandRow="1" outline="0" axis="axisRow" fieldPosition="0">
        <references count="1">
          <reference field="4294967294" count="1" selected="0">
            <x v="8"/>
          </reference>
        </references>
      </pivotArea>
    </format>
    <format dxfId="2207">
      <pivotArea field="0" dataOnly="0" labelOnly="1" grandRow="1" outline="0" axis="axisRow" fieldPosition="0">
        <references count="1">
          <reference field="4294967294" count="1" selected="0">
            <x v="9"/>
          </reference>
        </references>
      </pivotArea>
    </format>
    <format dxfId="2206">
      <pivotArea field="0" dataOnly="0" labelOnly="1" grandRow="1" outline="0" axis="axisRow" fieldPosition="0">
        <references count="1">
          <reference field="4294967294" count="1" selected="0">
            <x v="10"/>
          </reference>
        </references>
      </pivotArea>
    </format>
    <format dxfId="2205">
      <pivotArea field="0" dataOnly="0" labelOnly="1" grandRow="1" outline="0" axis="axisRow" fieldPosition="0">
        <references count="1">
          <reference field="4294967294" count="1" selected="0">
            <x v="11"/>
          </reference>
        </references>
      </pivotArea>
    </format>
    <format dxfId="2204">
      <pivotArea field="0" dataOnly="0" labelOnly="1" grandRow="1" outline="0" axis="axisRow" fieldPosition="0">
        <references count="1">
          <reference field="4294967294" count="1" selected="0">
            <x v="12"/>
          </reference>
        </references>
      </pivotArea>
    </format>
    <format dxfId="2203">
      <pivotArea field="0" dataOnly="0" labelOnly="1" grandRow="1" outline="0" axis="axisRow" fieldPosition="0">
        <references count="1">
          <reference field="4294967294" count="1" selected="0">
            <x v="13"/>
          </reference>
        </references>
      </pivotArea>
    </format>
    <format dxfId="2202">
      <pivotArea field="0" dataOnly="0" labelOnly="1" grandRow="1" outline="0" axis="axisRow" fieldPosition="0">
        <references count="1">
          <reference field="4294967294" count="1" selected="0">
            <x v="14"/>
          </reference>
        </references>
      </pivotArea>
    </format>
    <format dxfId="2201">
      <pivotArea field="0" dataOnly="0" labelOnly="1" grandRow="1" outline="0" axis="axisRow" fieldPosition="0">
        <references count="1">
          <reference field="4294967294" count="1" selected="0">
            <x v="15"/>
          </reference>
        </references>
      </pivotArea>
    </format>
    <format dxfId="2200">
      <pivotArea field="0" dataOnly="0" labelOnly="1" grandRow="1" outline="0" axis="axisRow" fieldPosition="0">
        <references count="1">
          <reference field="4294967294" count="1" selected="0">
            <x v="16"/>
          </reference>
        </references>
      </pivotArea>
    </format>
    <format dxfId="2199">
      <pivotArea field="0" dataOnly="0" labelOnly="1" grandRow="1" outline="0" axis="axisRow" fieldPosition="0">
        <references count="1">
          <reference field="4294967294" count="1" selected="0">
            <x v="17"/>
          </reference>
        </references>
      </pivotArea>
    </format>
    <format dxfId="2198">
      <pivotArea field="0" dataOnly="0" labelOnly="1" grandRow="1" outline="0" axis="axisRow" fieldPosition="0">
        <references count="1">
          <reference field="4294967294" count="1" selected="0">
            <x v="18"/>
          </reference>
        </references>
      </pivotArea>
    </format>
    <format dxfId="2197">
      <pivotArea field="0" dataOnly="0" labelOnly="1" grandRow="1" outline="0" axis="axisRow" fieldPosition="0">
        <references count="1">
          <reference field="4294967294" count="1" selected="0">
            <x v="19"/>
          </reference>
        </references>
      </pivotArea>
    </format>
    <format dxfId="2196">
      <pivotArea field="0" dataOnly="0" labelOnly="1" grandRow="1" outline="0" axis="axisRow" fieldPosition="0">
        <references count="1">
          <reference field="4294967294" count="1" selected="0">
            <x v="20"/>
          </reference>
        </references>
      </pivotArea>
    </format>
    <format dxfId="2195">
      <pivotArea field="0" dataOnly="0" labelOnly="1" grandRow="1" outline="0" axis="axisRow" fieldPosition="0">
        <references count="1">
          <reference field="4294967294" count="1" selected="0">
            <x v="21"/>
          </reference>
        </references>
      </pivotArea>
    </format>
    <format dxfId="2194">
      <pivotArea field="0" dataOnly="0" labelOnly="1" grandRow="1" outline="0" axis="axisRow" fieldPosition="0">
        <references count="1">
          <reference field="4294967294" count="1" selected="0">
            <x v="22"/>
          </reference>
        </references>
      </pivotArea>
    </format>
    <format dxfId="2193">
      <pivotArea field="0" dataOnly="0" labelOnly="1" grandRow="1" outline="0" axis="axisRow" fieldPosition="0">
        <references count="1">
          <reference field="4294967294" count="1" selected="0">
            <x v="23"/>
          </reference>
        </references>
      </pivotArea>
    </format>
    <format dxfId="2192">
      <pivotArea field="0" dataOnly="0" labelOnly="1" grandRow="1" outline="0" axis="axisRow" fieldPosition="0">
        <references count="1">
          <reference field="4294967294" count="1" selected="0">
            <x v="24"/>
          </reference>
        </references>
      </pivotArea>
    </format>
    <format dxfId="2191">
      <pivotArea field="0" dataOnly="0" labelOnly="1" grandRow="1" outline="0" axis="axisRow" fieldPosition="0">
        <references count="1">
          <reference field="4294967294" count="1" selected="0">
            <x v="25"/>
          </reference>
        </references>
      </pivotArea>
    </format>
    <format dxfId="2190">
      <pivotArea field="0" dataOnly="0" labelOnly="1" grandRow="1" outline="0" axis="axisRow" fieldPosition="0">
        <references count="1">
          <reference field="4294967294" count="1" selected="0">
            <x v="26"/>
          </reference>
        </references>
      </pivotArea>
    </format>
    <format dxfId="2189">
      <pivotArea field="0" dataOnly="0" labelOnly="1" grandRow="1" outline="0" axis="axisRow" fieldPosition="0">
        <references count="1">
          <reference field="4294967294" count="1" selected="0">
            <x v="27"/>
          </reference>
        </references>
      </pivotArea>
    </format>
    <format dxfId="2188">
      <pivotArea field="0" dataOnly="0" labelOnly="1" grandRow="1" outline="0" axis="axisRow" fieldPosition="0">
        <references count="1">
          <reference field="4294967294" count="1" selected="0">
            <x v="28"/>
          </reference>
        </references>
      </pivotArea>
    </format>
    <format dxfId="2187">
      <pivotArea field="0" dataOnly="0" labelOnly="1" grandRow="1" outline="0" axis="axisRow" fieldPosition="0">
        <references count="1">
          <reference field="4294967294" count="1" selected="0">
            <x v="29"/>
          </reference>
        </references>
      </pivotArea>
    </format>
    <format dxfId="2186">
      <pivotArea field="0" dataOnly="0" labelOnly="1" grandRow="1" outline="0" axis="axisRow" fieldPosition="0">
        <references count="1">
          <reference field="4294967294" count="1" selected="0">
            <x v="30"/>
          </reference>
        </references>
      </pivotArea>
    </format>
    <format dxfId="2185">
      <pivotArea field="0" dataOnly="0" labelOnly="1" grandRow="1" outline="0" axis="axisRow" fieldPosition="0">
        <references count="1">
          <reference field="4294967294" count="1" selected="0">
            <x v="31"/>
          </reference>
        </references>
      </pivotArea>
    </format>
    <format dxfId="2184">
      <pivotArea field="0" dataOnly="0" labelOnly="1" grandRow="1" outline="0" axis="axisRow" fieldPosition="0">
        <references count="1">
          <reference field="4294967294" count="1" selected="0">
            <x v="32"/>
          </reference>
        </references>
      </pivotArea>
    </format>
    <format dxfId="2183">
      <pivotArea field="0" dataOnly="0" labelOnly="1" grandRow="1" outline="0" axis="axisRow" fieldPosition="0">
        <references count="1">
          <reference field="4294967294" count="1" selected="0">
            <x v="33"/>
          </reference>
        </references>
      </pivotArea>
    </format>
    <format dxfId="2182">
      <pivotArea field="0" dataOnly="0" labelOnly="1" grandRow="1" outline="0" axis="axisRow" fieldPosition="0">
        <references count="1">
          <reference field="4294967294" count="1" selected="0">
            <x v="34"/>
          </reference>
        </references>
      </pivotArea>
    </format>
    <format dxfId="2181">
      <pivotArea field="0" dataOnly="0" labelOnly="1" grandRow="1" outline="0" axis="axisRow" fieldPosition="0">
        <references count="1">
          <reference field="4294967294" count="1" selected="0">
            <x v="35"/>
          </reference>
        </references>
      </pivotArea>
    </format>
    <format dxfId="2180">
      <pivotArea field="0" dataOnly="0" labelOnly="1" grandRow="1" outline="0" axis="axisRow" fieldPosition="0">
        <references count="1">
          <reference field="4294967294" count="1" selected="0">
            <x v="0"/>
          </reference>
        </references>
      </pivotArea>
    </format>
    <format dxfId="2179">
      <pivotArea field="0" dataOnly="0" labelOnly="1" grandRow="1" outline="0" axis="axisRow" fieldPosition="0">
        <references count="1">
          <reference field="4294967294" count="1" selected="0">
            <x v="1"/>
          </reference>
        </references>
      </pivotArea>
    </format>
    <format dxfId="2178">
      <pivotArea field="0" dataOnly="0" labelOnly="1" grandRow="1" outline="0" axis="axisRow" fieldPosition="0">
        <references count="1">
          <reference field="4294967294" count="1" selected="0">
            <x v="2"/>
          </reference>
        </references>
      </pivotArea>
    </format>
    <format dxfId="2177">
      <pivotArea field="0" dataOnly="0" labelOnly="1" grandRow="1" outline="0" axis="axisRow" fieldPosition="0">
        <references count="1">
          <reference field="4294967294" count="1" selected="0">
            <x v="3"/>
          </reference>
        </references>
      </pivotArea>
    </format>
    <format dxfId="2176">
      <pivotArea field="0" dataOnly="0" labelOnly="1" grandRow="1" outline="0" axis="axisRow" fieldPosition="0">
        <references count="1">
          <reference field="4294967294" count="1" selected="0">
            <x v="4"/>
          </reference>
        </references>
      </pivotArea>
    </format>
    <format dxfId="2175">
      <pivotArea field="0" dataOnly="0" labelOnly="1" grandRow="1" outline="0" axis="axisRow" fieldPosition="0">
        <references count="1">
          <reference field="4294967294" count="1" selected="0">
            <x v="5"/>
          </reference>
        </references>
      </pivotArea>
    </format>
    <format dxfId="2174">
      <pivotArea field="0" dataOnly="0" labelOnly="1" grandRow="1" outline="0" axis="axisRow" fieldPosition="0">
        <references count="1">
          <reference field="4294967294" count="1" selected="0">
            <x v="6"/>
          </reference>
        </references>
      </pivotArea>
    </format>
    <format dxfId="2173">
      <pivotArea field="0" dataOnly="0" labelOnly="1" grandRow="1" outline="0" axis="axisRow" fieldPosition="0">
        <references count="1">
          <reference field="4294967294" count="1" selected="0">
            <x v="7"/>
          </reference>
        </references>
      </pivotArea>
    </format>
    <format dxfId="2172">
      <pivotArea field="0" dataOnly="0" labelOnly="1" grandRow="1" outline="0" axis="axisRow" fieldPosition="0">
        <references count="1">
          <reference field="4294967294" count="1" selected="0">
            <x v="8"/>
          </reference>
        </references>
      </pivotArea>
    </format>
    <format dxfId="2171">
      <pivotArea field="0" dataOnly="0" labelOnly="1" grandRow="1" outline="0" axis="axisRow" fieldPosition="0">
        <references count="1">
          <reference field="4294967294" count="1" selected="0">
            <x v="9"/>
          </reference>
        </references>
      </pivotArea>
    </format>
    <format dxfId="2170">
      <pivotArea field="0" dataOnly="0" labelOnly="1" grandRow="1" outline="0" axis="axisRow" fieldPosition="0">
        <references count="1">
          <reference field="4294967294" count="1" selected="0">
            <x v="10"/>
          </reference>
        </references>
      </pivotArea>
    </format>
    <format dxfId="2169">
      <pivotArea field="0" dataOnly="0" labelOnly="1" grandRow="1" outline="0" axis="axisRow" fieldPosition="0">
        <references count="1">
          <reference field="4294967294" count="1" selected="0">
            <x v="11"/>
          </reference>
        </references>
      </pivotArea>
    </format>
    <format dxfId="2168">
      <pivotArea field="0" dataOnly="0" labelOnly="1" grandRow="1" outline="0" axis="axisRow" fieldPosition="0">
        <references count="1">
          <reference field="4294967294" count="1" selected="0">
            <x v="12"/>
          </reference>
        </references>
      </pivotArea>
    </format>
    <format dxfId="2167">
      <pivotArea field="0" dataOnly="0" labelOnly="1" grandRow="1" outline="0" axis="axisRow" fieldPosition="0">
        <references count="1">
          <reference field="4294967294" count="1" selected="0">
            <x v="13"/>
          </reference>
        </references>
      </pivotArea>
    </format>
    <format dxfId="2166">
      <pivotArea field="0" dataOnly="0" labelOnly="1" grandRow="1" outline="0" axis="axisRow" fieldPosition="0">
        <references count="1">
          <reference field="4294967294" count="1" selected="0">
            <x v="14"/>
          </reference>
        </references>
      </pivotArea>
    </format>
    <format dxfId="2165">
      <pivotArea field="0" dataOnly="0" labelOnly="1" grandRow="1" outline="0" axis="axisRow" fieldPosition="0">
        <references count="1">
          <reference field="4294967294" count="1" selected="0">
            <x v="15"/>
          </reference>
        </references>
      </pivotArea>
    </format>
    <format dxfId="2164">
      <pivotArea field="0" dataOnly="0" labelOnly="1" grandRow="1" outline="0" axis="axisRow" fieldPosition="0">
        <references count="1">
          <reference field="4294967294" count="1" selected="0">
            <x v="16"/>
          </reference>
        </references>
      </pivotArea>
    </format>
    <format dxfId="2163">
      <pivotArea field="0" dataOnly="0" labelOnly="1" grandRow="1" outline="0" axis="axisRow" fieldPosition="0">
        <references count="1">
          <reference field="4294967294" count="1" selected="0">
            <x v="17"/>
          </reference>
        </references>
      </pivotArea>
    </format>
    <format dxfId="2162">
      <pivotArea field="0" dataOnly="0" labelOnly="1" grandRow="1" outline="0" axis="axisRow" fieldPosition="0">
        <references count="1">
          <reference field="4294967294" count="1" selected="0">
            <x v="18"/>
          </reference>
        </references>
      </pivotArea>
    </format>
    <format dxfId="2161">
      <pivotArea field="0" dataOnly="0" labelOnly="1" grandRow="1" outline="0" axis="axisRow" fieldPosition="0">
        <references count="1">
          <reference field="4294967294" count="1" selected="0">
            <x v="19"/>
          </reference>
        </references>
      </pivotArea>
    </format>
    <format dxfId="2160">
      <pivotArea field="0" dataOnly="0" labelOnly="1" grandRow="1" outline="0" axis="axisRow" fieldPosition="0">
        <references count="1">
          <reference field="4294967294" count="1" selected="0">
            <x v="20"/>
          </reference>
        </references>
      </pivotArea>
    </format>
    <format dxfId="2159">
      <pivotArea field="0" dataOnly="0" labelOnly="1" grandRow="1" outline="0" axis="axisRow" fieldPosition="0">
        <references count="1">
          <reference field="4294967294" count="1" selected="0">
            <x v="21"/>
          </reference>
        </references>
      </pivotArea>
    </format>
    <format dxfId="2158">
      <pivotArea field="0" dataOnly="0" labelOnly="1" grandRow="1" outline="0" axis="axisRow" fieldPosition="0">
        <references count="1">
          <reference field="4294967294" count="1" selected="0">
            <x v="22"/>
          </reference>
        </references>
      </pivotArea>
    </format>
    <format dxfId="2157">
      <pivotArea field="0" dataOnly="0" labelOnly="1" grandRow="1" outline="0" axis="axisRow" fieldPosition="0">
        <references count="1">
          <reference field="4294967294" count="1" selected="0">
            <x v="23"/>
          </reference>
        </references>
      </pivotArea>
    </format>
    <format dxfId="2156">
      <pivotArea field="0" dataOnly="0" labelOnly="1" grandRow="1" outline="0" axis="axisRow" fieldPosition="0">
        <references count="1">
          <reference field="4294967294" count="1" selected="0">
            <x v="24"/>
          </reference>
        </references>
      </pivotArea>
    </format>
    <format dxfId="2155">
      <pivotArea field="0" dataOnly="0" labelOnly="1" grandRow="1" outline="0" axis="axisRow" fieldPosition="0">
        <references count="1">
          <reference field="4294967294" count="1" selected="0">
            <x v="25"/>
          </reference>
        </references>
      </pivotArea>
    </format>
    <format dxfId="2154">
      <pivotArea field="0" dataOnly="0" labelOnly="1" grandRow="1" outline="0" axis="axisRow" fieldPosition="0">
        <references count="1">
          <reference field="4294967294" count="1" selected="0">
            <x v="26"/>
          </reference>
        </references>
      </pivotArea>
    </format>
    <format dxfId="2153">
      <pivotArea field="0" dataOnly="0" labelOnly="1" grandRow="1" outline="0" axis="axisRow" fieldPosition="0">
        <references count="1">
          <reference field="4294967294" count="1" selected="0">
            <x v="27"/>
          </reference>
        </references>
      </pivotArea>
    </format>
    <format dxfId="2152">
      <pivotArea field="0" dataOnly="0" labelOnly="1" grandRow="1" outline="0" axis="axisRow" fieldPosition="0">
        <references count="1">
          <reference field="4294967294" count="1" selected="0">
            <x v="28"/>
          </reference>
        </references>
      </pivotArea>
    </format>
    <format dxfId="2151">
      <pivotArea field="0" dataOnly="0" labelOnly="1" grandRow="1" outline="0" axis="axisRow" fieldPosition="0">
        <references count="1">
          <reference field="4294967294" count="1" selected="0">
            <x v="29"/>
          </reference>
        </references>
      </pivotArea>
    </format>
    <format dxfId="2150">
      <pivotArea field="0" dataOnly="0" labelOnly="1" grandRow="1" outline="0" axis="axisRow" fieldPosition="0">
        <references count="1">
          <reference field="4294967294" count="1" selected="0">
            <x v="30"/>
          </reference>
        </references>
      </pivotArea>
    </format>
    <format dxfId="2149">
      <pivotArea field="0" dataOnly="0" labelOnly="1" grandRow="1" outline="0" axis="axisRow" fieldPosition="0">
        <references count="1">
          <reference field="4294967294" count="1" selected="0">
            <x v="31"/>
          </reference>
        </references>
      </pivotArea>
    </format>
    <format dxfId="2148">
      <pivotArea field="0" dataOnly="0" labelOnly="1" grandRow="1" outline="0" axis="axisRow" fieldPosition="0">
        <references count="1">
          <reference field="4294967294" count="1" selected="0">
            <x v="32"/>
          </reference>
        </references>
      </pivotArea>
    </format>
    <format dxfId="2147">
      <pivotArea field="0" dataOnly="0" labelOnly="1" grandRow="1" outline="0" axis="axisRow" fieldPosition="0">
        <references count="1">
          <reference field="4294967294" count="1" selected="0">
            <x v="33"/>
          </reference>
        </references>
      </pivotArea>
    </format>
    <format dxfId="2146">
      <pivotArea field="0" dataOnly="0" labelOnly="1" grandRow="1" outline="0" axis="axisRow" fieldPosition="0">
        <references count="1">
          <reference field="4294967294" count="1" selected="0">
            <x v="34"/>
          </reference>
        </references>
      </pivotArea>
    </format>
    <format dxfId="2145">
      <pivotArea field="0" dataOnly="0" labelOnly="1" grandRow="1" outline="0" axis="axisRow" fieldPosition="0">
        <references count="1">
          <reference field="4294967294" count="1" selected="0">
            <x v="35"/>
          </reference>
        </references>
      </pivotArea>
    </format>
    <format dxfId="2144">
      <pivotArea field="0" dataOnly="0" labelOnly="1" grandRow="1" outline="0" axis="axisRow" fieldPosition="0">
        <references count="1">
          <reference field="4294967294" count="1" selected="0">
            <x v="0"/>
          </reference>
        </references>
      </pivotArea>
    </format>
    <format dxfId="2143">
      <pivotArea field="0" dataOnly="0" labelOnly="1" grandRow="1" outline="0" axis="axisRow" fieldPosition="0">
        <references count="1">
          <reference field="4294967294" count="1" selected="0">
            <x v="1"/>
          </reference>
        </references>
      </pivotArea>
    </format>
    <format dxfId="2142">
      <pivotArea field="0" dataOnly="0" labelOnly="1" grandRow="1" outline="0" axis="axisRow" fieldPosition="0">
        <references count="1">
          <reference field="4294967294" count="1" selected="0">
            <x v="2"/>
          </reference>
        </references>
      </pivotArea>
    </format>
    <format dxfId="2141">
      <pivotArea field="0" dataOnly="0" labelOnly="1" grandRow="1" outline="0" axis="axisRow" fieldPosition="0">
        <references count="1">
          <reference field="4294967294" count="1" selected="0">
            <x v="3"/>
          </reference>
        </references>
      </pivotArea>
    </format>
    <format dxfId="2140">
      <pivotArea field="0" dataOnly="0" labelOnly="1" grandRow="1" outline="0" axis="axisRow" fieldPosition="0">
        <references count="1">
          <reference field="4294967294" count="1" selected="0">
            <x v="4"/>
          </reference>
        </references>
      </pivotArea>
    </format>
    <format dxfId="2139">
      <pivotArea field="0" dataOnly="0" labelOnly="1" grandRow="1" outline="0" axis="axisRow" fieldPosition="0">
        <references count="1">
          <reference field="4294967294" count="1" selected="0">
            <x v="5"/>
          </reference>
        </references>
      </pivotArea>
    </format>
    <format dxfId="2138">
      <pivotArea field="0" dataOnly="0" labelOnly="1" grandRow="1" outline="0" axis="axisRow" fieldPosition="0">
        <references count="1">
          <reference field="4294967294" count="1" selected="0">
            <x v="6"/>
          </reference>
        </references>
      </pivotArea>
    </format>
    <format dxfId="2137">
      <pivotArea field="0" dataOnly="0" labelOnly="1" grandRow="1" outline="0" axis="axisRow" fieldPosition="0">
        <references count="1">
          <reference field="4294967294" count="1" selected="0">
            <x v="7"/>
          </reference>
        </references>
      </pivotArea>
    </format>
    <format dxfId="2136">
      <pivotArea field="0" dataOnly="0" labelOnly="1" grandRow="1" outline="0" axis="axisRow" fieldPosition="0">
        <references count="1">
          <reference field="4294967294" count="1" selected="0">
            <x v="8"/>
          </reference>
        </references>
      </pivotArea>
    </format>
    <format dxfId="2135">
      <pivotArea field="0" dataOnly="0" labelOnly="1" grandRow="1" outline="0" axis="axisRow" fieldPosition="0">
        <references count="1">
          <reference field="4294967294" count="1" selected="0">
            <x v="9"/>
          </reference>
        </references>
      </pivotArea>
    </format>
    <format dxfId="2134">
      <pivotArea field="0" dataOnly="0" labelOnly="1" grandRow="1" outline="0" axis="axisRow" fieldPosition="0">
        <references count="1">
          <reference field="4294967294" count="1" selected="0">
            <x v="10"/>
          </reference>
        </references>
      </pivotArea>
    </format>
    <format dxfId="2133">
      <pivotArea field="0" dataOnly="0" labelOnly="1" grandRow="1" outline="0" axis="axisRow" fieldPosition="0">
        <references count="1">
          <reference field="4294967294" count="1" selected="0">
            <x v="11"/>
          </reference>
        </references>
      </pivotArea>
    </format>
    <format dxfId="2132">
      <pivotArea field="0" dataOnly="0" labelOnly="1" grandRow="1" outline="0" axis="axisRow" fieldPosition="0">
        <references count="1">
          <reference field="4294967294" count="1" selected="0">
            <x v="12"/>
          </reference>
        </references>
      </pivotArea>
    </format>
    <format dxfId="2131">
      <pivotArea field="0" dataOnly="0" labelOnly="1" grandRow="1" outline="0" axis="axisRow" fieldPosition="0">
        <references count="1">
          <reference field="4294967294" count="1" selected="0">
            <x v="13"/>
          </reference>
        </references>
      </pivotArea>
    </format>
    <format dxfId="2130">
      <pivotArea field="0" dataOnly="0" labelOnly="1" grandRow="1" outline="0" axis="axisRow" fieldPosition="0">
        <references count="1">
          <reference field="4294967294" count="1" selected="0">
            <x v="14"/>
          </reference>
        </references>
      </pivotArea>
    </format>
    <format dxfId="2129">
      <pivotArea field="0" dataOnly="0" labelOnly="1" grandRow="1" outline="0" axis="axisRow" fieldPosition="0">
        <references count="1">
          <reference field="4294967294" count="1" selected="0">
            <x v="15"/>
          </reference>
        </references>
      </pivotArea>
    </format>
    <format dxfId="2128">
      <pivotArea field="0" dataOnly="0" labelOnly="1" grandRow="1" outline="0" axis="axisRow" fieldPosition="0">
        <references count="1">
          <reference field="4294967294" count="1" selected="0">
            <x v="16"/>
          </reference>
        </references>
      </pivotArea>
    </format>
    <format dxfId="2127">
      <pivotArea field="0" dataOnly="0" labelOnly="1" grandRow="1" outline="0" axis="axisRow" fieldPosition="0">
        <references count="1">
          <reference field="4294967294" count="1" selected="0">
            <x v="17"/>
          </reference>
        </references>
      </pivotArea>
    </format>
    <format dxfId="2126">
      <pivotArea field="0" dataOnly="0" labelOnly="1" grandRow="1" outline="0" axis="axisRow" fieldPosition="0">
        <references count="1">
          <reference field="4294967294" count="1" selected="0">
            <x v="18"/>
          </reference>
        </references>
      </pivotArea>
    </format>
    <format dxfId="2125">
      <pivotArea field="0" dataOnly="0" labelOnly="1" grandRow="1" outline="0" axis="axisRow" fieldPosition="0">
        <references count="1">
          <reference field="4294967294" count="1" selected="0">
            <x v="19"/>
          </reference>
        </references>
      </pivotArea>
    </format>
    <format dxfId="2124">
      <pivotArea field="0" dataOnly="0" labelOnly="1" grandRow="1" outline="0" axis="axisRow" fieldPosition="0">
        <references count="1">
          <reference field="4294967294" count="1" selected="0">
            <x v="20"/>
          </reference>
        </references>
      </pivotArea>
    </format>
    <format dxfId="2123">
      <pivotArea field="0" dataOnly="0" labelOnly="1" grandRow="1" outline="0" axis="axisRow" fieldPosition="0">
        <references count="1">
          <reference field="4294967294" count="1" selected="0">
            <x v="21"/>
          </reference>
        </references>
      </pivotArea>
    </format>
    <format dxfId="2122">
      <pivotArea field="0" dataOnly="0" labelOnly="1" grandRow="1" outline="0" axis="axisRow" fieldPosition="0">
        <references count="1">
          <reference field="4294967294" count="1" selected="0">
            <x v="22"/>
          </reference>
        </references>
      </pivotArea>
    </format>
    <format dxfId="2121">
      <pivotArea field="0" dataOnly="0" labelOnly="1" grandRow="1" outline="0" axis="axisRow" fieldPosition="0">
        <references count="1">
          <reference field="4294967294" count="1" selected="0">
            <x v="23"/>
          </reference>
        </references>
      </pivotArea>
    </format>
    <format dxfId="2120">
      <pivotArea field="0" dataOnly="0" labelOnly="1" grandRow="1" outline="0" axis="axisRow" fieldPosition="0">
        <references count="1">
          <reference field="4294967294" count="1" selected="0">
            <x v="24"/>
          </reference>
        </references>
      </pivotArea>
    </format>
    <format dxfId="2119">
      <pivotArea field="0" dataOnly="0" labelOnly="1" grandRow="1" outline="0" axis="axisRow" fieldPosition="0">
        <references count="1">
          <reference field="4294967294" count="1" selected="0">
            <x v="25"/>
          </reference>
        </references>
      </pivotArea>
    </format>
    <format dxfId="2118">
      <pivotArea field="0" dataOnly="0" labelOnly="1" grandRow="1" outline="0" axis="axisRow" fieldPosition="0">
        <references count="1">
          <reference field="4294967294" count="1" selected="0">
            <x v="26"/>
          </reference>
        </references>
      </pivotArea>
    </format>
    <format dxfId="2117">
      <pivotArea field="0" dataOnly="0" labelOnly="1" grandRow="1" outline="0" axis="axisRow" fieldPosition="0">
        <references count="1">
          <reference field="4294967294" count="1" selected="0">
            <x v="27"/>
          </reference>
        </references>
      </pivotArea>
    </format>
    <format dxfId="2116">
      <pivotArea field="0" dataOnly="0" labelOnly="1" grandRow="1" outline="0" axis="axisRow" fieldPosition="0">
        <references count="1">
          <reference field="4294967294" count="1" selected="0">
            <x v="28"/>
          </reference>
        </references>
      </pivotArea>
    </format>
    <format dxfId="2115">
      <pivotArea field="0" dataOnly="0" labelOnly="1" grandRow="1" outline="0" axis="axisRow" fieldPosition="0">
        <references count="1">
          <reference field="4294967294" count="1" selected="0">
            <x v="29"/>
          </reference>
        </references>
      </pivotArea>
    </format>
    <format dxfId="2114">
      <pivotArea field="0" dataOnly="0" labelOnly="1" grandRow="1" outline="0" axis="axisRow" fieldPosition="0">
        <references count="1">
          <reference field="4294967294" count="1" selected="0">
            <x v="30"/>
          </reference>
        </references>
      </pivotArea>
    </format>
    <format dxfId="2113">
      <pivotArea field="0" dataOnly="0" labelOnly="1" grandRow="1" outline="0" axis="axisRow" fieldPosition="0">
        <references count="1">
          <reference field="4294967294" count="1" selected="0">
            <x v="31"/>
          </reference>
        </references>
      </pivotArea>
    </format>
    <format dxfId="2112">
      <pivotArea field="0" dataOnly="0" labelOnly="1" grandRow="1" outline="0" axis="axisRow" fieldPosition="0">
        <references count="1">
          <reference field="4294967294" count="1" selected="0">
            <x v="32"/>
          </reference>
        </references>
      </pivotArea>
    </format>
    <format dxfId="2111">
      <pivotArea field="0" dataOnly="0" labelOnly="1" grandRow="1" outline="0" axis="axisRow" fieldPosition="0">
        <references count="1">
          <reference field="4294967294" count="1" selected="0">
            <x v="33"/>
          </reference>
        </references>
      </pivotArea>
    </format>
    <format dxfId="2110">
      <pivotArea field="0" dataOnly="0" labelOnly="1" grandRow="1" outline="0" axis="axisRow" fieldPosition="0">
        <references count="1">
          <reference field="4294967294" count="1" selected="0">
            <x v="34"/>
          </reference>
        </references>
      </pivotArea>
    </format>
    <format dxfId="2109">
      <pivotArea field="0" dataOnly="0" labelOnly="1" grandRow="1" outline="0" axis="axisRow" fieldPosition="0">
        <references count="1">
          <reference field="4294967294" count="1" selected="0">
            <x v="35"/>
          </reference>
        </references>
      </pivotArea>
    </format>
    <format dxfId="2108">
      <pivotArea field="0" dataOnly="0" labelOnly="1" grandRow="1" outline="0" axis="axisRow" fieldPosition="0">
        <references count="1">
          <reference field="4294967294" count="1" selected="0">
            <x v="0"/>
          </reference>
        </references>
      </pivotArea>
    </format>
    <format dxfId="2107">
      <pivotArea field="0" dataOnly="0" labelOnly="1" grandRow="1" outline="0" axis="axisRow" fieldPosition="0">
        <references count="1">
          <reference field="4294967294" count="1" selected="0">
            <x v="1"/>
          </reference>
        </references>
      </pivotArea>
    </format>
    <format dxfId="2106">
      <pivotArea field="0" dataOnly="0" labelOnly="1" grandRow="1" outline="0" axis="axisRow" fieldPosition="0">
        <references count="1">
          <reference field="4294967294" count="1" selected="0">
            <x v="2"/>
          </reference>
        </references>
      </pivotArea>
    </format>
    <format dxfId="2105">
      <pivotArea field="0" dataOnly="0" labelOnly="1" grandRow="1" outline="0" axis="axisRow" fieldPosition="0">
        <references count="1">
          <reference field="4294967294" count="1" selected="0">
            <x v="3"/>
          </reference>
        </references>
      </pivotArea>
    </format>
    <format dxfId="2104">
      <pivotArea field="0" dataOnly="0" labelOnly="1" grandRow="1" outline="0" axis="axisRow" fieldPosition="0">
        <references count="1">
          <reference field="4294967294" count="1" selected="0">
            <x v="4"/>
          </reference>
        </references>
      </pivotArea>
    </format>
    <format dxfId="2103">
      <pivotArea field="0" dataOnly="0" labelOnly="1" grandRow="1" outline="0" axis="axisRow" fieldPosition="0">
        <references count="1">
          <reference field="4294967294" count="1" selected="0">
            <x v="5"/>
          </reference>
        </references>
      </pivotArea>
    </format>
    <format dxfId="2102">
      <pivotArea field="0" dataOnly="0" labelOnly="1" grandRow="1" outline="0" axis="axisRow" fieldPosition="0">
        <references count="1">
          <reference field="4294967294" count="1" selected="0">
            <x v="6"/>
          </reference>
        </references>
      </pivotArea>
    </format>
    <format dxfId="2101">
      <pivotArea field="0" dataOnly="0" labelOnly="1" grandRow="1" outline="0" axis="axisRow" fieldPosition="0">
        <references count="1">
          <reference field="4294967294" count="1" selected="0">
            <x v="7"/>
          </reference>
        </references>
      </pivotArea>
    </format>
    <format dxfId="2100">
      <pivotArea field="0" dataOnly="0" labelOnly="1" grandRow="1" outline="0" axis="axisRow" fieldPosition="0">
        <references count="1">
          <reference field="4294967294" count="1" selected="0">
            <x v="8"/>
          </reference>
        </references>
      </pivotArea>
    </format>
    <format dxfId="2099">
      <pivotArea field="0" dataOnly="0" labelOnly="1" grandRow="1" outline="0" axis="axisRow" fieldPosition="0">
        <references count="1">
          <reference field="4294967294" count="1" selected="0">
            <x v="9"/>
          </reference>
        </references>
      </pivotArea>
    </format>
    <format dxfId="2098">
      <pivotArea field="0" dataOnly="0" labelOnly="1" grandRow="1" outline="0" axis="axisRow" fieldPosition="0">
        <references count="1">
          <reference field="4294967294" count="1" selected="0">
            <x v="10"/>
          </reference>
        </references>
      </pivotArea>
    </format>
    <format dxfId="2097">
      <pivotArea field="0" dataOnly="0" labelOnly="1" grandRow="1" outline="0" axis="axisRow" fieldPosition="0">
        <references count="1">
          <reference field="4294967294" count="1" selected="0">
            <x v="11"/>
          </reference>
        </references>
      </pivotArea>
    </format>
    <format dxfId="2096">
      <pivotArea field="0" dataOnly="0" labelOnly="1" grandRow="1" outline="0" axis="axisRow" fieldPosition="0">
        <references count="1">
          <reference field="4294967294" count="1" selected="0">
            <x v="12"/>
          </reference>
        </references>
      </pivotArea>
    </format>
    <format dxfId="2095">
      <pivotArea field="0" dataOnly="0" labelOnly="1" grandRow="1" outline="0" axis="axisRow" fieldPosition="0">
        <references count="1">
          <reference field="4294967294" count="1" selected="0">
            <x v="13"/>
          </reference>
        </references>
      </pivotArea>
    </format>
    <format dxfId="2094">
      <pivotArea field="0" dataOnly="0" labelOnly="1" grandRow="1" outline="0" axis="axisRow" fieldPosition="0">
        <references count="1">
          <reference field="4294967294" count="1" selected="0">
            <x v="14"/>
          </reference>
        </references>
      </pivotArea>
    </format>
    <format dxfId="2093">
      <pivotArea field="0" dataOnly="0" labelOnly="1" grandRow="1" outline="0" axis="axisRow" fieldPosition="0">
        <references count="1">
          <reference field="4294967294" count="1" selected="0">
            <x v="15"/>
          </reference>
        </references>
      </pivotArea>
    </format>
    <format dxfId="2092">
      <pivotArea field="0" dataOnly="0" labelOnly="1" grandRow="1" outline="0" axis="axisRow" fieldPosition="0">
        <references count="1">
          <reference field="4294967294" count="1" selected="0">
            <x v="16"/>
          </reference>
        </references>
      </pivotArea>
    </format>
    <format dxfId="2091">
      <pivotArea field="0" dataOnly="0" labelOnly="1" grandRow="1" outline="0" axis="axisRow" fieldPosition="0">
        <references count="1">
          <reference field="4294967294" count="1" selected="0">
            <x v="17"/>
          </reference>
        </references>
      </pivotArea>
    </format>
    <format dxfId="2090">
      <pivotArea field="0" dataOnly="0" labelOnly="1" grandRow="1" outline="0" axis="axisRow" fieldPosition="0">
        <references count="1">
          <reference field="4294967294" count="1" selected="0">
            <x v="18"/>
          </reference>
        </references>
      </pivotArea>
    </format>
    <format dxfId="2089">
      <pivotArea field="0" dataOnly="0" labelOnly="1" grandRow="1" outline="0" axis="axisRow" fieldPosition="0">
        <references count="1">
          <reference field="4294967294" count="1" selected="0">
            <x v="19"/>
          </reference>
        </references>
      </pivotArea>
    </format>
    <format dxfId="2088">
      <pivotArea field="0" dataOnly="0" labelOnly="1" grandRow="1" outline="0" axis="axisRow" fieldPosition="0">
        <references count="1">
          <reference field="4294967294" count="1" selected="0">
            <x v="20"/>
          </reference>
        </references>
      </pivotArea>
    </format>
    <format dxfId="2087">
      <pivotArea field="0" dataOnly="0" labelOnly="1" grandRow="1" outline="0" axis="axisRow" fieldPosition="0">
        <references count="1">
          <reference field="4294967294" count="1" selected="0">
            <x v="21"/>
          </reference>
        </references>
      </pivotArea>
    </format>
    <format dxfId="2086">
      <pivotArea field="0" dataOnly="0" labelOnly="1" grandRow="1" outline="0" axis="axisRow" fieldPosition="0">
        <references count="1">
          <reference field="4294967294" count="1" selected="0">
            <x v="22"/>
          </reference>
        </references>
      </pivotArea>
    </format>
    <format dxfId="2085">
      <pivotArea field="0" dataOnly="0" labelOnly="1" grandRow="1" outline="0" axis="axisRow" fieldPosition="0">
        <references count="1">
          <reference field="4294967294" count="1" selected="0">
            <x v="23"/>
          </reference>
        </references>
      </pivotArea>
    </format>
    <format dxfId="2084">
      <pivotArea field="0" dataOnly="0" labelOnly="1" grandRow="1" outline="0" axis="axisRow" fieldPosition="0">
        <references count="1">
          <reference field="4294967294" count="1" selected="0">
            <x v="24"/>
          </reference>
        </references>
      </pivotArea>
    </format>
    <format dxfId="2083">
      <pivotArea field="0" dataOnly="0" labelOnly="1" grandRow="1" outline="0" axis="axisRow" fieldPosition="0">
        <references count="1">
          <reference field="4294967294" count="1" selected="0">
            <x v="25"/>
          </reference>
        </references>
      </pivotArea>
    </format>
    <format dxfId="2082">
      <pivotArea field="0" dataOnly="0" labelOnly="1" grandRow="1" outline="0" axis="axisRow" fieldPosition="0">
        <references count="1">
          <reference field="4294967294" count="1" selected="0">
            <x v="26"/>
          </reference>
        </references>
      </pivotArea>
    </format>
    <format dxfId="2081">
      <pivotArea field="0" dataOnly="0" labelOnly="1" grandRow="1" outline="0" axis="axisRow" fieldPosition="0">
        <references count="1">
          <reference field="4294967294" count="1" selected="0">
            <x v="27"/>
          </reference>
        </references>
      </pivotArea>
    </format>
    <format dxfId="2080">
      <pivotArea field="0" dataOnly="0" labelOnly="1" grandRow="1" outline="0" axis="axisRow" fieldPosition="0">
        <references count="1">
          <reference field="4294967294" count="1" selected="0">
            <x v="28"/>
          </reference>
        </references>
      </pivotArea>
    </format>
    <format dxfId="2079">
      <pivotArea field="0" dataOnly="0" labelOnly="1" grandRow="1" outline="0" axis="axisRow" fieldPosition="0">
        <references count="1">
          <reference field="4294967294" count="1" selected="0">
            <x v="29"/>
          </reference>
        </references>
      </pivotArea>
    </format>
    <format dxfId="2078">
      <pivotArea field="0" dataOnly="0" labelOnly="1" grandRow="1" outline="0" axis="axisRow" fieldPosition="0">
        <references count="1">
          <reference field="4294967294" count="1" selected="0">
            <x v="30"/>
          </reference>
        </references>
      </pivotArea>
    </format>
    <format dxfId="2077">
      <pivotArea field="0" dataOnly="0" labelOnly="1" grandRow="1" outline="0" axis="axisRow" fieldPosition="0">
        <references count="1">
          <reference field="4294967294" count="1" selected="0">
            <x v="31"/>
          </reference>
        </references>
      </pivotArea>
    </format>
    <format dxfId="2076">
      <pivotArea field="0" dataOnly="0" labelOnly="1" grandRow="1" outline="0" axis="axisRow" fieldPosition="0">
        <references count="1">
          <reference field="4294967294" count="1" selected="0">
            <x v="32"/>
          </reference>
        </references>
      </pivotArea>
    </format>
    <format dxfId="2075">
      <pivotArea field="0" dataOnly="0" labelOnly="1" grandRow="1" outline="0" axis="axisRow" fieldPosition="0">
        <references count="1">
          <reference field="4294967294" count="1" selected="0">
            <x v="33"/>
          </reference>
        </references>
      </pivotArea>
    </format>
    <format dxfId="2074">
      <pivotArea field="0" dataOnly="0" labelOnly="1" grandRow="1" outline="0" axis="axisRow" fieldPosition="0">
        <references count="1">
          <reference field="4294967294" count="1" selected="0">
            <x v="34"/>
          </reference>
        </references>
      </pivotArea>
    </format>
    <format dxfId="2073">
      <pivotArea field="0" dataOnly="0" labelOnly="1" grandRow="1" outline="0" axis="axisRow" fieldPosition="0">
        <references count="1">
          <reference field="4294967294" count="1" selected="0">
            <x v="35"/>
          </reference>
        </references>
      </pivotArea>
    </format>
    <format dxfId="2072">
      <pivotArea field="0" dataOnly="0" labelOnly="1" grandRow="1" outline="0" axis="axisRow" fieldPosition="0">
        <references count="1">
          <reference field="4294967294" count="1" selected="0">
            <x v="0"/>
          </reference>
        </references>
      </pivotArea>
    </format>
    <format dxfId="2071">
      <pivotArea field="0" dataOnly="0" labelOnly="1" grandRow="1" outline="0" axis="axisRow" fieldPosition="0">
        <references count="1">
          <reference field="4294967294" count="1" selected="0">
            <x v="1"/>
          </reference>
        </references>
      </pivotArea>
    </format>
    <format dxfId="2070">
      <pivotArea field="0" dataOnly="0" labelOnly="1" grandRow="1" outline="0" axis="axisRow" fieldPosition="0">
        <references count="1">
          <reference field="4294967294" count="1" selected="0">
            <x v="2"/>
          </reference>
        </references>
      </pivotArea>
    </format>
    <format dxfId="2069">
      <pivotArea field="0" dataOnly="0" labelOnly="1" grandRow="1" outline="0" axis="axisRow" fieldPosition="0">
        <references count="1">
          <reference field="4294967294" count="1" selected="0">
            <x v="3"/>
          </reference>
        </references>
      </pivotArea>
    </format>
    <format dxfId="2068">
      <pivotArea field="0" dataOnly="0" labelOnly="1" grandRow="1" outline="0" axis="axisRow" fieldPosition="0">
        <references count="1">
          <reference field="4294967294" count="1" selected="0">
            <x v="4"/>
          </reference>
        </references>
      </pivotArea>
    </format>
    <format dxfId="2067">
      <pivotArea field="0" dataOnly="0" labelOnly="1" grandRow="1" outline="0" axis="axisRow" fieldPosition="0">
        <references count="1">
          <reference field="4294967294" count="1" selected="0">
            <x v="5"/>
          </reference>
        </references>
      </pivotArea>
    </format>
    <format dxfId="2066">
      <pivotArea field="0" dataOnly="0" labelOnly="1" grandRow="1" outline="0" axis="axisRow" fieldPosition="0">
        <references count="1">
          <reference field="4294967294" count="1" selected="0">
            <x v="6"/>
          </reference>
        </references>
      </pivotArea>
    </format>
    <format dxfId="2065">
      <pivotArea field="0" dataOnly="0" labelOnly="1" grandRow="1" outline="0" axis="axisRow" fieldPosition="0">
        <references count="1">
          <reference field="4294967294" count="1" selected="0">
            <x v="7"/>
          </reference>
        </references>
      </pivotArea>
    </format>
    <format dxfId="2064">
      <pivotArea field="0" dataOnly="0" labelOnly="1" grandRow="1" outline="0" axis="axisRow" fieldPosition="0">
        <references count="1">
          <reference field="4294967294" count="1" selected="0">
            <x v="8"/>
          </reference>
        </references>
      </pivotArea>
    </format>
    <format dxfId="2063">
      <pivotArea field="0" dataOnly="0" labelOnly="1" grandRow="1" outline="0" axis="axisRow" fieldPosition="0">
        <references count="1">
          <reference field="4294967294" count="1" selected="0">
            <x v="9"/>
          </reference>
        </references>
      </pivotArea>
    </format>
    <format dxfId="2062">
      <pivotArea field="0" dataOnly="0" labelOnly="1" grandRow="1" outline="0" axis="axisRow" fieldPosition="0">
        <references count="1">
          <reference field="4294967294" count="1" selected="0">
            <x v="10"/>
          </reference>
        </references>
      </pivotArea>
    </format>
    <format dxfId="2061">
      <pivotArea field="0" dataOnly="0" labelOnly="1" grandRow="1" outline="0" axis="axisRow" fieldPosition="0">
        <references count="1">
          <reference field="4294967294" count="1" selected="0">
            <x v="11"/>
          </reference>
        </references>
      </pivotArea>
    </format>
    <format dxfId="2060">
      <pivotArea field="0" dataOnly="0" labelOnly="1" grandRow="1" outline="0" axis="axisRow" fieldPosition="0">
        <references count="1">
          <reference field="4294967294" count="1" selected="0">
            <x v="12"/>
          </reference>
        </references>
      </pivotArea>
    </format>
    <format dxfId="2059">
      <pivotArea field="0" dataOnly="0" labelOnly="1" grandRow="1" outline="0" axis="axisRow" fieldPosition="0">
        <references count="1">
          <reference field="4294967294" count="1" selected="0">
            <x v="13"/>
          </reference>
        </references>
      </pivotArea>
    </format>
    <format dxfId="2058">
      <pivotArea field="0" dataOnly="0" labelOnly="1" grandRow="1" outline="0" axis="axisRow" fieldPosition="0">
        <references count="1">
          <reference field="4294967294" count="1" selected="0">
            <x v="14"/>
          </reference>
        </references>
      </pivotArea>
    </format>
    <format dxfId="2057">
      <pivotArea field="0" dataOnly="0" labelOnly="1" grandRow="1" outline="0" axis="axisRow" fieldPosition="0">
        <references count="1">
          <reference field="4294967294" count="1" selected="0">
            <x v="15"/>
          </reference>
        </references>
      </pivotArea>
    </format>
    <format dxfId="2056">
      <pivotArea field="0" dataOnly="0" labelOnly="1" grandRow="1" outline="0" axis="axisRow" fieldPosition="0">
        <references count="1">
          <reference field="4294967294" count="1" selected="0">
            <x v="16"/>
          </reference>
        </references>
      </pivotArea>
    </format>
    <format dxfId="2055">
      <pivotArea field="0" dataOnly="0" labelOnly="1" grandRow="1" outline="0" axis="axisRow" fieldPosition="0">
        <references count="1">
          <reference field="4294967294" count="1" selected="0">
            <x v="17"/>
          </reference>
        </references>
      </pivotArea>
    </format>
    <format dxfId="2054">
      <pivotArea field="0" dataOnly="0" labelOnly="1" grandRow="1" outline="0" axis="axisRow" fieldPosition="0">
        <references count="1">
          <reference field="4294967294" count="1" selected="0">
            <x v="18"/>
          </reference>
        </references>
      </pivotArea>
    </format>
    <format dxfId="2053">
      <pivotArea field="0" dataOnly="0" labelOnly="1" grandRow="1" outline="0" axis="axisRow" fieldPosition="0">
        <references count="1">
          <reference field="4294967294" count="1" selected="0">
            <x v="19"/>
          </reference>
        </references>
      </pivotArea>
    </format>
    <format dxfId="2052">
      <pivotArea field="0" dataOnly="0" labelOnly="1" grandRow="1" outline="0" axis="axisRow" fieldPosition="0">
        <references count="1">
          <reference field="4294967294" count="1" selected="0">
            <x v="20"/>
          </reference>
        </references>
      </pivotArea>
    </format>
    <format dxfId="2051">
      <pivotArea field="0" dataOnly="0" labelOnly="1" grandRow="1" outline="0" axis="axisRow" fieldPosition="0">
        <references count="1">
          <reference field="4294967294" count="1" selected="0">
            <x v="21"/>
          </reference>
        </references>
      </pivotArea>
    </format>
    <format dxfId="2050">
      <pivotArea field="0" dataOnly="0" labelOnly="1" grandRow="1" outline="0" axis="axisRow" fieldPosition="0">
        <references count="1">
          <reference field="4294967294" count="1" selected="0">
            <x v="22"/>
          </reference>
        </references>
      </pivotArea>
    </format>
    <format dxfId="2049">
      <pivotArea field="0" dataOnly="0" labelOnly="1" grandRow="1" outline="0" axis="axisRow" fieldPosition="0">
        <references count="1">
          <reference field="4294967294" count="1" selected="0">
            <x v="23"/>
          </reference>
        </references>
      </pivotArea>
    </format>
    <format dxfId="2048">
      <pivotArea field="0" dataOnly="0" labelOnly="1" grandRow="1" outline="0" axis="axisRow" fieldPosition="0">
        <references count="1">
          <reference field="4294967294" count="1" selected="0">
            <x v="24"/>
          </reference>
        </references>
      </pivotArea>
    </format>
    <format dxfId="2047">
      <pivotArea field="0" dataOnly="0" labelOnly="1" grandRow="1" outline="0" axis="axisRow" fieldPosition="0">
        <references count="1">
          <reference field="4294967294" count="1" selected="0">
            <x v="25"/>
          </reference>
        </references>
      </pivotArea>
    </format>
    <format dxfId="2046">
      <pivotArea field="0" dataOnly="0" labelOnly="1" grandRow="1" outline="0" axis="axisRow" fieldPosition="0">
        <references count="1">
          <reference field="4294967294" count="1" selected="0">
            <x v="26"/>
          </reference>
        </references>
      </pivotArea>
    </format>
    <format dxfId="2045">
      <pivotArea field="0" dataOnly="0" labelOnly="1" grandRow="1" outline="0" axis="axisRow" fieldPosition="0">
        <references count="1">
          <reference field="4294967294" count="1" selected="0">
            <x v="27"/>
          </reference>
        </references>
      </pivotArea>
    </format>
    <format dxfId="2044">
      <pivotArea field="0" dataOnly="0" labelOnly="1" grandRow="1" outline="0" axis="axisRow" fieldPosition="0">
        <references count="1">
          <reference field="4294967294" count="1" selected="0">
            <x v="28"/>
          </reference>
        </references>
      </pivotArea>
    </format>
    <format dxfId="2043">
      <pivotArea field="0" dataOnly="0" labelOnly="1" grandRow="1" outline="0" axis="axisRow" fieldPosition="0">
        <references count="1">
          <reference field="4294967294" count="1" selected="0">
            <x v="29"/>
          </reference>
        </references>
      </pivotArea>
    </format>
    <format dxfId="2042">
      <pivotArea field="0" dataOnly="0" labelOnly="1" grandRow="1" outline="0" axis="axisRow" fieldPosition="0">
        <references count="1">
          <reference field="4294967294" count="1" selected="0">
            <x v="30"/>
          </reference>
        </references>
      </pivotArea>
    </format>
    <format dxfId="2041">
      <pivotArea field="0" dataOnly="0" labelOnly="1" grandRow="1" outline="0" axis="axisRow" fieldPosition="0">
        <references count="1">
          <reference field="4294967294" count="1" selected="0">
            <x v="31"/>
          </reference>
        </references>
      </pivotArea>
    </format>
    <format dxfId="2040">
      <pivotArea field="0" dataOnly="0" labelOnly="1" grandRow="1" outline="0" axis="axisRow" fieldPosition="0">
        <references count="1">
          <reference field="4294967294" count="1" selected="0">
            <x v="32"/>
          </reference>
        </references>
      </pivotArea>
    </format>
    <format dxfId="2039">
      <pivotArea field="0" dataOnly="0" labelOnly="1" grandRow="1" outline="0" axis="axisRow" fieldPosition="0">
        <references count="1">
          <reference field="4294967294" count="1" selected="0">
            <x v="33"/>
          </reference>
        </references>
      </pivotArea>
    </format>
    <format dxfId="2038">
      <pivotArea field="0" dataOnly="0" labelOnly="1" grandRow="1" outline="0" axis="axisRow" fieldPosition="0">
        <references count="1">
          <reference field="4294967294" count="1" selected="0">
            <x v="34"/>
          </reference>
        </references>
      </pivotArea>
    </format>
    <format dxfId="2037">
      <pivotArea field="0" dataOnly="0" labelOnly="1" grandRow="1" outline="0" axis="axisRow" fieldPosition="0">
        <references count="1">
          <reference field="4294967294" count="1" selected="0">
            <x v="35"/>
          </reference>
        </references>
      </pivotArea>
    </format>
    <format dxfId="2036">
      <pivotArea field="0" dataOnly="0" labelOnly="1" grandRow="1" outline="0" axis="axisRow" fieldPosition="0">
        <references count="1">
          <reference field="4294967294" count="1" selected="0">
            <x v="0"/>
          </reference>
        </references>
      </pivotArea>
    </format>
    <format dxfId="2035">
      <pivotArea field="0" dataOnly="0" labelOnly="1" grandRow="1" outline="0" axis="axisRow" fieldPosition="0">
        <references count="1">
          <reference field="4294967294" count="1" selected="0">
            <x v="1"/>
          </reference>
        </references>
      </pivotArea>
    </format>
    <format dxfId="2034">
      <pivotArea field="0" dataOnly="0" labelOnly="1" grandRow="1" outline="0" axis="axisRow" fieldPosition="0">
        <references count="1">
          <reference field="4294967294" count="1" selected="0">
            <x v="2"/>
          </reference>
        </references>
      </pivotArea>
    </format>
    <format dxfId="2033">
      <pivotArea field="0" dataOnly="0" labelOnly="1" grandRow="1" outline="0" axis="axisRow" fieldPosition="0">
        <references count="1">
          <reference field="4294967294" count="1" selected="0">
            <x v="3"/>
          </reference>
        </references>
      </pivotArea>
    </format>
    <format dxfId="2032">
      <pivotArea field="0" dataOnly="0" labelOnly="1" grandRow="1" outline="0" axis="axisRow" fieldPosition="0">
        <references count="1">
          <reference field="4294967294" count="1" selected="0">
            <x v="4"/>
          </reference>
        </references>
      </pivotArea>
    </format>
    <format dxfId="2031">
      <pivotArea field="0" dataOnly="0" labelOnly="1" grandRow="1" outline="0" axis="axisRow" fieldPosition="0">
        <references count="1">
          <reference field="4294967294" count="1" selected="0">
            <x v="5"/>
          </reference>
        </references>
      </pivotArea>
    </format>
    <format dxfId="2030">
      <pivotArea field="0" dataOnly="0" labelOnly="1" grandRow="1" outline="0" axis="axisRow" fieldPosition="0">
        <references count="1">
          <reference field="4294967294" count="1" selected="0">
            <x v="6"/>
          </reference>
        </references>
      </pivotArea>
    </format>
    <format dxfId="2029">
      <pivotArea field="0" dataOnly="0" labelOnly="1" grandRow="1" outline="0" axis="axisRow" fieldPosition="0">
        <references count="1">
          <reference field="4294967294" count="1" selected="0">
            <x v="7"/>
          </reference>
        </references>
      </pivotArea>
    </format>
    <format dxfId="2028">
      <pivotArea field="0" dataOnly="0" labelOnly="1" grandRow="1" outline="0" axis="axisRow" fieldPosition="0">
        <references count="1">
          <reference field="4294967294" count="1" selected="0">
            <x v="8"/>
          </reference>
        </references>
      </pivotArea>
    </format>
    <format dxfId="2027">
      <pivotArea field="0" dataOnly="0" labelOnly="1" grandRow="1" outline="0" axis="axisRow" fieldPosition="0">
        <references count="1">
          <reference field="4294967294" count="1" selected="0">
            <x v="9"/>
          </reference>
        </references>
      </pivotArea>
    </format>
    <format dxfId="2026">
      <pivotArea field="0" dataOnly="0" labelOnly="1" grandRow="1" outline="0" axis="axisRow" fieldPosition="0">
        <references count="1">
          <reference field="4294967294" count="1" selected="0">
            <x v="10"/>
          </reference>
        </references>
      </pivotArea>
    </format>
    <format dxfId="2025">
      <pivotArea field="0" dataOnly="0" labelOnly="1" grandRow="1" outline="0" axis="axisRow" fieldPosition="0">
        <references count="1">
          <reference field="4294967294" count="1" selected="0">
            <x v="11"/>
          </reference>
        </references>
      </pivotArea>
    </format>
    <format dxfId="2024">
      <pivotArea field="0" dataOnly="0" labelOnly="1" grandRow="1" outline="0" axis="axisRow" fieldPosition="0">
        <references count="1">
          <reference field="4294967294" count="1" selected="0">
            <x v="12"/>
          </reference>
        </references>
      </pivotArea>
    </format>
    <format dxfId="2023">
      <pivotArea field="0" dataOnly="0" labelOnly="1" grandRow="1" outline="0" axis="axisRow" fieldPosition="0">
        <references count="1">
          <reference field="4294967294" count="1" selected="0">
            <x v="13"/>
          </reference>
        </references>
      </pivotArea>
    </format>
    <format dxfId="2022">
      <pivotArea field="0" dataOnly="0" labelOnly="1" grandRow="1" outline="0" axis="axisRow" fieldPosition="0">
        <references count="1">
          <reference field="4294967294" count="1" selected="0">
            <x v="14"/>
          </reference>
        </references>
      </pivotArea>
    </format>
    <format dxfId="2021">
      <pivotArea field="0" dataOnly="0" labelOnly="1" grandRow="1" outline="0" axis="axisRow" fieldPosition="0">
        <references count="1">
          <reference field="4294967294" count="1" selected="0">
            <x v="15"/>
          </reference>
        </references>
      </pivotArea>
    </format>
    <format dxfId="2020">
      <pivotArea field="0" dataOnly="0" labelOnly="1" grandRow="1" outline="0" axis="axisRow" fieldPosition="0">
        <references count="1">
          <reference field="4294967294" count="1" selected="0">
            <x v="16"/>
          </reference>
        </references>
      </pivotArea>
    </format>
    <format dxfId="2019">
      <pivotArea field="0" dataOnly="0" labelOnly="1" grandRow="1" outline="0" axis="axisRow" fieldPosition="0">
        <references count="1">
          <reference field="4294967294" count="1" selected="0">
            <x v="17"/>
          </reference>
        </references>
      </pivotArea>
    </format>
    <format dxfId="2018">
      <pivotArea field="0" dataOnly="0" labelOnly="1" grandRow="1" outline="0" axis="axisRow" fieldPosition="0">
        <references count="1">
          <reference field="4294967294" count="1" selected="0">
            <x v="18"/>
          </reference>
        </references>
      </pivotArea>
    </format>
    <format dxfId="2017">
      <pivotArea field="0" dataOnly="0" labelOnly="1" grandRow="1" outline="0" axis="axisRow" fieldPosition="0">
        <references count="1">
          <reference field="4294967294" count="1" selected="0">
            <x v="19"/>
          </reference>
        </references>
      </pivotArea>
    </format>
    <format dxfId="2016">
      <pivotArea field="0" dataOnly="0" labelOnly="1" grandRow="1" outline="0" axis="axisRow" fieldPosition="0">
        <references count="1">
          <reference field="4294967294" count="1" selected="0">
            <x v="20"/>
          </reference>
        </references>
      </pivotArea>
    </format>
    <format dxfId="2015">
      <pivotArea field="0" dataOnly="0" labelOnly="1" grandRow="1" outline="0" axis="axisRow" fieldPosition="0">
        <references count="1">
          <reference field="4294967294" count="1" selected="0">
            <x v="21"/>
          </reference>
        </references>
      </pivotArea>
    </format>
    <format dxfId="2014">
      <pivotArea field="0" dataOnly="0" labelOnly="1" grandRow="1" outline="0" axis="axisRow" fieldPosition="0">
        <references count="1">
          <reference field="4294967294" count="1" selected="0">
            <x v="22"/>
          </reference>
        </references>
      </pivotArea>
    </format>
    <format dxfId="2013">
      <pivotArea field="0" dataOnly="0" labelOnly="1" grandRow="1" outline="0" axis="axisRow" fieldPosition="0">
        <references count="1">
          <reference field="4294967294" count="1" selected="0">
            <x v="23"/>
          </reference>
        </references>
      </pivotArea>
    </format>
    <format dxfId="2012">
      <pivotArea field="0" dataOnly="0" labelOnly="1" grandRow="1" outline="0" axis="axisRow" fieldPosition="0">
        <references count="1">
          <reference field="4294967294" count="1" selected="0">
            <x v="24"/>
          </reference>
        </references>
      </pivotArea>
    </format>
    <format dxfId="2011">
      <pivotArea field="0" dataOnly="0" labelOnly="1" grandRow="1" outline="0" axis="axisRow" fieldPosition="0">
        <references count="1">
          <reference field="4294967294" count="1" selected="0">
            <x v="25"/>
          </reference>
        </references>
      </pivotArea>
    </format>
    <format dxfId="2010">
      <pivotArea field="0" dataOnly="0" labelOnly="1" grandRow="1" outline="0" axis="axisRow" fieldPosition="0">
        <references count="1">
          <reference field="4294967294" count="1" selected="0">
            <x v="26"/>
          </reference>
        </references>
      </pivotArea>
    </format>
    <format dxfId="2009">
      <pivotArea field="0" dataOnly="0" labelOnly="1" grandRow="1" outline="0" axis="axisRow" fieldPosition="0">
        <references count="1">
          <reference field="4294967294" count="1" selected="0">
            <x v="27"/>
          </reference>
        </references>
      </pivotArea>
    </format>
    <format dxfId="2008">
      <pivotArea field="0" dataOnly="0" labelOnly="1" grandRow="1" outline="0" axis="axisRow" fieldPosition="0">
        <references count="1">
          <reference field="4294967294" count="1" selected="0">
            <x v="28"/>
          </reference>
        </references>
      </pivotArea>
    </format>
    <format dxfId="2007">
      <pivotArea field="0" dataOnly="0" labelOnly="1" grandRow="1" outline="0" axis="axisRow" fieldPosition="0">
        <references count="1">
          <reference field="4294967294" count="1" selected="0">
            <x v="29"/>
          </reference>
        </references>
      </pivotArea>
    </format>
    <format dxfId="2006">
      <pivotArea field="0" dataOnly="0" labelOnly="1" grandRow="1" outline="0" axis="axisRow" fieldPosition="0">
        <references count="1">
          <reference field="4294967294" count="1" selected="0">
            <x v="30"/>
          </reference>
        </references>
      </pivotArea>
    </format>
    <format dxfId="2005">
      <pivotArea field="0" dataOnly="0" labelOnly="1" grandRow="1" outline="0" axis="axisRow" fieldPosition="0">
        <references count="1">
          <reference field="4294967294" count="1" selected="0">
            <x v="31"/>
          </reference>
        </references>
      </pivotArea>
    </format>
    <format dxfId="2004">
      <pivotArea field="0" dataOnly="0" labelOnly="1" grandRow="1" outline="0" axis="axisRow" fieldPosition="0">
        <references count="1">
          <reference field="4294967294" count="1" selected="0">
            <x v="32"/>
          </reference>
        </references>
      </pivotArea>
    </format>
    <format dxfId="2003">
      <pivotArea field="0" dataOnly="0" labelOnly="1" grandRow="1" outline="0" axis="axisRow" fieldPosition="0">
        <references count="1">
          <reference field="4294967294" count="1" selected="0">
            <x v="33"/>
          </reference>
        </references>
      </pivotArea>
    </format>
    <format dxfId="2002">
      <pivotArea field="0" dataOnly="0" labelOnly="1" grandRow="1" outline="0" axis="axisRow" fieldPosition="0">
        <references count="1">
          <reference field="4294967294" count="1" selected="0">
            <x v="34"/>
          </reference>
        </references>
      </pivotArea>
    </format>
    <format dxfId="2001">
      <pivotArea field="0" dataOnly="0" labelOnly="1" grandRow="1" outline="0" axis="axisRow" fieldPosition="0">
        <references count="1">
          <reference field="4294967294" count="1" selected="0">
            <x v="35"/>
          </reference>
        </references>
      </pivotArea>
    </format>
    <format dxfId="2000">
      <pivotArea field="0" dataOnly="0" labelOnly="1" grandRow="1" outline="0" axis="axisRow" fieldPosition="0">
        <references count="1">
          <reference field="4294967294" count="1" selected="0">
            <x v="0"/>
          </reference>
        </references>
      </pivotArea>
    </format>
    <format dxfId="1999">
      <pivotArea field="0" dataOnly="0" labelOnly="1" grandRow="1" outline="0" axis="axisRow" fieldPosition="0">
        <references count="1">
          <reference field="4294967294" count="1" selected="0">
            <x v="1"/>
          </reference>
        </references>
      </pivotArea>
    </format>
    <format dxfId="1998">
      <pivotArea field="0" dataOnly="0" labelOnly="1" grandRow="1" outline="0" axis="axisRow" fieldPosition="0">
        <references count="1">
          <reference field="4294967294" count="1" selected="0">
            <x v="2"/>
          </reference>
        </references>
      </pivotArea>
    </format>
    <format dxfId="1997">
      <pivotArea field="0" dataOnly="0" labelOnly="1" grandRow="1" outline="0" axis="axisRow" fieldPosition="0">
        <references count="1">
          <reference field="4294967294" count="1" selected="0">
            <x v="3"/>
          </reference>
        </references>
      </pivotArea>
    </format>
    <format dxfId="1996">
      <pivotArea field="0" dataOnly="0" labelOnly="1" grandRow="1" outline="0" axis="axisRow" fieldPosition="0">
        <references count="1">
          <reference field="4294967294" count="1" selected="0">
            <x v="4"/>
          </reference>
        </references>
      </pivotArea>
    </format>
    <format dxfId="1995">
      <pivotArea field="0" dataOnly="0" labelOnly="1" grandRow="1" outline="0" axis="axisRow" fieldPosition="0">
        <references count="1">
          <reference field="4294967294" count="1" selected="0">
            <x v="5"/>
          </reference>
        </references>
      </pivotArea>
    </format>
    <format dxfId="1994">
      <pivotArea field="0" dataOnly="0" labelOnly="1" grandRow="1" outline="0" axis="axisRow" fieldPosition="0">
        <references count="1">
          <reference field="4294967294" count="1" selected="0">
            <x v="6"/>
          </reference>
        </references>
      </pivotArea>
    </format>
    <format dxfId="1993">
      <pivotArea field="0" dataOnly="0" labelOnly="1" grandRow="1" outline="0" axis="axisRow" fieldPosition="0">
        <references count="1">
          <reference field="4294967294" count="1" selected="0">
            <x v="7"/>
          </reference>
        </references>
      </pivotArea>
    </format>
    <format dxfId="1992">
      <pivotArea field="0" dataOnly="0" labelOnly="1" grandRow="1" outline="0" axis="axisRow" fieldPosition="0">
        <references count="1">
          <reference field="4294967294" count="1" selected="0">
            <x v="8"/>
          </reference>
        </references>
      </pivotArea>
    </format>
    <format dxfId="1991">
      <pivotArea field="0" dataOnly="0" labelOnly="1" grandRow="1" outline="0" axis="axisRow" fieldPosition="0">
        <references count="1">
          <reference field="4294967294" count="1" selected="0">
            <x v="9"/>
          </reference>
        </references>
      </pivotArea>
    </format>
    <format dxfId="1990">
      <pivotArea field="0" dataOnly="0" labelOnly="1" grandRow="1" outline="0" axis="axisRow" fieldPosition="0">
        <references count="1">
          <reference field="4294967294" count="1" selected="0">
            <x v="10"/>
          </reference>
        </references>
      </pivotArea>
    </format>
    <format dxfId="1989">
      <pivotArea field="0" dataOnly="0" labelOnly="1" grandRow="1" outline="0" axis="axisRow" fieldPosition="0">
        <references count="1">
          <reference field="4294967294" count="1" selected="0">
            <x v="11"/>
          </reference>
        </references>
      </pivotArea>
    </format>
    <format dxfId="1988">
      <pivotArea field="0" dataOnly="0" labelOnly="1" grandRow="1" outline="0" axis="axisRow" fieldPosition="0">
        <references count="1">
          <reference field="4294967294" count="1" selected="0">
            <x v="12"/>
          </reference>
        </references>
      </pivotArea>
    </format>
    <format dxfId="1987">
      <pivotArea field="0" dataOnly="0" labelOnly="1" grandRow="1" outline="0" axis="axisRow" fieldPosition="0">
        <references count="1">
          <reference field="4294967294" count="1" selected="0">
            <x v="13"/>
          </reference>
        </references>
      </pivotArea>
    </format>
    <format dxfId="1986">
      <pivotArea field="0" dataOnly="0" labelOnly="1" grandRow="1" outline="0" axis="axisRow" fieldPosition="0">
        <references count="1">
          <reference field="4294967294" count="1" selected="0">
            <x v="14"/>
          </reference>
        </references>
      </pivotArea>
    </format>
    <format dxfId="1985">
      <pivotArea field="0" dataOnly="0" labelOnly="1" grandRow="1" outline="0" axis="axisRow" fieldPosition="0">
        <references count="1">
          <reference field="4294967294" count="1" selected="0">
            <x v="15"/>
          </reference>
        </references>
      </pivotArea>
    </format>
    <format dxfId="1984">
      <pivotArea field="0" dataOnly="0" labelOnly="1" grandRow="1" outline="0" axis="axisRow" fieldPosition="0">
        <references count="1">
          <reference field="4294967294" count="1" selected="0">
            <x v="16"/>
          </reference>
        </references>
      </pivotArea>
    </format>
    <format dxfId="1983">
      <pivotArea field="0" dataOnly="0" labelOnly="1" grandRow="1" outline="0" axis="axisRow" fieldPosition="0">
        <references count="1">
          <reference field="4294967294" count="1" selected="0">
            <x v="17"/>
          </reference>
        </references>
      </pivotArea>
    </format>
    <format dxfId="1982">
      <pivotArea field="0" dataOnly="0" labelOnly="1" grandRow="1" outline="0" axis="axisRow" fieldPosition="0">
        <references count="1">
          <reference field="4294967294" count="1" selected="0">
            <x v="18"/>
          </reference>
        </references>
      </pivotArea>
    </format>
    <format dxfId="1981">
      <pivotArea field="0" dataOnly="0" labelOnly="1" grandRow="1" outline="0" axis="axisRow" fieldPosition="0">
        <references count="1">
          <reference field="4294967294" count="1" selected="0">
            <x v="19"/>
          </reference>
        </references>
      </pivotArea>
    </format>
    <format dxfId="1980">
      <pivotArea field="0" dataOnly="0" labelOnly="1" grandRow="1" outline="0" axis="axisRow" fieldPosition="0">
        <references count="1">
          <reference field="4294967294" count="1" selected="0">
            <x v="20"/>
          </reference>
        </references>
      </pivotArea>
    </format>
    <format dxfId="1979">
      <pivotArea field="0" dataOnly="0" labelOnly="1" grandRow="1" outline="0" axis="axisRow" fieldPosition="0">
        <references count="1">
          <reference field="4294967294" count="1" selected="0">
            <x v="21"/>
          </reference>
        </references>
      </pivotArea>
    </format>
    <format dxfId="1978">
      <pivotArea field="0" dataOnly="0" labelOnly="1" grandRow="1" outline="0" axis="axisRow" fieldPosition="0">
        <references count="1">
          <reference field="4294967294" count="1" selected="0">
            <x v="22"/>
          </reference>
        </references>
      </pivotArea>
    </format>
    <format dxfId="1977">
      <pivotArea field="0" dataOnly="0" labelOnly="1" grandRow="1" outline="0" axis="axisRow" fieldPosition="0">
        <references count="1">
          <reference field="4294967294" count="1" selected="0">
            <x v="23"/>
          </reference>
        </references>
      </pivotArea>
    </format>
    <format dxfId="1976">
      <pivotArea field="0" dataOnly="0" labelOnly="1" grandRow="1" outline="0" axis="axisRow" fieldPosition="0">
        <references count="1">
          <reference field="4294967294" count="1" selected="0">
            <x v="24"/>
          </reference>
        </references>
      </pivotArea>
    </format>
    <format dxfId="1975">
      <pivotArea field="0" dataOnly="0" labelOnly="1" grandRow="1" outline="0" axis="axisRow" fieldPosition="0">
        <references count="1">
          <reference field="4294967294" count="1" selected="0">
            <x v="25"/>
          </reference>
        </references>
      </pivotArea>
    </format>
    <format dxfId="1974">
      <pivotArea field="0" dataOnly="0" labelOnly="1" grandRow="1" outline="0" axis="axisRow" fieldPosition="0">
        <references count="1">
          <reference field="4294967294" count="1" selected="0">
            <x v="26"/>
          </reference>
        </references>
      </pivotArea>
    </format>
    <format dxfId="1973">
      <pivotArea field="0" dataOnly="0" labelOnly="1" grandRow="1" outline="0" axis="axisRow" fieldPosition="0">
        <references count="1">
          <reference field="4294967294" count="1" selected="0">
            <x v="27"/>
          </reference>
        </references>
      </pivotArea>
    </format>
    <format dxfId="1972">
      <pivotArea field="0" dataOnly="0" labelOnly="1" grandRow="1" outline="0" axis="axisRow" fieldPosition="0">
        <references count="1">
          <reference field="4294967294" count="1" selected="0">
            <x v="28"/>
          </reference>
        </references>
      </pivotArea>
    </format>
    <format dxfId="1971">
      <pivotArea field="0" dataOnly="0" labelOnly="1" grandRow="1" outline="0" axis="axisRow" fieldPosition="0">
        <references count="1">
          <reference field="4294967294" count="1" selected="0">
            <x v="29"/>
          </reference>
        </references>
      </pivotArea>
    </format>
    <format dxfId="1970">
      <pivotArea field="0" dataOnly="0" labelOnly="1" grandRow="1" outline="0" axis="axisRow" fieldPosition="0">
        <references count="1">
          <reference field="4294967294" count="1" selected="0">
            <x v="30"/>
          </reference>
        </references>
      </pivotArea>
    </format>
    <format dxfId="1969">
      <pivotArea field="0" dataOnly="0" labelOnly="1" grandRow="1" outline="0" axis="axisRow" fieldPosition="0">
        <references count="1">
          <reference field="4294967294" count="1" selected="0">
            <x v="31"/>
          </reference>
        </references>
      </pivotArea>
    </format>
    <format dxfId="1968">
      <pivotArea field="0" dataOnly="0" labelOnly="1" grandRow="1" outline="0" axis="axisRow" fieldPosition="0">
        <references count="1">
          <reference field="4294967294" count="1" selected="0">
            <x v="32"/>
          </reference>
        </references>
      </pivotArea>
    </format>
    <format dxfId="1967">
      <pivotArea field="0" dataOnly="0" labelOnly="1" grandRow="1" outline="0" axis="axisRow" fieldPosition="0">
        <references count="1">
          <reference field="4294967294" count="1" selected="0">
            <x v="33"/>
          </reference>
        </references>
      </pivotArea>
    </format>
    <format dxfId="1966">
      <pivotArea field="0" dataOnly="0" labelOnly="1" grandRow="1" outline="0" axis="axisRow" fieldPosition="0">
        <references count="1">
          <reference field="4294967294" count="1" selected="0">
            <x v="34"/>
          </reference>
        </references>
      </pivotArea>
    </format>
    <format dxfId="1965">
      <pivotArea field="0" dataOnly="0" labelOnly="1" grandRow="1" outline="0" axis="axisRow" fieldPosition="0">
        <references count="1">
          <reference field="4294967294" count="1" selected="0">
            <x v="35"/>
          </reference>
        </references>
      </pivotArea>
    </format>
    <format dxfId="1964">
      <pivotArea field="0" dataOnly="0" labelOnly="1" grandRow="1" outline="0" axis="axisRow" fieldPosition="0">
        <references count="1">
          <reference field="4294967294" count="1" selected="0">
            <x v="0"/>
          </reference>
        </references>
      </pivotArea>
    </format>
    <format dxfId="1963">
      <pivotArea field="0" dataOnly="0" labelOnly="1" grandRow="1" outline="0" axis="axisRow" fieldPosition="0">
        <references count="1">
          <reference field="4294967294" count="1" selected="0">
            <x v="1"/>
          </reference>
        </references>
      </pivotArea>
    </format>
    <format dxfId="1962">
      <pivotArea field="0" dataOnly="0" labelOnly="1" grandRow="1" outline="0" axis="axisRow" fieldPosition="0">
        <references count="1">
          <reference field="4294967294" count="1" selected="0">
            <x v="2"/>
          </reference>
        </references>
      </pivotArea>
    </format>
    <format dxfId="1961">
      <pivotArea field="0" dataOnly="0" labelOnly="1" grandRow="1" outline="0" axis="axisRow" fieldPosition="0">
        <references count="1">
          <reference field="4294967294" count="1" selected="0">
            <x v="3"/>
          </reference>
        </references>
      </pivotArea>
    </format>
    <format dxfId="1960">
      <pivotArea field="0" dataOnly="0" labelOnly="1" grandRow="1" outline="0" axis="axisRow" fieldPosition="0">
        <references count="1">
          <reference field="4294967294" count="1" selected="0">
            <x v="4"/>
          </reference>
        </references>
      </pivotArea>
    </format>
    <format dxfId="1959">
      <pivotArea field="0" dataOnly="0" labelOnly="1" grandRow="1" outline="0" axis="axisRow" fieldPosition="0">
        <references count="1">
          <reference field="4294967294" count="1" selected="0">
            <x v="5"/>
          </reference>
        </references>
      </pivotArea>
    </format>
    <format dxfId="1958">
      <pivotArea field="0" dataOnly="0" labelOnly="1" grandRow="1" outline="0" axis="axisRow" fieldPosition="0">
        <references count="1">
          <reference field="4294967294" count="1" selected="0">
            <x v="6"/>
          </reference>
        </references>
      </pivotArea>
    </format>
    <format dxfId="1957">
      <pivotArea field="0" dataOnly="0" labelOnly="1" grandRow="1" outline="0" axis="axisRow" fieldPosition="0">
        <references count="1">
          <reference field="4294967294" count="1" selected="0">
            <x v="7"/>
          </reference>
        </references>
      </pivotArea>
    </format>
    <format dxfId="1956">
      <pivotArea field="0" dataOnly="0" labelOnly="1" grandRow="1" outline="0" axis="axisRow" fieldPosition="0">
        <references count="1">
          <reference field="4294967294" count="1" selected="0">
            <x v="8"/>
          </reference>
        </references>
      </pivotArea>
    </format>
    <format dxfId="1955">
      <pivotArea field="0" dataOnly="0" labelOnly="1" grandRow="1" outline="0" axis="axisRow" fieldPosition="0">
        <references count="1">
          <reference field="4294967294" count="1" selected="0">
            <x v="9"/>
          </reference>
        </references>
      </pivotArea>
    </format>
    <format dxfId="1954">
      <pivotArea field="0" dataOnly="0" labelOnly="1" grandRow="1" outline="0" axis="axisRow" fieldPosition="0">
        <references count="1">
          <reference field="4294967294" count="1" selected="0">
            <x v="10"/>
          </reference>
        </references>
      </pivotArea>
    </format>
    <format dxfId="1953">
      <pivotArea field="0" dataOnly="0" labelOnly="1" grandRow="1" outline="0" axis="axisRow" fieldPosition="0">
        <references count="1">
          <reference field="4294967294" count="1" selected="0">
            <x v="11"/>
          </reference>
        </references>
      </pivotArea>
    </format>
    <format dxfId="1952">
      <pivotArea field="0" dataOnly="0" labelOnly="1" grandRow="1" outline="0" axis="axisRow" fieldPosition="0">
        <references count="1">
          <reference field="4294967294" count="1" selected="0">
            <x v="12"/>
          </reference>
        </references>
      </pivotArea>
    </format>
    <format dxfId="1951">
      <pivotArea field="0" dataOnly="0" labelOnly="1" grandRow="1" outline="0" axis="axisRow" fieldPosition="0">
        <references count="1">
          <reference field="4294967294" count="1" selected="0">
            <x v="13"/>
          </reference>
        </references>
      </pivotArea>
    </format>
    <format dxfId="1950">
      <pivotArea field="0" dataOnly="0" labelOnly="1" grandRow="1" outline="0" axis="axisRow" fieldPosition="0">
        <references count="1">
          <reference field="4294967294" count="1" selected="0">
            <x v="14"/>
          </reference>
        </references>
      </pivotArea>
    </format>
    <format dxfId="1949">
      <pivotArea field="0" dataOnly="0" labelOnly="1" grandRow="1" outline="0" axis="axisRow" fieldPosition="0">
        <references count="1">
          <reference field="4294967294" count="1" selected="0">
            <x v="15"/>
          </reference>
        </references>
      </pivotArea>
    </format>
    <format dxfId="1948">
      <pivotArea field="0" dataOnly="0" labelOnly="1" grandRow="1" outline="0" axis="axisRow" fieldPosition="0">
        <references count="1">
          <reference field="4294967294" count="1" selected="0">
            <x v="16"/>
          </reference>
        </references>
      </pivotArea>
    </format>
    <format dxfId="1947">
      <pivotArea field="0" dataOnly="0" labelOnly="1" grandRow="1" outline="0" axis="axisRow" fieldPosition="0">
        <references count="1">
          <reference field="4294967294" count="1" selected="0">
            <x v="17"/>
          </reference>
        </references>
      </pivotArea>
    </format>
    <format dxfId="1946">
      <pivotArea field="0" dataOnly="0" labelOnly="1" grandRow="1" outline="0" axis="axisRow" fieldPosition="0">
        <references count="1">
          <reference field="4294967294" count="1" selected="0">
            <x v="18"/>
          </reference>
        </references>
      </pivotArea>
    </format>
    <format dxfId="1945">
      <pivotArea field="0" dataOnly="0" labelOnly="1" grandRow="1" outline="0" axis="axisRow" fieldPosition="0">
        <references count="1">
          <reference field="4294967294" count="1" selected="0">
            <x v="19"/>
          </reference>
        </references>
      </pivotArea>
    </format>
    <format dxfId="1944">
      <pivotArea field="0" dataOnly="0" labelOnly="1" grandRow="1" outline="0" axis="axisRow" fieldPosition="0">
        <references count="1">
          <reference field="4294967294" count="1" selected="0">
            <x v="20"/>
          </reference>
        </references>
      </pivotArea>
    </format>
    <format dxfId="1943">
      <pivotArea field="0" dataOnly="0" labelOnly="1" grandRow="1" outline="0" axis="axisRow" fieldPosition="0">
        <references count="1">
          <reference field="4294967294" count="1" selected="0">
            <x v="21"/>
          </reference>
        </references>
      </pivotArea>
    </format>
    <format dxfId="1942">
      <pivotArea field="0" dataOnly="0" labelOnly="1" grandRow="1" outline="0" axis="axisRow" fieldPosition="0">
        <references count="1">
          <reference field="4294967294" count="1" selected="0">
            <x v="22"/>
          </reference>
        </references>
      </pivotArea>
    </format>
    <format dxfId="1941">
      <pivotArea field="0" dataOnly="0" labelOnly="1" grandRow="1" outline="0" axis="axisRow" fieldPosition="0">
        <references count="1">
          <reference field="4294967294" count="1" selected="0">
            <x v="23"/>
          </reference>
        </references>
      </pivotArea>
    </format>
    <format dxfId="1940">
      <pivotArea field="0" dataOnly="0" labelOnly="1" grandRow="1" outline="0" axis="axisRow" fieldPosition="0">
        <references count="1">
          <reference field="4294967294" count="1" selected="0">
            <x v="24"/>
          </reference>
        </references>
      </pivotArea>
    </format>
    <format dxfId="1939">
      <pivotArea field="0" dataOnly="0" labelOnly="1" grandRow="1" outline="0" axis="axisRow" fieldPosition="0">
        <references count="1">
          <reference field="4294967294" count="1" selected="0">
            <x v="25"/>
          </reference>
        </references>
      </pivotArea>
    </format>
    <format dxfId="1938">
      <pivotArea field="0" dataOnly="0" labelOnly="1" grandRow="1" outline="0" axis="axisRow" fieldPosition="0">
        <references count="1">
          <reference field="4294967294" count="1" selected="0">
            <x v="26"/>
          </reference>
        </references>
      </pivotArea>
    </format>
    <format dxfId="1937">
      <pivotArea field="0" dataOnly="0" labelOnly="1" grandRow="1" outline="0" axis="axisRow" fieldPosition="0">
        <references count="1">
          <reference field="4294967294" count="1" selected="0">
            <x v="27"/>
          </reference>
        </references>
      </pivotArea>
    </format>
    <format dxfId="1936">
      <pivotArea field="0" dataOnly="0" labelOnly="1" grandRow="1" outline="0" axis="axisRow" fieldPosition="0">
        <references count="1">
          <reference field="4294967294" count="1" selected="0">
            <x v="28"/>
          </reference>
        </references>
      </pivotArea>
    </format>
    <format dxfId="1935">
      <pivotArea field="0" dataOnly="0" labelOnly="1" grandRow="1" outline="0" axis="axisRow" fieldPosition="0">
        <references count="1">
          <reference field="4294967294" count="1" selected="0">
            <x v="29"/>
          </reference>
        </references>
      </pivotArea>
    </format>
    <format dxfId="1934">
      <pivotArea field="0" dataOnly="0" labelOnly="1" grandRow="1" outline="0" axis="axisRow" fieldPosition="0">
        <references count="1">
          <reference field="4294967294" count="1" selected="0">
            <x v="30"/>
          </reference>
        </references>
      </pivotArea>
    </format>
    <format dxfId="1933">
      <pivotArea field="0" dataOnly="0" labelOnly="1" grandRow="1" outline="0" axis="axisRow" fieldPosition="0">
        <references count="1">
          <reference field="4294967294" count="1" selected="0">
            <x v="31"/>
          </reference>
        </references>
      </pivotArea>
    </format>
    <format dxfId="1932">
      <pivotArea field="0" dataOnly="0" labelOnly="1" grandRow="1" outline="0" axis="axisRow" fieldPosition="0">
        <references count="1">
          <reference field="4294967294" count="1" selected="0">
            <x v="32"/>
          </reference>
        </references>
      </pivotArea>
    </format>
    <format dxfId="1931">
      <pivotArea field="0" dataOnly="0" labelOnly="1" grandRow="1" outline="0" axis="axisRow" fieldPosition="0">
        <references count="1">
          <reference field="4294967294" count="1" selected="0">
            <x v="33"/>
          </reference>
        </references>
      </pivotArea>
    </format>
    <format dxfId="1930">
      <pivotArea field="0" dataOnly="0" labelOnly="1" grandRow="1" outline="0" axis="axisRow" fieldPosition="0">
        <references count="1">
          <reference field="4294967294" count="1" selected="0">
            <x v="34"/>
          </reference>
        </references>
      </pivotArea>
    </format>
    <format dxfId="1929">
      <pivotArea field="0" dataOnly="0" labelOnly="1" grandRow="1" outline="0" axis="axisRow" fieldPosition="0">
        <references count="1">
          <reference field="4294967294" count="1" selected="0">
            <x v="35"/>
          </reference>
        </references>
      </pivotArea>
    </format>
    <format dxfId="1928">
      <pivotArea field="0" dataOnly="0" labelOnly="1" grandRow="1" outline="0" axis="axisRow" fieldPosition="0">
        <references count="1">
          <reference field="4294967294" count="1" selected="0">
            <x v="0"/>
          </reference>
        </references>
      </pivotArea>
    </format>
    <format dxfId="1927">
      <pivotArea field="0" dataOnly="0" labelOnly="1" grandRow="1" outline="0" axis="axisRow" fieldPosition="0">
        <references count="1">
          <reference field="4294967294" count="1" selected="0">
            <x v="1"/>
          </reference>
        </references>
      </pivotArea>
    </format>
    <format dxfId="1926">
      <pivotArea field="0" dataOnly="0" labelOnly="1" grandRow="1" outline="0" axis="axisRow" fieldPosition="0">
        <references count="1">
          <reference field="4294967294" count="1" selected="0">
            <x v="2"/>
          </reference>
        </references>
      </pivotArea>
    </format>
    <format dxfId="1925">
      <pivotArea field="0" dataOnly="0" labelOnly="1" grandRow="1" outline="0" axis="axisRow" fieldPosition="0">
        <references count="1">
          <reference field="4294967294" count="1" selected="0">
            <x v="3"/>
          </reference>
        </references>
      </pivotArea>
    </format>
    <format dxfId="1924">
      <pivotArea field="0" dataOnly="0" labelOnly="1" grandRow="1" outline="0" axis="axisRow" fieldPosition="0">
        <references count="1">
          <reference field="4294967294" count="1" selected="0">
            <x v="4"/>
          </reference>
        </references>
      </pivotArea>
    </format>
    <format dxfId="1923">
      <pivotArea field="0" dataOnly="0" labelOnly="1" grandRow="1" outline="0" axis="axisRow" fieldPosition="0">
        <references count="1">
          <reference field="4294967294" count="1" selected="0">
            <x v="5"/>
          </reference>
        </references>
      </pivotArea>
    </format>
    <format dxfId="1922">
      <pivotArea field="0" dataOnly="0" labelOnly="1" grandRow="1" outline="0" axis="axisRow" fieldPosition="0">
        <references count="1">
          <reference field="4294967294" count="1" selected="0">
            <x v="6"/>
          </reference>
        </references>
      </pivotArea>
    </format>
    <format dxfId="1921">
      <pivotArea field="0" dataOnly="0" labelOnly="1" grandRow="1" outline="0" axis="axisRow" fieldPosition="0">
        <references count="1">
          <reference field="4294967294" count="1" selected="0">
            <x v="7"/>
          </reference>
        </references>
      </pivotArea>
    </format>
    <format dxfId="1920">
      <pivotArea field="0" dataOnly="0" labelOnly="1" grandRow="1" outline="0" axis="axisRow" fieldPosition="0">
        <references count="1">
          <reference field="4294967294" count="1" selected="0">
            <x v="8"/>
          </reference>
        </references>
      </pivotArea>
    </format>
    <format dxfId="1919">
      <pivotArea field="0" dataOnly="0" labelOnly="1" grandRow="1" outline="0" axis="axisRow" fieldPosition="0">
        <references count="1">
          <reference field="4294967294" count="1" selected="0">
            <x v="9"/>
          </reference>
        </references>
      </pivotArea>
    </format>
    <format dxfId="1918">
      <pivotArea field="0" dataOnly="0" labelOnly="1" grandRow="1" outline="0" axis="axisRow" fieldPosition="0">
        <references count="1">
          <reference field="4294967294" count="1" selected="0">
            <x v="10"/>
          </reference>
        </references>
      </pivotArea>
    </format>
    <format dxfId="1917">
      <pivotArea field="0" dataOnly="0" labelOnly="1" grandRow="1" outline="0" axis="axisRow" fieldPosition="0">
        <references count="1">
          <reference field="4294967294" count="1" selected="0">
            <x v="11"/>
          </reference>
        </references>
      </pivotArea>
    </format>
    <format dxfId="1916">
      <pivotArea field="0" dataOnly="0" labelOnly="1" grandRow="1" outline="0" axis="axisRow" fieldPosition="0">
        <references count="1">
          <reference field="4294967294" count="1" selected="0">
            <x v="12"/>
          </reference>
        </references>
      </pivotArea>
    </format>
    <format dxfId="1915">
      <pivotArea field="0" dataOnly="0" labelOnly="1" grandRow="1" outline="0" axis="axisRow" fieldPosition="0">
        <references count="1">
          <reference field="4294967294" count="1" selected="0">
            <x v="13"/>
          </reference>
        </references>
      </pivotArea>
    </format>
    <format dxfId="1914">
      <pivotArea field="0" dataOnly="0" labelOnly="1" grandRow="1" outline="0" axis="axisRow" fieldPosition="0">
        <references count="1">
          <reference field="4294967294" count="1" selected="0">
            <x v="14"/>
          </reference>
        </references>
      </pivotArea>
    </format>
    <format dxfId="1913">
      <pivotArea field="0" dataOnly="0" labelOnly="1" grandRow="1" outline="0" axis="axisRow" fieldPosition="0">
        <references count="1">
          <reference field="4294967294" count="1" selected="0">
            <x v="15"/>
          </reference>
        </references>
      </pivotArea>
    </format>
    <format dxfId="1912">
      <pivotArea field="0" dataOnly="0" labelOnly="1" grandRow="1" outline="0" axis="axisRow" fieldPosition="0">
        <references count="1">
          <reference field="4294967294" count="1" selected="0">
            <x v="16"/>
          </reference>
        </references>
      </pivotArea>
    </format>
    <format dxfId="1911">
      <pivotArea field="0" dataOnly="0" labelOnly="1" grandRow="1" outline="0" axis="axisRow" fieldPosition="0">
        <references count="1">
          <reference field="4294967294" count="1" selected="0">
            <x v="17"/>
          </reference>
        </references>
      </pivotArea>
    </format>
    <format dxfId="1910">
      <pivotArea field="0" dataOnly="0" labelOnly="1" grandRow="1" outline="0" axis="axisRow" fieldPosition="0">
        <references count="1">
          <reference field="4294967294" count="1" selected="0">
            <x v="18"/>
          </reference>
        </references>
      </pivotArea>
    </format>
    <format dxfId="1909">
      <pivotArea field="0" dataOnly="0" labelOnly="1" grandRow="1" outline="0" axis="axisRow" fieldPosition="0">
        <references count="1">
          <reference field="4294967294" count="1" selected="0">
            <x v="19"/>
          </reference>
        </references>
      </pivotArea>
    </format>
    <format dxfId="1908">
      <pivotArea field="0" dataOnly="0" labelOnly="1" grandRow="1" outline="0" axis="axisRow" fieldPosition="0">
        <references count="1">
          <reference field="4294967294" count="1" selected="0">
            <x v="20"/>
          </reference>
        </references>
      </pivotArea>
    </format>
    <format dxfId="1907">
      <pivotArea field="0" dataOnly="0" labelOnly="1" grandRow="1" outline="0" axis="axisRow" fieldPosition="0">
        <references count="1">
          <reference field="4294967294" count="1" selected="0">
            <x v="21"/>
          </reference>
        </references>
      </pivotArea>
    </format>
    <format dxfId="1906">
      <pivotArea field="0" dataOnly="0" labelOnly="1" grandRow="1" outline="0" axis="axisRow" fieldPosition="0">
        <references count="1">
          <reference field="4294967294" count="1" selected="0">
            <x v="22"/>
          </reference>
        </references>
      </pivotArea>
    </format>
    <format dxfId="1905">
      <pivotArea field="0" dataOnly="0" labelOnly="1" grandRow="1" outline="0" axis="axisRow" fieldPosition="0">
        <references count="1">
          <reference field="4294967294" count="1" selected="0">
            <x v="23"/>
          </reference>
        </references>
      </pivotArea>
    </format>
    <format dxfId="1904">
      <pivotArea field="0" dataOnly="0" labelOnly="1" grandRow="1" outline="0" axis="axisRow" fieldPosition="0">
        <references count="1">
          <reference field="4294967294" count="1" selected="0">
            <x v="24"/>
          </reference>
        </references>
      </pivotArea>
    </format>
    <format dxfId="1903">
      <pivotArea field="0" dataOnly="0" labelOnly="1" grandRow="1" outline="0" axis="axisRow" fieldPosition="0">
        <references count="1">
          <reference field="4294967294" count="1" selected="0">
            <x v="25"/>
          </reference>
        </references>
      </pivotArea>
    </format>
    <format dxfId="1902">
      <pivotArea field="0" dataOnly="0" labelOnly="1" grandRow="1" outline="0" axis="axisRow" fieldPosition="0">
        <references count="1">
          <reference field="4294967294" count="1" selected="0">
            <x v="26"/>
          </reference>
        </references>
      </pivotArea>
    </format>
    <format dxfId="1901">
      <pivotArea field="0" dataOnly="0" labelOnly="1" grandRow="1" outline="0" axis="axisRow" fieldPosition="0">
        <references count="1">
          <reference field="4294967294" count="1" selected="0">
            <x v="27"/>
          </reference>
        </references>
      </pivotArea>
    </format>
    <format dxfId="1900">
      <pivotArea field="0" dataOnly="0" labelOnly="1" grandRow="1" outline="0" axis="axisRow" fieldPosition="0">
        <references count="1">
          <reference field="4294967294" count="1" selected="0">
            <x v="28"/>
          </reference>
        </references>
      </pivotArea>
    </format>
    <format dxfId="1899">
      <pivotArea field="0" dataOnly="0" labelOnly="1" grandRow="1" outline="0" axis="axisRow" fieldPosition="0">
        <references count="1">
          <reference field="4294967294" count="1" selected="0">
            <x v="29"/>
          </reference>
        </references>
      </pivotArea>
    </format>
    <format dxfId="1898">
      <pivotArea field="0" dataOnly="0" labelOnly="1" grandRow="1" outline="0" axis="axisRow" fieldPosition="0">
        <references count="1">
          <reference field="4294967294" count="1" selected="0">
            <x v="30"/>
          </reference>
        </references>
      </pivotArea>
    </format>
    <format dxfId="1897">
      <pivotArea field="0" dataOnly="0" labelOnly="1" grandRow="1" outline="0" axis="axisRow" fieldPosition="0">
        <references count="1">
          <reference field="4294967294" count="1" selected="0">
            <x v="31"/>
          </reference>
        </references>
      </pivotArea>
    </format>
    <format dxfId="1896">
      <pivotArea field="0" dataOnly="0" labelOnly="1" grandRow="1" outline="0" axis="axisRow" fieldPosition="0">
        <references count="1">
          <reference field="4294967294" count="1" selected="0">
            <x v="32"/>
          </reference>
        </references>
      </pivotArea>
    </format>
    <format dxfId="1895">
      <pivotArea field="0" dataOnly="0" labelOnly="1" grandRow="1" outline="0" axis="axisRow" fieldPosition="0">
        <references count="1">
          <reference field="4294967294" count="1" selected="0">
            <x v="33"/>
          </reference>
        </references>
      </pivotArea>
    </format>
    <format dxfId="1894">
      <pivotArea field="0" dataOnly="0" labelOnly="1" grandRow="1" outline="0" axis="axisRow" fieldPosition="0">
        <references count="1">
          <reference field="4294967294" count="1" selected="0">
            <x v="34"/>
          </reference>
        </references>
      </pivotArea>
    </format>
    <format dxfId="1893">
      <pivotArea field="0" dataOnly="0" labelOnly="1" grandRow="1" outline="0" axis="axisRow" fieldPosition="0">
        <references count="1">
          <reference field="4294967294" count="1" selected="0">
            <x v="35"/>
          </reference>
        </references>
      </pivotArea>
    </format>
    <format dxfId="1892">
      <pivotArea field="0" dataOnly="0" labelOnly="1" grandRow="1" outline="0" axis="axisRow" fieldPosition="0">
        <references count="1">
          <reference field="4294967294" count="1" selected="0">
            <x v="0"/>
          </reference>
        </references>
      </pivotArea>
    </format>
    <format dxfId="1891">
      <pivotArea field="0" dataOnly="0" labelOnly="1" grandRow="1" outline="0" axis="axisRow" fieldPosition="0">
        <references count="1">
          <reference field="4294967294" count="1" selected="0">
            <x v="1"/>
          </reference>
        </references>
      </pivotArea>
    </format>
    <format dxfId="1890">
      <pivotArea field="0" dataOnly="0" labelOnly="1" grandRow="1" outline="0" axis="axisRow" fieldPosition="0">
        <references count="1">
          <reference field="4294967294" count="1" selected="0">
            <x v="2"/>
          </reference>
        </references>
      </pivotArea>
    </format>
    <format dxfId="1889">
      <pivotArea field="0" dataOnly="0" labelOnly="1" grandRow="1" outline="0" axis="axisRow" fieldPosition="0">
        <references count="1">
          <reference field="4294967294" count="1" selected="0">
            <x v="3"/>
          </reference>
        </references>
      </pivotArea>
    </format>
    <format dxfId="1888">
      <pivotArea field="0" dataOnly="0" labelOnly="1" grandRow="1" outline="0" axis="axisRow" fieldPosition="0">
        <references count="1">
          <reference field="4294967294" count="1" selected="0">
            <x v="4"/>
          </reference>
        </references>
      </pivotArea>
    </format>
    <format dxfId="1887">
      <pivotArea field="0" dataOnly="0" labelOnly="1" grandRow="1" outline="0" axis="axisRow" fieldPosition="0">
        <references count="1">
          <reference field="4294967294" count="1" selected="0">
            <x v="5"/>
          </reference>
        </references>
      </pivotArea>
    </format>
    <format dxfId="1886">
      <pivotArea field="0" dataOnly="0" labelOnly="1" grandRow="1" outline="0" axis="axisRow" fieldPosition="0">
        <references count="1">
          <reference field="4294967294" count="1" selected="0">
            <x v="6"/>
          </reference>
        </references>
      </pivotArea>
    </format>
    <format dxfId="1885">
      <pivotArea field="0" dataOnly="0" labelOnly="1" grandRow="1" outline="0" axis="axisRow" fieldPosition="0">
        <references count="1">
          <reference field="4294967294" count="1" selected="0">
            <x v="7"/>
          </reference>
        </references>
      </pivotArea>
    </format>
    <format dxfId="1884">
      <pivotArea field="0" dataOnly="0" labelOnly="1" grandRow="1" outline="0" axis="axisRow" fieldPosition="0">
        <references count="1">
          <reference field="4294967294" count="1" selected="0">
            <x v="8"/>
          </reference>
        </references>
      </pivotArea>
    </format>
    <format dxfId="1883">
      <pivotArea field="0" dataOnly="0" labelOnly="1" grandRow="1" outline="0" axis="axisRow" fieldPosition="0">
        <references count="1">
          <reference field="4294967294" count="1" selected="0">
            <x v="9"/>
          </reference>
        </references>
      </pivotArea>
    </format>
    <format dxfId="1882">
      <pivotArea field="0" dataOnly="0" labelOnly="1" grandRow="1" outline="0" axis="axisRow" fieldPosition="0">
        <references count="1">
          <reference field="4294967294" count="1" selected="0">
            <x v="10"/>
          </reference>
        </references>
      </pivotArea>
    </format>
    <format dxfId="1881">
      <pivotArea field="0" dataOnly="0" labelOnly="1" grandRow="1" outline="0" axis="axisRow" fieldPosition="0">
        <references count="1">
          <reference field="4294967294" count="1" selected="0">
            <x v="11"/>
          </reference>
        </references>
      </pivotArea>
    </format>
    <format dxfId="1880">
      <pivotArea field="0" dataOnly="0" labelOnly="1" grandRow="1" outline="0" axis="axisRow" fieldPosition="0">
        <references count="1">
          <reference field="4294967294" count="1" selected="0">
            <x v="12"/>
          </reference>
        </references>
      </pivotArea>
    </format>
    <format dxfId="1879">
      <pivotArea field="0" dataOnly="0" labelOnly="1" grandRow="1" outline="0" axis="axisRow" fieldPosition="0">
        <references count="1">
          <reference field="4294967294" count="1" selected="0">
            <x v="13"/>
          </reference>
        </references>
      </pivotArea>
    </format>
    <format dxfId="1878">
      <pivotArea field="0" dataOnly="0" labelOnly="1" grandRow="1" outline="0" axis="axisRow" fieldPosition="0">
        <references count="1">
          <reference field="4294967294" count="1" selected="0">
            <x v="14"/>
          </reference>
        </references>
      </pivotArea>
    </format>
    <format dxfId="1877">
      <pivotArea field="0" dataOnly="0" labelOnly="1" grandRow="1" outline="0" axis="axisRow" fieldPosition="0">
        <references count="1">
          <reference field="4294967294" count="1" selected="0">
            <x v="15"/>
          </reference>
        </references>
      </pivotArea>
    </format>
    <format dxfId="1876">
      <pivotArea field="0" dataOnly="0" labelOnly="1" grandRow="1" outline="0" axis="axisRow" fieldPosition="0">
        <references count="1">
          <reference field="4294967294" count="1" selected="0">
            <x v="16"/>
          </reference>
        </references>
      </pivotArea>
    </format>
    <format dxfId="1875">
      <pivotArea field="0" dataOnly="0" labelOnly="1" grandRow="1" outline="0" axis="axisRow" fieldPosition="0">
        <references count="1">
          <reference field="4294967294" count="1" selected="0">
            <x v="17"/>
          </reference>
        </references>
      </pivotArea>
    </format>
    <format dxfId="1874">
      <pivotArea field="0" dataOnly="0" labelOnly="1" grandRow="1" outline="0" axis="axisRow" fieldPosition="0">
        <references count="1">
          <reference field="4294967294" count="1" selected="0">
            <x v="18"/>
          </reference>
        </references>
      </pivotArea>
    </format>
    <format dxfId="1873">
      <pivotArea field="0" dataOnly="0" labelOnly="1" grandRow="1" outline="0" axis="axisRow" fieldPosition="0">
        <references count="1">
          <reference field="4294967294" count="1" selected="0">
            <x v="19"/>
          </reference>
        </references>
      </pivotArea>
    </format>
    <format dxfId="1872">
      <pivotArea field="0" dataOnly="0" labelOnly="1" grandRow="1" outline="0" axis="axisRow" fieldPosition="0">
        <references count="1">
          <reference field="4294967294" count="1" selected="0">
            <x v="20"/>
          </reference>
        </references>
      </pivotArea>
    </format>
    <format dxfId="1871">
      <pivotArea field="0" dataOnly="0" labelOnly="1" grandRow="1" outline="0" axis="axisRow" fieldPosition="0">
        <references count="1">
          <reference field="4294967294" count="1" selected="0">
            <x v="21"/>
          </reference>
        </references>
      </pivotArea>
    </format>
    <format dxfId="1870">
      <pivotArea field="0" dataOnly="0" labelOnly="1" grandRow="1" outline="0" axis="axisRow" fieldPosition="0">
        <references count="1">
          <reference field="4294967294" count="1" selected="0">
            <x v="22"/>
          </reference>
        </references>
      </pivotArea>
    </format>
    <format dxfId="1869">
      <pivotArea field="0" dataOnly="0" labelOnly="1" grandRow="1" outline="0" axis="axisRow" fieldPosition="0">
        <references count="1">
          <reference field="4294967294" count="1" selected="0">
            <x v="23"/>
          </reference>
        </references>
      </pivotArea>
    </format>
    <format dxfId="1868">
      <pivotArea field="0" dataOnly="0" labelOnly="1" grandRow="1" outline="0" axis="axisRow" fieldPosition="0">
        <references count="1">
          <reference field="4294967294" count="1" selected="0">
            <x v="24"/>
          </reference>
        </references>
      </pivotArea>
    </format>
    <format dxfId="1867">
      <pivotArea field="0" dataOnly="0" labelOnly="1" grandRow="1" outline="0" axis="axisRow" fieldPosition="0">
        <references count="1">
          <reference field="4294967294" count="1" selected="0">
            <x v="25"/>
          </reference>
        </references>
      </pivotArea>
    </format>
    <format dxfId="1866">
      <pivotArea field="0" dataOnly="0" labelOnly="1" grandRow="1" outline="0" axis="axisRow" fieldPosition="0">
        <references count="1">
          <reference field="4294967294" count="1" selected="0">
            <x v="26"/>
          </reference>
        </references>
      </pivotArea>
    </format>
    <format dxfId="1865">
      <pivotArea field="0" dataOnly="0" labelOnly="1" grandRow="1" outline="0" axis="axisRow" fieldPosition="0">
        <references count="1">
          <reference field="4294967294" count="1" selected="0">
            <x v="27"/>
          </reference>
        </references>
      </pivotArea>
    </format>
    <format dxfId="1864">
      <pivotArea field="0" dataOnly="0" labelOnly="1" grandRow="1" outline="0" axis="axisRow" fieldPosition="0">
        <references count="1">
          <reference field="4294967294" count="1" selected="0">
            <x v="28"/>
          </reference>
        </references>
      </pivotArea>
    </format>
    <format dxfId="1863">
      <pivotArea field="0" dataOnly="0" labelOnly="1" grandRow="1" outline="0" axis="axisRow" fieldPosition="0">
        <references count="1">
          <reference field="4294967294" count="1" selected="0">
            <x v="29"/>
          </reference>
        </references>
      </pivotArea>
    </format>
    <format dxfId="1862">
      <pivotArea field="0" dataOnly="0" labelOnly="1" grandRow="1" outline="0" axis="axisRow" fieldPosition="0">
        <references count="1">
          <reference field="4294967294" count="1" selected="0">
            <x v="30"/>
          </reference>
        </references>
      </pivotArea>
    </format>
    <format dxfId="1861">
      <pivotArea field="0" dataOnly="0" labelOnly="1" grandRow="1" outline="0" axis="axisRow" fieldPosition="0">
        <references count="1">
          <reference field="4294967294" count="1" selected="0">
            <x v="31"/>
          </reference>
        </references>
      </pivotArea>
    </format>
    <format dxfId="1860">
      <pivotArea field="0" dataOnly="0" labelOnly="1" grandRow="1" outline="0" axis="axisRow" fieldPosition="0">
        <references count="1">
          <reference field="4294967294" count="1" selected="0">
            <x v="32"/>
          </reference>
        </references>
      </pivotArea>
    </format>
    <format dxfId="1859">
      <pivotArea field="0" dataOnly="0" labelOnly="1" grandRow="1" outline="0" axis="axisRow" fieldPosition="0">
        <references count="1">
          <reference field="4294967294" count="1" selected="0">
            <x v="33"/>
          </reference>
        </references>
      </pivotArea>
    </format>
    <format dxfId="1858">
      <pivotArea field="0" dataOnly="0" labelOnly="1" grandRow="1" outline="0" axis="axisRow" fieldPosition="0">
        <references count="1">
          <reference field="4294967294" count="1" selected="0">
            <x v="34"/>
          </reference>
        </references>
      </pivotArea>
    </format>
    <format dxfId="1857">
      <pivotArea field="0" dataOnly="0" labelOnly="1" grandRow="1" outline="0" axis="axisRow" fieldPosition="0">
        <references count="1">
          <reference field="4294967294" count="1" selected="0">
            <x v="35"/>
          </reference>
        </references>
      </pivotArea>
    </format>
    <format dxfId="1856">
      <pivotArea field="0" dataOnly="0" labelOnly="1" grandRow="1" outline="0" axis="axisRow" fieldPosition="0">
        <references count="1">
          <reference field="4294967294" count="1" selected="0">
            <x v="0"/>
          </reference>
        </references>
      </pivotArea>
    </format>
    <format dxfId="1855">
      <pivotArea field="0" dataOnly="0" labelOnly="1" grandRow="1" outline="0" axis="axisRow" fieldPosition="0">
        <references count="1">
          <reference field="4294967294" count="1" selected="0">
            <x v="1"/>
          </reference>
        </references>
      </pivotArea>
    </format>
    <format dxfId="1854">
      <pivotArea field="0" dataOnly="0" labelOnly="1" grandRow="1" outline="0" axis="axisRow" fieldPosition="0">
        <references count="1">
          <reference field="4294967294" count="1" selected="0">
            <x v="2"/>
          </reference>
        </references>
      </pivotArea>
    </format>
    <format dxfId="1853">
      <pivotArea field="0" dataOnly="0" labelOnly="1" grandRow="1" outline="0" axis="axisRow" fieldPosition="0">
        <references count="1">
          <reference field="4294967294" count="1" selected="0">
            <x v="3"/>
          </reference>
        </references>
      </pivotArea>
    </format>
    <format dxfId="1852">
      <pivotArea field="0" dataOnly="0" labelOnly="1" grandRow="1" outline="0" axis="axisRow" fieldPosition="0">
        <references count="1">
          <reference field="4294967294" count="1" selected="0">
            <x v="4"/>
          </reference>
        </references>
      </pivotArea>
    </format>
    <format dxfId="1851">
      <pivotArea field="0" dataOnly="0" labelOnly="1" grandRow="1" outline="0" axis="axisRow" fieldPosition="0">
        <references count="1">
          <reference field="4294967294" count="1" selected="0">
            <x v="5"/>
          </reference>
        </references>
      </pivotArea>
    </format>
    <format dxfId="1850">
      <pivotArea field="0" dataOnly="0" labelOnly="1" grandRow="1" outline="0" axis="axisRow" fieldPosition="0">
        <references count="1">
          <reference field="4294967294" count="1" selected="0">
            <x v="6"/>
          </reference>
        </references>
      </pivotArea>
    </format>
    <format dxfId="1849">
      <pivotArea field="0" dataOnly="0" labelOnly="1" grandRow="1" outline="0" axis="axisRow" fieldPosition="0">
        <references count="1">
          <reference field="4294967294" count="1" selected="0">
            <x v="7"/>
          </reference>
        </references>
      </pivotArea>
    </format>
    <format dxfId="1848">
      <pivotArea field="0" dataOnly="0" labelOnly="1" grandRow="1" outline="0" axis="axisRow" fieldPosition="0">
        <references count="1">
          <reference field="4294967294" count="1" selected="0">
            <x v="8"/>
          </reference>
        </references>
      </pivotArea>
    </format>
    <format dxfId="1847">
      <pivotArea field="0" dataOnly="0" labelOnly="1" grandRow="1" outline="0" axis="axisRow" fieldPosition="0">
        <references count="1">
          <reference field="4294967294" count="1" selected="0">
            <x v="9"/>
          </reference>
        </references>
      </pivotArea>
    </format>
    <format dxfId="1846">
      <pivotArea field="0" dataOnly="0" labelOnly="1" grandRow="1" outline="0" axis="axisRow" fieldPosition="0">
        <references count="1">
          <reference field="4294967294" count="1" selected="0">
            <x v="10"/>
          </reference>
        </references>
      </pivotArea>
    </format>
    <format dxfId="1845">
      <pivotArea field="0" dataOnly="0" labelOnly="1" grandRow="1" outline="0" axis="axisRow" fieldPosition="0">
        <references count="1">
          <reference field="4294967294" count="1" selected="0">
            <x v="11"/>
          </reference>
        </references>
      </pivotArea>
    </format>
    <format dxfId="1844">
      <pivotArea field="0" dataOnly="0" labelOnly="1" grandRow="1" outline="0" axis="axisRow" fieldPosition="0">
        <references count="1">
          <reference field="4294967294" count="1" selected="0">
            <x v="12"/>
          </reference>
        </references>
      </pivotArea>
    </format>
    <format dxfId="1843">
      <pivotArea field="0" dataOnly="0" labelOnly="1" grandRow="1" outline="0" axis="axisRow" fieldPosition="0">
        <references count="1">
          <reference field="4294967294" count="1" selected="0">
            <x v="13"/>
          </reference>
        </references>
      </pivotArea>
    </format>
    <format dxfId="1842">
      <pivotArea field="0" dataOnly="0" labelOnly="1" grandRow="1" outline="0" axis="axisRow" fieldPosition="0">
        <references count="1">
          <reference field="4294967294" count="1" selected="0">
            <x v="14"/>
          </reference>
        </references>
      </pivotArea>
    </format>
    <format dxfId="1841">
      <pivotArea field="0" dataOnly="0" labelOnly="1" grandRow="1" outline="0" axis="axisRow" fieldPosition="0">
        <references count="1">
          <reference field="4294967294" count="1" selected="0">
            <x v="15"/>
          </reference>
        </references>
      </pivotArea>
    </format>
    <format dxfId="1840">
      <pivotArea field="0" dataOnly="0" labelOnly="1" grandRow="1" outline="0" axis="axisRow" fieldPosition="0">
        <references count="1">
          <reference field="4294967294" count="1" selected="0">
            <x v="16"/>
          </reference>
        </references>
      </pivotArea>
    </format>
    <format dxfId="1839">
      <pivotArea field="0" dataOnly="0" labelOnly="1" grandRow="1" outline="0" axis="axisRow" fieldPosition="0">
        <references count="1">
          <reference field="4294967294" count="1" selected="0">
            <x v="17"/>
          </reference>
        </references>
      </pivotArea>
    </format>
    <format dxfId="1838">
      <pivotArea field="0" dataOnly="0" labelOnly="1" grandRow="1" outline="0" axis="axisRow" fieldPosition="0">
        <references count="1">
          <reference field="4294967294" count="1" selected="0">
            <x v="18"/>
          </reference>
        </references>
      </pivotArea>
    </format>
    <format dxfId="1837">
      <pivotArea field="0" dataOnly="0" labelOnly="1" grandRow="1" outline="0" axis="axisRow" fieldPosition="0">
        <references count="1">
          <reference field="4294967294" count="1" selected="0">
            <x v="19"/>
          </reference>
        </references>
      </pivotArea>
    </format>
    <format dxfId="1836">
      <pivotArea field="0" dataOnly="0" labelOnly="1" grandRow="1" outline="0" axis="axisRow" fieldPosition="0">
        <references count="1">
          <reference field="4294967294" count="1" selected="0">
            <x v="20"/>
          </reference>
        </references>
      </pivotArea>
    </format>
    <format dxfId="1835">
      <pivotArea field="0" dataOnly="0" labelOnly="1" grandRow="1" outline="0" axis="axisRow" fieldPosition="0">
        <references count="1">
          <reference field="4294967294" count="1" selected="0">
            <x v="21"/>
          </reference>
        </references>
      </pivotArea>
    </format>
    <format dxfId="1834">
      <pivotArea field="0" dataOnly="0" labelOnly="1" grandRow="1" outline="0" axis="axisRow" fieldPosition="0">
        <references count="1">
          <reference field="4294967294" count="1" selected="0">
            <x v="22"/>
          </reference>
        </references>
      </pivotArea>
    </format>
    <format dxfId="1833">
      <pivotArea field="0" dataOnly="0" labelOnly="1" grandRow="1" outline="0" axis="axisRow" fieldPosition="0">
        <references count="1">
          <reference field="4294967294" count="1" selected="0">
            <x v="23"/>
          </reference>
        </references>
      </pivotArea>
    </format>
    <format dxfId="1832">
      <pivotArea field="0" dataOnly="0" labelOnly="1" grandRow="1" outline="0" axis="axisRow" fieldPosition="0">
        <references count="1">
          <reference field="4294967294" count="1" selected="0">
            <x v="24"/>
          </reference>
        </references>
      </pivotArea>
    </format>
    <format dxfId="1831">
      <pivotArea field="0" dataOnly="0" labelOnly="1" grandRow="1" outline="0" axis="axisRow" fieldPosition="0">
        <references count="1">
          <reference field="4294967294" count="1" selected="0">
            <x v="25"/>
          </reference>
        </references>
      </pivotArea>
    </format>
    <format dxfId="1830">
      <pivotArea field="0" dataOnly="0" labelOnly="1" grandRow="1" outline="0" axis="axisRow" fieldPosition="0">
        <references count="1">
          <reference field="4294967294" count="1" selected="0">
            <x v="26"/>
          </reference>
        </references>
      </pivotArea>
    </format>
    <format dxfId="1829">
      <pivotArea field="0" dataOnly="0" labelOnly="1" grandRow="1" outline="0" axis="axisRow" fieldPosition="0">
        <references count="1">
          <reference field="4294967294" count="1" selected="0">
            <x v="27"/>
          </reference>
        </references>
      </pivotArea>
    </format>
    <format dxfId="1828">
      <pivotArea field="0" dataOnly="0" labelOnly="1" grandRow="1" outline="0" axis="axisRow" fieldPosition="0">
        <references count="1">
          <reference field="4294967294" count="1" selected="0">
            <x v="28"/>
          </reference>
        </references>
      </pivotArea>
    </format>
    <format dxfId="1827">
      <pivotArea field="0" dataOnly="0" labelOnly="1" grandRow="1" outline="0" axis="axisRow" fieldPosition="0">
        <references count="1">
          <reference field="4294967294" count="1" selected="0">
            <x v="29"/>
          </reference>
        </references>
      </pivotArea>
    </format>
    <format dxfId="1826">
      <pivotArea field="0" dataOnly="0" labelOnly="1" grandRow="1" outline="0" axis="axisRow" fieldPosition="0">
        <references count="1">
          <reference field="4294967294" count="1" selected="0">
            <x v="30"/>
          </reference>
        </references>
      </pivotArea>
    </format>
    <format dxfId="1825">
      <pivotArea field="0" dataOnly="0" labelOnly="1" grandRow="1" outline="0" axis="axisRow" fieldPosition="0">
        <references count="1">
          <reference field="4294967294" count="1" selected="0">
            <x v="31"/>
          </reference>
        </references>
      </pivotArea>
    </format>
    <format dxfId="1824">
      <pivotArea field="0" dataOnly="0" labelOnly="1" grandRow="1" outline="0" axis="axisRow" fieldPosition="0">
        <references count="1">
          <reference field="4294967294" count="1" selected="0">
            <x v="32"/>
          </reference>
        </references>
      </pivotArea>
    </format>
    <format dxfId="1823">
      <pivotArea field="0" dataOnly="0" labelOnly="1" grandRow="1" outline="0" axis="axisRow" fieldPosition="0">
        <references count="1">
          <reference field="4294967294" count="1" selected="0">
            <x v="33"/>
          </reference>
        </references>
      </pivotArea>
    </format>
    <format dxfId="1822">
      <pivotArea field="0" dataOnly="0" labelOnly="1" grandRow="1" outline="0" axis="axisRow" fieldPosition="0">
        <references count="1">
          <reference field="4294967294" count="1" selected="0">
            <x v="34"/>
          </reference>
        </references>
      </pivotArea>
    </format>
    <format dxfId="1821">
      <pivotArea field="0" dataOnly="0" labelOnly="1" grandRow="1" outline="0" axis="axisRow" fieldPosition="0">
        <references count="1">
          <reference field="4294967294" count="1" selected="0">
            <x v="35"/>
          </reference>
        </references>
      </pivotArea>
    </format>
    <format dxfId="1820">
      <pivotArea field="0" dataOnly="0" labelOnly="1" grandRow="1" outline="0" axis="axisRow" fieldPosition="0">
        <references count="1">
          <reference field="4294967294" count="1" selected="0">
            <x v="0"/>
          </reference>
        </references>
      </pivotArea>
    </format>
    <format dxfId="1819">
      <pivotArea field="0" dataOnly="0" labelOnly="1" grandRow="1" outline="0" axis="axisRow" fieldPosition="0">
        <references count="1">
          <reference field="4294967294" count="1" selected="0">
            <x v="1"/>
          </reference>
        </references>
      </pivotArea>
    </format>
    <format dxfId="1818">
      <pivotArea field="0" dataOnly="0" labelOnly="1" grandRow="1" outline="0" axis="axisRow" fieldPosition="0">
        <references count="1">
          <reference field="4294967294" count="1" selected="0">
            <x v="2"/>
          </reference>
        </references>
      </pivotArea>
    </format>
    <format dxfId="1817">
      <pivotArea field="0" dataOnly="0" labelOnly="1" grandRow="1" outline="0" axis="axisRow" fieldPosition="0">
        <references count="1">
          <reference field="4294967294" count="1" selected="0">
            <x v="3"/>
          </reference>
        </references>
      </pivotArea>
    </format>
    <format dxfId="1816">
      <pivotArea field="0" dataOnly="0" labelOnly="1" grandRow="1" outline="0" axis="axisRow" fieldPosition="0">
        <references count="1">
          <reference field="4294967294" count="1" selected="0">
            <x v="4"/>
          </reference>
        </references>
      </pivotArea>
    </format>
    <format dxfId="1815">
      <pivotArea field="0" dataOnly="0" labelOnly="1" grandRow="1" outline="0" axis="axisRow" fieldPosition="0">
        <references count="1">
          <reference field="4294967294" count="1" selected="0">
            <x v="5"/>
          </reference>
        </references>
      </pivotArea>
    </format>
    <format dxfId="1814">
      <pivotArea field="0" dataOnly="0" labelOnly="1" grandRow="1" outline="0" axis="axisRow" fieldPosition="0">
        <references count="1">
          <reference field="4294967294" count="1" selected="0">
            <x v="6"/>
          </reference>
        </references>
      </pivotArea>
    </format>
    <format dxfId="1813">
      <pivotArea field="0" dataOnly="0" labelOnly="1" grandRow="1" outline="0" axis="axisRow" fieldPosition="0">
        <references count="1">
          <reference field="4294967294" count="1" selected="0">
            <x v="7"/>
          </reference>
        </references>
      </pivotArea>
    </format>
    <format dxfId="1812">
      <pivotArea field="0" dataOnly="0" labelOnly="1" grandRow="1" outline="0" axis="axisRow" fieldPosition="0">
        <references count="1">
          <reference field="4294967294" count="1" selected="0">
            <x v="8"/>
          </reference>
        </references>
      </pivotArea>
    </format>
    <format dxfId="1811">
      <pivotArea field="0" dataOnly="0" labelOnly="1" grandRow="1" outline="0" axis="axisRow" fieldPosition="0">
        <references count="1">
          <reference field="4294967294" count="1" selected="0">
            <x v="9"/>
          </reference>
        </references>
      </pivotArea>
    </format>
    <format dxfId="1810">
      <pivotArea field="0" dataOnly="0" labelOnly="1" grandRow="1" outline="0" axis="axisRow" fieldPosition="0">
        <references count="1">
          <reference field="4294967294" count="1" selected="0">
            <x v="10"/>
          </reference>
        </references>
      </pivotArea>
    </format>
    <format dxfId="1809">
      <pivotArea field="0" dataOnly="0" labelOnly="1" grandRow="1" outline="0" axis="axisRow" fieldPosition="0">
        <references count="1">
          <reference field="4294967294" count="1" selected="0">
            <x v="11"/>
          </reference>
        </references>
      </pivotArea>
    </format>
    <format dxfId="1808">
      <pivotArea field="0" dataOnly="0" labelOnly="1" grandRow="1" outline="0" axis="axisRow" fieldPosition="0">
        <references count="1">
          <reference field="4294967294" count="1" selected="0">
            <x v="12"/>
          </reference>
        </references>
      </pivotArea>
    </format>
    <format dxfId="1807">
      <pivotArea field="0" dataOnly="0" labelOnly="1" grandRow="1" outline="0" axis="axisRow" fieldPosition="0">
        <references count="1">
          <reference field="4294967294" count="1" selected="0">
            <x v="13"/>
          </reference>
        </references>
      </pivotArea>
    </format>
    <format dxfId="1806">
      <pivotArea field="0" dataOnly="0" labelOnly="1" grandRow="1" outline="0" axis="axisRow" fieldPosition="0">
        <references count="1">
          <reference field="4294967294" count="1" selected="0">
            <x v="14"/>
          </reference>
        </references>
      </pivotArea>
    </format>
    <format dxfId="1805">
      <pivotArea field="0" dataOnly="0" labelOnly="1" grandRow="1" outline="0" axis="axisRow" fieldPosition="0">
        <references count="1">
          <reference field="4294967294" count="1" selected="0">
            <x v="15"/>
          </reference>
        </references>
      </pivotArea>
    </format>
    <format dxfId="1804">
      <pivotArea field="0" dataOnly="0" labelOnly="1" grandRow="1" outline="0" axis="axisRow" fieldPosition="0">
        <references count="1">
          <reference field="4294967294" count="1" selected="0">
            <x v="16"/>
          </reference>
        </references>
      </pivotArea>
    </format>
    <format dxfId="1803">
      <pivotArea field="0" dataOnly="0" labelOnly="1" grandRow="1" outline="0" axis="axisRow" fieldPosition="0">
        <references count="1">
          <reference field="4294967294" count="1" selected="0">
            <x v="17"/>
          </reference>
        </references>
      </pivotArea>
    </format>
    <format dxfId="1802">
      <pivotArea field="0" dataOnly="0" labelOnly="1" grandRow="1" outline="0" axis="axisRow" fieldPosition="0">
        <references count="1">
          <reference field="4294967294" count="1" selected="0">
            <x v="18"/>
          </reference>
        </references>
      </pivotArea>
    </format>
    <format dxfId="1801">
      <pivotArea field="0" dataOnly="0" labelOnly="1" grandRow="1" outline="0" axis="axisRow" fieldPosition="0">
        <references count="1">
          <reference field="4294967294" count="1" selected="0">
            <x v="19"/>
          </reference>
        </references>
      </pivotArea>
    </format>
    <format dxfId="1800">
      <pivotArea field="0" dataOnly="0" labelOnly="1" grandRow="1" outline="0" axis="axisRow" fieldPosition="0">
        <references count="1">
          <reference field="4294967294" count="1" selected="0">
            <x v="20"/>
          </reference>
        </references>
      </pivotArea>
    </format>
    <format dxfId="1799">
      <pivotArea field="0" dataOnly="0" labelOnly="1" grandRow="1" outline="0" axis="axisRow" fieldPosition="0">
        <references count="1">
          <reference field="4294967294" count="1" selected="0">
            <x v="21"/>
          </reference>
        </references>
      </pivotArea>
    </format>
    <format dxfId="1798">
      <pivotArea field="0" dataOnly="0" labelOnly="1" grandRow="1" outline="0" axis="axisRow" fieldPosition="0">
        <references count="1">
          <reference field="4294967294" count="1" selected="0">
            <x v="22"/>
          </reference>
        </references>
      </pivotArea>
    </format>
    <format dxfId="1797">
      <pivotArea field="0" dataOnly="0" labelOnly="1" grandRow="1" outline="0" axis="axisRow" fieldPosition="0">
        <references count="1">
          <reference field="4294967294" count="1" selected="0">
            <x v="23"/>
          </reference>
        </references>
      </pivotArea>
    </format>
    <format dxfId="1796">
      <pivotArea field="0" dataOnly="0" labelOnly="1" grandRow="1" outline="0" axis="axisRow" fieldPosition="0">
        <references count="1">
          <reference field="4294967294" count="1" selected="0">
            <x v="24"/>
          </reference>
        </references>
      </pivotArea>
    </format>
    <format dxfId="1795">
      <pivotArea field="0" dataOnly="0" labelOnly="1" grandRow="1" outline="0" axis="axisRow" fieldPosition="0">
        <references count="1">
          <reference field="4294967294" count="1" selected="0">
            <x v="25"/>
          </reference>
        </references>
      </pivotArea>
    </format>
    <format dxfId="1794">
      <pivotArea field="0" dataOnly="0" labelOnly="1" grandRow="1" outline="0" axis="axisRow" fieldPosition="0">
        <references count="1">
          <reference field="4294967294" count="1" selected="0">
            <x v="26"/>
          </reference>
        </references>
      </pivotArea>
    </format>
    <format dxfId="1793">
      <pivotArea field="0" dataOnly="0" labelOnly="1" grandRow="1" outline="0" axis="axisRow" fieldPosition="0">
        <references count="1">
          <reference field="4294967294" count="1" selected="0">
            <x v="27"/>
          </reference>
        </references>
      </pivotArea>
    </format>
    <format dxfId="1792">
      <pivotArea field="0" dataOnly="0" labelOnly="1" grandRow="1" outline="0" axis="axisRow" fieldPosition="0">
        <references count="1">
          <reference field="4294967294" count="1" selected="0">
            <x v="28"/>
          </reference>
        </references>
      </pivotArea>
    </format>
    <format dxfId="1791">
      <pivotArea field="0" dataOnly="0" labelOnly="1" grandRow="1" outline="0" axis="axisRow" fieldPosition="0">
        <references count="1">
          <reference field="4294967294" count="1" selected="0">
            <x v="29"/>
          </reference>
        </references>
      </pivotArea>
    </format>
    <format dxfId="1790">
      <pivotArea field="0" dataOnly="0" labelOnly="1" grandRow="1" outline="0" axis="axisRow" fieldPosition="0">
        <references count="1">
          <reference field="4294967294" count="1" selected="0">
            <x v="30"/>
          </reference>
        </references>
      </pivotArea>
    </format>
    <format dxfId="1789">
      <pivotArea field="0" dataOnly="0" labelOnly="1" grandRow="1" outline="0" axis="axisRow" fieldPosition="0">
        <references count="1">
          <reference field="4294967294" count="1" selected="0">
            <x v="31"/>
          </reference>
        </references>
      </pivotArea>
    </format>
    <format dxfId="1788">
      <pivotArea field="0" dataOnly="0" labelOnly="1" grandRow="1" outline="0" axis="axisRow" fieldPosition="0">
        <references count="1">
          <reference field="4294967294" count="1" selected="0">
            <x v="32"/>
          </reference>
        </references>
      </pivotArea>
    </format>
    <format dxfId="1787">
      <pivotArea field="0" dataOnly="0" labelOnly="1" grandRow="1" outline="0" axis="axisRow" fieldPosition="0">
        <references count="1">
          <reference field="4294967294" count="1" selected="0">
            <x v="33"/>
          </reference>
        </references>
      </pivotArea>
    </format>
    <format dxfId="1786">
      <pivotArea field="0" dataOnly="0" labelOnly="1" grandRow="1" outline="0" axis="axisRow" fieldPosition="0">
        <references count="1">
          <reference field="4294967294" count="1" selected="0">
            <x v="34"/>
          </reference>
        </references>
      </pivotArea>
    </format>
    <format dxfId="1785">
      <pivotArea field="0" dataOnly="0" labelOnly="1" grandRow="1" outline="0" axis="axisRow" fieldPosition="0">
        <references count="1">
          <reference field="4294967294" count="1" selected="0">
            <x v="35"/>
          </reference>
        </references>
      </pivotArea>
    </format>
    <format dxfId="1784">
      <pivotArea field="0" dataOnly="0" labelOnly="1" grandRow="1" outline="0" axis="axisRow" fieldPosition="0">
        <references count="1">
          <reference field="4294967294" count="1" selected="0">
            <x v="0"/>
          </reference>
        </references>
      </pivotArea>
    </format>
    <format dxfId="1783">
      <pivotArea field="0" dataOnly="0" labelOnly="1" grandRow="1" outline="0" axis="axisRow" fieldPosition="0">
        <references count="1">
          <reference field="4294967294" count="1" selected="0">
            <x v="1"/>
          </reference>
        </references>
      </pivotArea>
    </format>
    <format dxfId="1782">
      <pivotArea field="0" dataOnly="0" labelOnly="1" grandRow="1" outline="0" axis="axisRow" fieldPosition="0">
        <references count="1">
          <reference field="4294967294" count="1" selected="0">
            <x v="2"/>
          </reference>
        </references>
      </pivotArea>
    </format>
    <format dxfId="1781">
      <pivotArea field="0" dataOnly="0" labelOnly="1" grandRow="1" outline="0" axis="axisRow" fieldPosition="0">
        <references count="1">
          <reference field="4294967294" count="1" selected="0">
            <x v="3"/>
          </reference>
        </references>
      </pivotArea>
    </format>
    <format dxfId="1780">
      <pivotArea field="0" dataOnly="0" labelOnly="1" grandRow="1" outline="0" axis="axisRow" fieldPosition="0">
        <references count="1">
          <reference field="4294967294" count="1" selected="0">
            <x v="4"/>
          </reference>
        </references>
      </pivotArea>
    </format>
    <format dxfId="1779">
      <pivotArea field="0" dataOnly="0" labelOnly="1" grandRow="1" outline="0" axis="axisRow" fieldPosition="0">
        <references count="1">
          <reference field="4294967294" count="1" selected="0">
            <x v="5"/>
          </reference>
        </references>
      </pivotArea>
    </format>
    <format dxfId="1778">
      <pivotArea field="0" dataOnly="0" labelOnly="1" grandRow="1" outline="0" axis="axisRow" fieldPosition="0">
        <references count="1">
          <reference field="4294967294" count="1" selected="0">
            <x v="6"/>
          </reference>
        </references>
      </pivotArea>
    </format>
    <format dxfId="1777">
      <pivotArea field="0" dataOnly="0" labelOnly="1" grandRow="1" outline="0" axis="axisRow" fieldPosition="0">
        <references count="1">
          <reference field="4294967294" count="1" selected="0">
            <x v="7"/>
          </reference>
        </references>
      </pivotArea>
    </format>
    <format dxfId="1776">
      <pivotArea field="0" dataOnly="0" labelOnly="1" grandRow="1" outline="0" axis="axisRow" fieldPosition="0">
        <references count="1">
          <reference field="4294967294" count="1" selected="0">
            <x v="8"/>
          </reference>
        </references>
      </pivotArea>
    </format>
    <format dxfId="1775">
      <pivotArea field="0" dataOnly="0" labelOnly="1" grandRow="1" outline="0" axis="axisRow" fieldPosition="0">
        <references count="1">
          <reference field="4294967294" count="1" selected="0">
            <x v="9"/>
          </reference>
        </references>
      </pivotArea>
    </format>
    <format dxfId="1774">
      <pivotArea field="0" dataOnly="0" labelOnly="1" grandRow="1" outline="0" axis="axisRow" fieldPosition="0">
        <references count="1">
          <reference field="4294967294" count="1" selected="0">
            <x v="10"/>
          </reference>
        </references>
      </pivotArea>
    </format>
    <format dxfId="1773">
      <pivotArea field="0" dataOnly="0" labelOnly="1" grandRow="1" outline="0" axis="axisRow" fieldPosition="0">
        <references count="1">
          <reference field="4294967294" count="1" selected="0">
            <x v="11"/>
          </reference>
        </references>
      </pivotArea>
    </format>
    <format dxfId="1772">
      <pivotArea field="0" dataOnly="0" labelOnly="1" grandRow="1" outline="0" axis="axisRow" fieldPosition="0">
        <references count="1">
          <reference field="4294967294" count="1" selected="0">
            <x v="12"/>
          </reference>
        </references>
      </pivotArea>
    </format>
    <format dxfId="1771">
      <pivotArea field="0" dataOnly="0" labelOnly="1" grandRow="1" outline="0" axis="axisRow" fieldPosition="0">
        <references count="1">
          <reference field="4294967294" count="1" selected="0">
            <x v="13"/>
          </reference>
        </references>
      </pivotArea>
    </format>
    <format dxfId="1770">
      <pivotArea field="0" dataOnly="0" labelOnly="1" grandRow="1" outline="0" axis="axisRow" fieldPosition="0">
        <references count="1">
          <reference field="4294967294" count="1" selected="0">
            <x v="14"/>
          </reference>
        </references>
      </pivotArea>
    </format>
    <format dxfId="1769">
      <pivotArea field="0" dataOnly="0" labelOnly="1" grandRow="1" outline="0" axis="axisRow" fieldPosition="0">
        <references count="1">
          <reference field="4294967294" count="1" selected="0">
            <x v="15"/>
          </reference>
        </references>
      </pivotArea>
    </format>
    <format dxfId="1768">
      <pivotArea field="0" dataOnly="0" labelOnly="1" grandRow="1" outline="0" axis="axisRow" fieldPosition="0">
        <references count="1">
          <reference field="4294967294" count="1" selected="0">
            <x v="16"/>
          </reference>
        </references>
      </pivotArea>
    </format>
    <format dxfId="1767">
      <pivotArea field="0" dataOnly="0" labelOnly="1" grandRow="1" outline="0" axis="axisRow" fieldPosition="0">
        <references count="1">
          <reference field="4294967294" count="1" selected="0">
            <x v="17"/>
          </reference>
        </references>
      </pivotArea>
    </format>
    <format dxfId="1766">
      <pivotArea field="0" dataOnly="0" labelOnly="1" grandRow="1" outline="0" axis="axisRow" fieldPosition="0">
        <references count="1">
          <reference field="4294967294" count="1" selected="0">
            <x v="18"/>
          </reference>
        </references>
      </pivotArea>
    </format>
    <format dxfId="1765">
      <pivotArea field="0" dataOnly="0" labelOnly="1" grandRow="1" outline="0" axis="axisRow" fieldPosition="0">
        <references count="1">
          <reference field="4294967294" count="1" selected="0">
            <x v="19"/>
          </reference>
        </references>
      </pivotArea>
    </format>
    <format dxfId="1764">
      <pivotArea field="0" dataOnly="0" labelOnly="1" grandRow="1" outline="0" axis="axisRow" fieldPosition="0">
        <references count="1">
          <reference field="4294967294" count="1" selected="0">
            <x v="20"/>
          </reference>
        </references>
      </pivotArea>
    </format>
    <format dxfId="1763">
      <pivotArea field="0" dataOnly="0" labelOnly="1" grandRow="1" outline="0" axis="axisRow" fieldPosition="0">
        <references count="1">
          <reference field="4294967294" count="1" selected="0">
            <x v="21"/>
          </reference>
        </references>
      </pivotArea>
    </format>
    <format dxfId="1762">
      <pivotArea field="0" dataOnly="0" labelOnly="1" grandRow="1" outline="0" axis="axisRow" fieldPosition="0">
        <references count="1">
          <reference field="4294967294" count="1" selected="0">
            <x v="22"/>
          </reference>
        </references>
      </pivotArea>
    </format>
    <format dxfId="1761">
      <pivotArea field="0" dataOnly="0" labelOnly="1" grandRow="1" outline="0" axis="axisRow" fieldPosition="0">
        <references count="1">
          <reference field="4294967294" count="1" selected="0">
            <x v="23"/>
          </reference>
        </references>
      </pivotArea>
    </format>
    <format dxfId="1760">
      <pivotArea field="0" dataOnly="0" labelOnly="1" grandRow="1" outline="0" axis="axisRow" fieldPosition="0">
        <references count="1">
          <reference field="4294967294" count="1" selected="0">
            <x v="24"/>
          </reference>
        </references>
      </pivotArea>
    </format>
    <format dxfId="1759">
      <pivotArea field="0" dataOnly="0" labelOnly="1" grandRow="1" outline="0" axis="axisRow" fieldPosition="0">
        <references count="1">
          <reference field="4294967294" count="1" selected="0">
            <x v="25"/>
          </reference>
        </references>
      </pivotArea>
    </format>
    <format dxfId="1758">
      <pivotArea field="0" dataOnly="0" labelOnly="1" grandRow="1" outline="0" axis="axisRow" fieldPosition="0">
        <references count="1">
          <reference field="4294967294" count="1" selected="0">
            <x v="26"/>
          </reference>
        </references>
      </pivotArea>
    </format>
    <format dxfId="1757">
      <pivotArea field="0" dataOnly="0" labelOnly="1" grandRow="1" outline="0" axis="axisRow" fieldPosition="0">
        <references count="1">
          <reference field="4294967294" count="1" selected="0">
            <x v="27"/>
          </reference>
        </references>
      </pivotArea>
    </format>
    <format dxfId="1756">
      <pivotArea field="0" dataOnly="0" labelOnly="1" grandRow="1" outline="0" axis="axisRow" fieldPosition="0">
        <references count="1">
          <reference field="4294967294" count="1" selected="0">
            <x v="28"/>
          </reference>
        </references>
      </pivotArea>
    </format>
    <format dxfId="1755">
      <pivotArea field="0" dataOnly="0" labelOnly="1" grandRow="1" outline="0" axis="axisRow" fieldPosition="0">
        <references count="1">
          <reference field="4294967294" count="1" selected="0">
            <x v="29"/>
          </reference>
        </references>
      </pivotArea>
    </format>
    <format dxfId="1754">
      <pivotArea field="0" dataOnly="0" labelOnly="1" grandRow="1" outline="0" axis="axisRow" fieldPosition="0">
        <references count="1">
          <reference field="4294967294" count="1" selected="0">
            <x v="30"/>
          </reference>
        </references>
      </pivotArea>
    </format>
    <format dxfId="1753">
      <pivotArea field="0" dataOnly="0" labelOnly="1" grandRow="1" outline="0" axis="axisRow" fieldPosition="0">
        <references count="1">
          <reference field="4294967294" count="1" selected="0">
            <x v="31"/>
          </reference>
        </references>
      </pivotArea>
    </format>
    <format dxfId="1752">
      <pivotArea field="0" dataOnly="0" labelOnly="1" grandRow="1" outline="0" axis="axisRow" fieldPosition="0">
        <references count="1">
          <reference field="4294967294" count="1" selected="0">
            <x v="32"/>
          </reference>
        </references>
      </pivotArea>
    </format>
    <format dxfId="1751">
      <pivotArea field="0" dataOnly="0" labelOnly="1" grandRow="1" outline="0" axis="axisRow" fieldPosition="0">
        <references count="1">
          <reference field="4294967294" count="1" selected="0">
            <x v="33"/>
          </reference>
        </references>
      </pivotArea>
    </format>
    <format dxfId="1750">
      <pivotArea field="0" dataOnly="0" labelOnly="1" grandRow="1" outline="0" axis="axisRow" fieldPosition="0">
        <references count="1">
          <reference field="4294967294" count="1" selected="0">
            <x v="34"/>
          </reference>
        </references>
      </pivotArea>
    </format>
    <format dxfId="1749">
      <pivotArea field="0" dataOnly="0" labelOnly="1" grandRow="1" outline="0" axis="axisRow" fieldPosition="0">
        <references count="1">
          <reference field="4294967294" count="1" selected="0">
            <x v="35"/>
          </reference>
        </references>
      </pivotArea>
    </format>
    <format dxfId="1748">
      <pivotArea field="0" dataOnly="0" labelOnly="1" grandRow="1" outline="0" axis="axisRow" fieldPosition="0">
        <references count="1">
          <reference field="4294967294" count="1" selected="0">
            <x v="0"/>
          </reference>
        </references>
      </pivotArea>
    </format>
    <format dxfId="1747">
      <pivotArea field="0" dataOnly="0" labelOnly="1" grandRow="1" outline="0" axis="axisRow" fieldPosition="0">
        <references count="1">
          <reference field="4294967294" count="1" selected="0">
            <x v="1"/>
          </reference>
        </references>
      </pivotArea>
    </format>
    <format dxfId="1746">
      <pivotArea field="0" dataOnly="0" labelOnly="1" grandRow="1" outline="0" axis="axisRow" fieldPosition="0">
        <references count="1">
          <reference field="4294967294" count="1" selected="0">
            <x v="2"/>
          </reference>
        </references>
      </pivotArea>
    </format>
    <format dxfId="1745">
      <pivotArea field="0" dataOnly="0" labelOnly="1" grandRow="1" outline="0" axis="axisRow" fieldPosition="0">
        <references count="1">
          <reference field="4294967294" count="1" selected="0">
            <x v="3"/>
          </reference>
        </references>
      </pivotArea>
    </format>
    <format dxfId="1744">
      <pivotArea field="0" dataOnly="0" labelOnly="1" grandRow="1" outline="0" axis="axisRow" fieldPosition="0">
        <references count="1">
          <reference field="4294967294" count="1" selected="0">
            <x v="4"/>
          </reference>
        </references>
      </pivotArea>
    </format>
    <format dxfId="1743">
      <pivotArea field="0" dataOnly="0" labelOnly="1" grandRow="1" outline="0" axis="axisRow" fieldPosition="0">
        <references count="1">
          <reference field="4294967294" count="1" selected="0">
            <x v="5"/>
          </reference>
        </references>
      </pivotArea>
    </format>
    <format dxfId="1742">
      <pivotArea field="0" dataOnly="0" labelOnly="1" grandRow="1" outline="0" axis="axisRow" fieldPosition="0">
        <references count="1">
          <reference field="4294967294" count="1" selected="0">
            <x v="6"/>
          </reference>
        </references>
      </pivotArea>
    </format>
    <format dxfId="1741">
      <pivotArea field="0" dataOnly="0" labelOnly="1" grandRow="1" outline="0" axis="axisRow" fieldPosition="0">
        <references count="1">
          <reference field="4294967294" count="1" selected="0">
            <x v="7"/>
          </reference>
        </references>
      </pivotArea>
    </format>
    <format dxfId="1740">
      <pivotArea field="0" dataOnly="0" labelOnly="1" grandRow="1" outline="0" axis="axisRow" fieldPosition="0">
        <references count="1">
          <reference field="4294967294" count="1" selected="0">
            <x v="8"/>
          </reference>
        </references>
      </pivotArea>
    </format>
    <format dxfId="1739">
      <pivotArea field="0" dataOnly="0" labelOnly="1" grandRow="1" outline="0" axis="axisRow" fieldPosition="0">
        <references count="1">
          <reference field="4294967294" count="1" selected="0">
            <x v="9"/>
          </reference>
        </references>
      </pivotArea>
    </format>
    <format dxfId="1738">
      <pivotArea field="0" dataOnly="0" labelOnly="1" grandRow="1" outline="0" axis="axisRow" fieldPosition="0">
        <references count="1">
          <reference field="4294967294" count="1" selected="0">
            <x v="10"/>
          </reference>
        </references>
      </pivotArea>
    </format>
    <format dxfId="1737">
      <pivotArea field="0" dataOnly="0" labelOnly="1" grandRow="1" outline="0" axis="axisRow" fieldPosition="0">
        <references count="1">
          <reference field="4294967294" count="1" selected="0">
            <x v="11"/>
          </reference>
        </references>
      </pivotArea>
    </format>
    <format dxfId="1736">
      <pivotArea field="0" dataOnly="0" labelOnly="1" grandRow="1" outline="0" axis="axisRow" fieldPosition="0">
        <references count="1">
          <reference field="4294967294" count="1" selected="0">
            <x v="12"/>
          </reference>
        </references>
      </pivotArea>
    </format>
    <format dxfId="1735">
      <pivotArea field="0" dataOnly="0" labelOnly="1" grandRow="1" outline="0" axis="axisRow" fieldPosition="0">
        <references count="1">
          <reference field="4294967294" count="1" selected="0">
            <x v="13"/>
          </reference>
        </references>
      </pivotArea>
    </format>
    <format dxfId="1734">
      <pivotArea field="0" dataOnly="0" labelOnly="1" grandRow="1" outline="0" axis="axisRow" fieldPosition="0">
        <references count="1">
          <reference field="4294967294" count="1" selected="0">
            <x v="14"/>
          </reference>
        </references>
      </pivotArea>
    </format>
    <format dxfId="1733">
      <pivotArea field="0" dataOnly="0" labelOnly="1" grandRow="1" outline="0" axis="axisRow" fieldPosition="0">
        <references count="1">
          <reference field="4294967294" count="1" selected="0">
            <x v="15"/>
          </reference>
        </references>
      </pivotArea>
    </format>
    <format dxfId="1732">
      <pivotArea field="0" dataOnly="0" labelOnly="1" grandRow="1" outline="0" axis="axisRow" fieldPosition="0">
        <references count="1">
          <reference field="4294967294" count="1" selected="0">
            <x v="16"/>
          </reference>
        </references>
      </pivotArea>
    </format>
    <format dxfId="1731">
      <pivotArea field="0" dataOnly="0" labelOnly="1" grandRow="1" outline="0" axis="axisRow" fieldPosition="0">
        <references count="1">
          <reference field="4294967294" count="1" selected="0">
            <x v="17"/>
          </reference>
        </references>
      </pivotArea>
    </format>
    <format dxfId="1730">
      <pivotArea field="0" dataOnly="0" labelOnly="1" grandRow="1" outline="0" axis="axisRow" fieldPosition="0">
        <references count="1">
          <reference field="4294967294" count="1" selected="0">
            <x v="18"/>
          </reference>
        </references>
      </pivotArea>
    </format>
    <format dxfId="1729">
      <pivotArea field="0" dataOnly="0" labelOnly="1" grandRow="1" outline="0" axis="axisRow" fieldPosition="0">
        <references count="1">
          <reference field="4294967294" count="1" selected="0">
            <x v="19"/>
          </reference>
        </references>
      </pivotArea>
    </format>
    <format dxfId="1728">
      <pivotArea field="0" dataOnly="0" labelOnly="1" grandRow="1" outline="0" axis="axisRow" fieldPosition="0">
        <references count="1">
          <reference field="4294967294" count="1" selected="0">
            <x v="20"/>
          </reference>
        </references>
      </pivotArea>
    </format>
    <format dxfId="1727">
      <pivotArea field="0" dataOnly="0" labelOnly="1" grandRow="1" outline="0" axis="axisRow" fieldPosition="0">
        <references count="1">
          <reference field="4294967294" count="1" selected="0">
            <x v="21"/>
          </reference>
        </references>
      </pivotArea>
    </format>
    <format dxfId="1726">
      <pivotArea field="0" dataOnly="0" labelOnly="1" grandRow="1" outline="0" axis="axisRow" fieldPosition="0">
        <references count="1">
          <reference field="4294967294" count="1" selected="0">
            <x v="22"/>
          </reference>
        </references>
      </pivotArea>
    </format>
    <format dxfId="1725">
      <pivotArea field="0" dataOnly="0" labelOnly="1" grandRow="1" outline="0" axis="axisRow" fieldPosition="0">
        <references count="1">
          <reference field="4294967294" count="1" selected="0">
            <x v="23"/>
          </reference>
        </references>
      </pivotArea>
    </format>
    <format dxfId="1724">
      <pivotArea field="0" dataOnly="0" labelOnly="1" grandRow="1" outline="0" axis="axisRow" fieldPosition="0">
        <references count="1">
          <reference field="4294967294" count="1" selected="0">
            <x v="24"/>
          </reference>
        </references>
      </pivotArea>
    </format>
    <format dxfId="1723">
      <pivotArea field="0" dataOnly="0" labelOnly="1" grandRow="1" outline="0" axis="axisRow" fieldPosition="0">
        <references count="1">
          <reference field="4294967294" count="1" selected="0">
            <x v="25"/>
          </reference>
        </references>
      </pivotArea>
    </format>
    <format dxfId="1722">
      <pivotArea field="0" dataOnly="0" labelOnly="1" grandRow="1" outline="0" axis="axisRow" fieldPosition="0">
        <references count="1">
          <reference field="4294967294" count="1" selected="0">
            <x v="26"/>
          </reference>
        </references>
      </pivotArea>
    </format>
    <format dxfId="1721">
      <pivotArea field="0" dataOnly="0" labelOnly="1" grandRow="1" outline="0" axis="axisRow" fieldPosition="0">
        <references count="1">
          <reference field="4294967294" count="1" selected="0">
            <x v="27"/>
          </reference>
        </references>
      </pivotArea>
    </format>
    <format dxfId="1720">
      <pivotArea field="0" dataOnly="0" labelOnly="1" grandRow="1" outline="0" axis="axisRow" fieldPosition="0">
        <references count="1">
          <reference field="4294967294" count="1" selected="0">
            <x v="28"/>
          </reference>
        </references>
      </pivotArea>
    </format>
    <format dxfId="1719">
      <pivotArea field="0" dataOnly="0" labelOnly="1" grandRow="1" outline="0" axis="axisRow" fieldPosition="0">
        <references count="1">
          <reference field="4294967294" count="1" selected="0">
            <x v="29"/>
          </reference>
        </references>
      </pivotArea>
    </format>
    <format dxfId="1718">
      <pivotArea field="0" dataOnly="0" labelOnly="1" grandRow="1" outline="0" axis="axisRow" fieldPosition="0">
        <references count="1">
          <reference field="4294967294" count="1" selected="0">
            <x v="30"/>
          </reference>
        </references>
      </pivotArea>
    </format>
    <format dxfId="1717">
      <pivotArea field="0" dataOnly="0" labelOnly="1" grandRow="1" outline="0" axis="axisRow" fieldPosition="0">
        <references count="1">
          <reference field="4294967294" count="1" selected="0">
            <x v="31"/>
          </reference>
        </references>
      </pivotArea>
    </format>
    <format dxfId="1716">
      <pivotArea field="0" dataOnly="0" labelOnly="1" grandRow="1" outline="0" axis="axisRow" fieldPosition="0">
        <references count="1">
          <reference field="4294967294" count="1" selected="0">
            <x v="32"/>
          </reference>
        </references>
      </pivotArea>
    </format>
    <format dxfId="1715">
      <pivotArea field="0" dataOnly="0" labelOnly="1" grandRow="1" outline="0" axis="axisRow" fieldPosition="0">
        <references count="1">
          <reference field="4294967294" count="1" selected="0">
            <x v="33"/>
          </reference>
        </references>
      </pivotArea>
    </format>
    <format dxfId="1714">
      <pivotArea field="0" dataOnly="0" labelOnly="1" grandRow="1" outline="0" axis="axisRow" fieldPosition="0">
        <references count="1">
          <reference field="4294967294" count="1" selected="0">
            <x v="34"/>
          </reference>
        </references>
      </pivotArea>
    </format>
    <format dxfId="1713">
      <pivotArea field="0" dataOnly="0" labelOnly="1" grandRow="1" outline="0" axis="axisRow" fieldPosition="0">
        <references count="1">
          <reference field="4294967294" count="1" selected="0">
            <x v="35"/>
          </reference>
        </references>
      </pivotArea>
    </format>
    <format dxfId="1712">
      <pivotArea field="0" dataOnly="0" labelOnly="1" grandRow="1" outline="0" axis="axisRow" fieldPosition="0">
        <references count="1">
          <reference field="4294967294" count="1" selected="0">
            <x v="0"/>
          </reference>
        </references>
      </pivotArea>
    </format>
    <format dxfId="1711">
      <pivotArea field="0" dataOnly="0" labelOnly="1" grandRow="1" outline="0" axis="axisRow" fieldPosition="0">
        <references count="1">
          <reference field="4294967294" count="1" selected="0">
            <x v="1"/>
          </reference>
        </references>
      </pivotArea>
    </format>
    <format dxfId="1710">
      <pivotArea field="0" dataOnly="0" labelOnly="1" grandRow="1" outline="0" axis="axisRow" fieldPosition="0">
        <references count="1">
          <reference field="4294967294" count="1" selected="0">
            <x v="2"/>
          </reference>
        </references>
      </pivotArea>
    </format>
    <format dxfId="1709">
      <pivotArea field="0" dataOnly="0" labelOnly="1" grandRow="1" outline="0" axis="axisRow" fieldPosition="0">
        <references count="1">
          <reference field="4294967294" count="1" selected="0">
            <x v="3"/>
          </reference>
        </references>
      </pivotArea>
    </format>
    <format dxfId="1708">
      <pivotArea field="0" dataOnly="0" labelOnly="1" grandRow="1" outline="0" axis="axisRow" fieldPosition="0">
        <references count="1">
          <reference field="4294967294" count="1" selected="0">
            <x v="4"/>
          </reference>
        </references>
      </pivotArea>
    </format>
    <format dxfId="1707">
      <pivotArea field="0" dataOnly="0" labelOnly="1" grandRow="1" outline="0" axis="axisRow" fieldPosition="0">
        <references count="1">
          <reference field="4294967294" count="1" selected="0">
            <x v="5"/>
          </reference>
        </references>
      </pivotArea>
    </format>
    <format dxfId="1706">
      <pivotArea field="0" dataOnly="0" labelOnly="1" grandRow="1" outline="0" axis="axisRow" fieldPosition="0">
        <references count="1">
          <reference field="4294967294" count="1" selected="0">
            <x v="6"/>
          </reference>
        </references>
      </pivotArea>
    </format>
    <format dxfId="1705">
      <pivotArea field="0" dataOnly="0" labelOnly="1" grandRow="1" outline="0" axis="axisRow" fieldPosition="0">
        <references count="1">
          <reference field="4294967294" count="1" selected="0">
            <x v="7"/>
          </reference>
        </references>
      </pivotArea>
    </format>
    <format dxfId="1704">
      <pivotArea field="0" dataOnly="0" labelOnly="1" grandRow="1" outline="0" axis="axisRow" fieldPosition="0">
        <references count="1">
          <reference field="4294967294" count="1" selected="0">
            <x v="8"/>
          </reference>
        </references>
      </pivotArea>
    </format>
    <format dxfId="1703">
      <pivotArea field="0" dataOnly="0" labelOnly="1" grandRow="1" outline="0" axis="axisRow" fieldPosition="0">
        <references count="1">
          <reference field="4294967294" count="1" selected="0">
            <x v="9"/>
          </reference>
        </references>
      </pivotArea>
    </format>
    <format dxfId="1702">
      <pivotArea field="0" dataOnly="0" labelOnly="1" grandRow="1" outline="0" axis="axisRow" fieldPosition="0">
        <references count="1">
          <reference field="4294967294" count="1" selected="0">
            <x v="10"/>
          </reference>
        </references>
      </pivotArea>
    </format>
    <format dxfId="1701">
      <pivotArea field="0" dataOnly="0" labelOnly="1" grandRow="1" outline="0" axis="axisRow" fieldPosition="0">
        <references count="1">
          <reference field="4294967294" count="1" selected="0">
            <x v="11"/>
          </reference>
        </references>
      </pivotArea>
    </format>
    <format dxfId="1700">
      <pivotArea field="0" dataOnly="0" labelOnly="1" grandRow="1" outline="0" axis="axisRow" fieldPosition="0">
        <references count="1">
          <reference field="4294967294" count="1" selected="0">
            <x v="12"/>
          </reference>
        </references>
      </pivotArea>
    </format>
    <format dxfId="1699">
      <pivotArea field="0" dataOnly="0" labelOnly="1" grandRow="1" outline="0" axis="axisRow" fieldPosition="0">
        <references count="1">
          <reference field="4294967294" count="1" selected="0">
            <x v="13"/>
          </reference>
        </references>
      </pivotArea>
    </format>
    <format dxfId="1698">
      <pivotArea field="0" dataOnly="0" labelOnly="1" grandRow="1" outline="0" axis="axisRow" fieldPosition="0">
        <references count="1">
          <reference field="4294967294" count="1" selected="0">
            <x v="14"/>
          </reference>
        </references>
      </pivotArea>
    </format>
    <format dxfId="1697">
      <pivotArea field="0" dataOnly="0" labelOnly="1" grandRow="1" outline="0" axis="axisRow" fieldPosition="0">
        <references count="1">
          <reference field="4294967294" count="1" selected="0">
            <x v="15"/>
          </reference>
        </references>
      </pivotArea>
    </format>
    <format dxfId="1696">
      <pivotArea field="0" dataOnly="0" labelOnly="1" grandRow="1" outline="0" axis="axisRow" fieldPosition="0">
        <references count="1">
          <reference field="4294967294" count="1" selected="0">
            <x v="16"/>
          </reference>
        </references>
      </pivotArea>
    </format>
    <format dxfId="1695">
      <pivotArea field="0" dataOnly="0" labelOnly="1" grandRow="1" outline="0" axis="axisRow" fieldPosition="0">
        <references count="1">
          <reference field="4294967294" count="1" selected="0">
            <x v="17"/>
          </reference>
        </references>
      </pivotArea>
    </format>
    <format dxfId="1694">
      <pivotArea field="0" dataOnly="0" labelOnly="1" grandRow="1" outline="0" axis="axisRow" fieldPosition="0">
        <references count="1">
          <reference field="4294967294" count="1" selected="0">
            <x v="18"/>
          </reference>
        </references>
      </pivotArea>
    </format>
    <format dxfId="1693">
      <pivotArea field="0" dataOnly="0" labelOnly="1" grandRow="1" outline="0" axis="axisRow" fieldPosition="0">
        <references count="1">
          <reference field="4294967294" count="1" selected="0">
            <x v="19"/>
          </reference>
        </references>
      </pivotArea>
    </format>
    <format dxfId="1692">
      <pivotArea field="0" dataOnly="0" labelOnly="1" grandRow="1" outline="0" axis="axisRow" fieldPosition="0">
        <references count="1">
          <reference field="4294967294" count="1" selected="0">
            <x v="20"/>
          </reference>
        </references>
      </pivotArea>
    </format>
    <format dxfId="1691">
      <pivotArea field="0" dataOnly="0" labelOnly="1" grandRow="1" outline="0" axis="axisRow" fieldPosition="0">
        <references count="1">
          <reference field="4294967294" count="1" selected="0">
            <x v="21"/>
          </reference>
        </references>
      </pivotArea>
    </format>
    <format dxfId="1690">
      <pivotArea field="0" dataOnly="0" labelOnly="1" grandRow="1" outline="0" axis="axisRow" fieldPosition="0">
        <references count="1">
          <reference field="4294967294" count="1" selected="0">
            <x v="22"/>
          </reference>
        </references>
      </pivotArea>
    </format>
    <format dxfId="1689">
      <pivotArea field="0" dataOnly="0" labelOnly="1" grandRow="1" outline="0" axis="axisRow" fieldPosition="0">
        <references count="1">
          <reference field="4294967294" count="1" selected="0">
            <x v="23"/>
          </reference>
        </references>
      </pivotArea>
    </format>
    <format dxfId="1688">
      <pivotArea field="0" dataOnly="0" labelOnly="1" grandRow="1" outline="0" axis="axisRow" fieldPosition="0">
        <references count="1">
          <reference field="4294967294" count="1" selected="0">
            <x v="24"/>
          </reference>
        </references>
      </pivotArea>
    </format>
    <format dxfId="1687">
      <pivotArea field="0" dataOnly="0" labelOnly="1" grandRow="1" outline="0" axis="axisRow" fieldPosition="0">
        <references count="1">
          <reference field="4294967294" count="1" selected="0">
            <x v="25"/>
          </reference>
        </references>
      </pivotArea>
    </format>
    <format dxfId="1686">
      <pivotArea field="0" dataOnly="0" labelOnly="1" grandRow="1" outline="0" axis="axisRow" fieldPosition="0">
        <references count="1">
          <reference field="4294967294" count="1" selected="0">
            <x v="26"/>
          </reference>
        </references>
      </pivotArea>
    </format>
    <format dxfId="1685">
      <pivotArea field="0" dataOnly="0" labelOnly="1" grandRow="1" outline="0" axis="axisRow" fieldPosition="0">
        <references count="1">
          <reference field="4294967294" count="1" selected="0">
            <x v="27"/>
          </reference>
        </references>
      </pivotArea>
    </format>
    <format dxfId="1684">
      <pivotArea field="0" dataOnly="0" labelOnly="1" grandRow="1" outline="0" axis="axisRow" fieldPosition="0">
        <references count="1">
          <reference field="4294967294" count="1" selected="0">
            <x v="28"/>
          </reference>
        </references>
      </pivotArea>
    </format>
    <format dxfId="1683">
      <pivotArea field="0" dataOnly="0" labelOnly="1" grandRow="1" outline="0" axis="axisRow" fieldPosition="0">
        <references count="1">
          <reference field="4294967294" count="1" selected="0">
            <x v="29"/>
          </reference>
        </references>
      </pivotArea>
    </format>
    <format dxfId="1682">
      <pivotArea field="0" dataOnly="0" labelOnly="1" grandRow="1" outline="0" axis="axisRow" fieldPosition="0">
        <references count="1">
          <reference field="4294967294" count="1" selected="0">
            <x v="30"/>
          </reference>
        </references>
      </pivotArea>
    </format>
    <format dxfId="1681">
      <pivotArea field="0" dataOnly="0" labelOnly="1" grandRow="1" outline="0" axis="axisRow" fieldPosition="0">
        <references count="1">
          <reference field="4294967294" count="1" selected="0">
            <x v="31"/>
          </reference>
        </references>
      </pivotArea>
    </format>
    <format dxfId="1680">
      <pivotArea field="0" dataOnly="0" labelOnly="1" grandRow="1" outline="0" axis="axisRow" fieldPosition="0">
        <references count="1">
          <reference field="4294967294" count="1" selected="0">
            <x v="32"/>
          </reference>
        </references>
      </pivotArea>
    </format>
    <format dxfId="1679">
      <pivotArea field="0" dataOnly="0" labelOnly="1" grandRow="1" outline="0" axis="axisRow" fieldPosition="0">
        <references count="1">
          <reference field="4294967294" count="1" selected="0">
            <x v="33"/>
          </reference>
        </references>
      </pivotArea>
    </format>
    <format dxfId="1678">
      <pivotArea field="0" dataOnly="0" labelOnly="1" grandRow="1" outline="0" axis="axisRow" fieldPosition="0">
        <references count="1">
          <reference field="4294967294" count="1" selected="0">
            <x v="34"/>
          </reference>
        </references>
      </pivotArea>
    </format>
    <format dxfId="1677">
      <pivotArea field="0" dataOnly="0" labelOnly="1" grandRow="1" outline="0" axis="axisRow" fieldPosition="0">
        <references count="1">
          <reference field="4294967294" count="1" selected="0">
            <x v="35"/>
          </reference>
        </references>
      </pivotArea>
    </format>
    <format dxfId="1676">
      <pivotArea field="0" dataOnly="0" labelOnly="1" grandRow="1" outline="0" axis="axisRow" fieldPosition="0">
        <references count="1">
          <reference field="4294967294" count="1" selected="0">
            <x v="0"/>
          </reference>
        </references>
      </pivotArea>
    </format>
    <format dxfId="1675">
      <pivotArea field="0" dataOnly="0" labelOnly="1" grandRow="1" outline="0" axis="axisRow" fieldPosition="0">
        <references count="1">
          <reference field="4294967294" count="1" selected="0">
            <x v="1"/>
          </reference>
        </references>
      </pivotArea>
    </format>
    <format dxfId="1674">
      <pivotArea field="0" dataOnly="0" labelOnly="1" grandRow="1" outline="0" axis="axisRow" fieldPosition="0">
        <references count="1">
          <reference field="4294967294" count="1" selected="0">
            <x v="2"/>
          </reference>
        </references>
      </pivotArea>
    </format>
    <format dxfId="1673">
      <pivotArea field="0" dataOnly="0" labelOnly="1" grandRow="1" outline="0" axis="axisRow" fieldPosition="0">
        <references count="1">
          <reference field="4294967294" count="1" selected="0">
            <x v="3"/>
          </reference>
        </references>
      </pivotArea>
    </format>
    <format dxfId="1672">
      <pivotArea field="0" dataOnly="0" labelOnly="1" grandRow="1" outline="0" axis="axisRow" fieldPosition="0">
        <references count="1">
          <reference field="4294967294" count="1" selected="0">
            <x v="4"/>
          </reference>
        </references>
      </pivotArea>
    </format>
    <format dxfId="1671">
      <pivotArea field="0" dataOnly="0" labelOnly="1" grandRow="1" outline="0" axis="axisRow" fieldPosition="0">
        <references count="1">
          <reference field="4294967294" count="1" selected="0">
            <x v="5"/>
          </reference>
        </references>
      </pivotArea>
    </format>
    <format dxfId="1670">
      <pivotArea field="0" dataOnly="0" labelOnly="1" grandRow="1" outline="0" axis="axisRow" fieldPosition="0">
        <references count="1">
          <reference field="4294967294" count="1" selected="0">
            <x v="6"/>
          </reference>
        </references>
      </pivotArea>
    </format>
    <format dxfId="1669">
      <pivotArea field="0" dataOnly="0" labelOnly="1" grandRow="1" outline="0" axis="axisRow" fieldPosition="0">
        <references count="1">
          <reference field="4294967294" count="1" selected="0">
            <x v="7"/>
          </reference>
        </references>
      </pivotArea>
    </format>
    <format dxfId="1668">
      <pivotArea field="0" dataOnly="0" labelOnly="1" grandRow="1" outline="0" axis="axisRow" fieldPosition="0">
        <references count="1">
          <reference field="4294967294" count="1" selected="0">
            <x v="8"/>
          </reference>
        </references>
      </pivotArea>
    </format>
    <format dxfId="1667">
      <pivotArea field="0" dataOnly="0" labelOnly="1" grandRow="1" outline="0" axis="axisRow" fieldPosition="0">
        <references count="1">
          <reference field="4294967294" count="1" selected="0">
            <x v="9"/>
          </reference>
        </references>
      </pivotArea>
    </format>
    <format dxfId="1666">
      <pivotArea field="0" dataOnly="0" labelOnly="1" grandRow="1" outline="0" axis="axisRow" fieldPosition="0">
        <references count="1">
          <reference field="4294967294" count="1" selected="0">
            <x v="10"/>
          </reference>
        </references>
      </pivotArea>
    </format>
    <format dxfId="1665">
      <pivotArea field="0" dataOnly="0" labelOnly="1" grandRow="1" outline="0" axis="axisRow" fieldPosition="0">
        <references count="1">
          <reference field="4294967294" count="1" selected="0">
            <x v="11"/>
          </reference>
        </references>
      </pivotArea>
    </format>
    <format dxfId="1664">
      <pivotArea field="0" dataOnly="0" labelOnly="1" grandRow="1" outline="0" axis="axisRow" fieldPosition="0">
        <references count="1">
          <reference field="4294967294" count="1" selected="0">
            <x v="12"/>
          </reference>
        </references>
      </pivotArea>
    </format>
    <format dxfId="1663">
      <pivotArea field="0" dataOnly="0" labelOnly="1" grandRow="1" outline="0" axis="axisRow" fieldPosition="0">
        <references count="1">
          <reference field="4294967294" count="1" selected="0">
            <x v="13"/>
          </reference>
        </references>
      </pivotArea>
    </format>
    <format dxfId="1662">
      <pivotArea field="0" dataOnly="0" labelOnly="1" grandRow="1" outline="0" axis="axisRow" fieldPosition="0">
        <references count="1">
          <reference field="4294967294" count="1" selected="0">
            <x v="14"/>
          </reference>
        </references>
      </pivotArea>
    </format>
    <format dxfId="1661">
      <pivotArea field="0" dataOnly="0" labelOnly="1" grandRow="1" outline="0" axis="axisRow" fieldPosition="0">
        <references count="1">
          <reference field="4294967294" count="1" selected="0">
            <x v="15"/>
          </reference>
        </references>
      </pivotArea>
    </format>
    <format dxfId="1660">
      <pivotArea field="0" dataOnly="0" labelOnly="1" grandRow="1" outline="0" axis="axisRow" fieldPosition="0">
        <references count="1">
          <reference field="4294967294" count="1" selected="0">
            <x v="16"/>
          </reference>
        </references>
      </pivotArea>
    </format>
    <format dxfId="1659">
      <pivotArea field="0" dataOnly="0" labelOnly="1" grandRow="1" outline="0" axis="axisRow" fieldPosition="0">
        <references count="1">
          <reference field="4294967294" count="1" selected="0">
            <x v="17"/>
          </reference>
        </references>
      </pivotArea>
    </format>
    <format dxfId="1658">
      <pivotArea field="0" dataOnly="0" labelOnly="1" grandRow="1" outline="0" axis="axisRow" fieldPosition="0">
        <references count="1">
          <reference field="4294967294" count="1" selected="0">
            <x v="18"/>
          </reference>
        </references>
      </pivotArea>
    </format>
    <format dxfId="1657">
      <pivotArea field="0" dataOnly="0" labelOnly="1" grandRow="1" outline="0" axis="axisRow" fieldPosition="0">
        <references count="1">
          <reference field="4294967294" count="1" selected="0">
            <x v="19"/>
          </reference>
        </references>
      </pivotArea>
    </format>
    <format dxfId="1656">
      <pivotArea field="0" dataOnly="0" labelOnly="1" grandRow="1" outline="0" axis="axisRow" fieldPosition="0">
        <references count="1">
          <reference field="4294967294" count="1" selected="0">
            <x v="20"/>
          </reference>
        </references>
      </pivotArea>
    </format>
    <format dxfId="1655">
      <pivotArea field="0" dataOnly="0" labelOnly="1" grandRow="1" outline="0" axis="axisRow" fieldPosition="0">
        <references count="1">
          <reference field="4294967294" count="1" selected="0">
            <x v="21"/>
          </reference>
        </references>
      </pivotArea>
    </format>
    <format dxfId="1654">
      <pivotArea field="0" dataOnly="0" labelOnly="1" grandRow="1" outline="0" axis="axisRow" fieldPosition="0">
        <references count="1">
          <reference field="4294967294" count="1" selected="0">
            <x v="22"/>
          </reference>
        </references>
      </pivotArea>
    </format>
    <format dxfId="1653">
      <pivotArea field="0" dataOnly="0" labelOnly="1" grandRow="1" outline="0" axis="axisRow" fieldPosition="0">
        <references count="1">
          <reference field="4294967294" count="1" selected="0">
            <x v="23"/>
          </reference>
        </references>
      </pivotArea>
    </format>
    <format dxfId="1652">
      <pivotArea field="0" dataOnly="0" labelOnly="1" grandRow="1" outline="0" axis="axisRow" fieldPosition="0">
        <references count="1">
          <reference field="4294967294" count="1" selected="0">
            <x v="24"/>
          </reference>
        </references>
      </pivotArea>
    </format>
    <format dxfId="1651">
      <pivotArea field="0" dataOnly="0" labelOnly="1" grandRow="1" outline="0" axis="axisRow" fieldPosition="0">
        <references count="1">
          <reference field="4294967294" count="1" selected="0">
            <x v="25"/>
          </reference>
        </references>
      </pivotArea>
    </format>
    <format dxfId="1650">
      <pivotArea field="0" dataOnly="0" labelOnly="1" grandRow="1" outline="0" axis="axisRow" fieldPosition="0">
        <references count="1">
          <reference field="4294967294" count="1" selected="0">
            <x v="26"/>
          </reference>
        </references>
      </pivotArea>
    </format>
    <format dxfId="1649">
      <pivotArea field="0" dataOnly="0" labelOnly="1" grandRow="1" outline="0" axis="axisRow" fieldPosition="0">
        <references count="1">
          <reference field="4294967294" count="1" selected="0">
            <x v="27"/>
          </reference>
        </references>
      </pivotArea>
    </format>
    <format dxfId="1648">
      <pivotArea field="0" dataOnly="0" labelOnly="1" grandRow="1" outline="0" axis="axisRow" fieldPosition="0">
        <references count="1">
          <reference field="4294967294" count="1" selected="0">
            <x v="28"/>
          </reference>
        </references>
      </pivotArea>
    </format>
    <format dxfId="1647">
      <pivotArea field="0" dataOnly="0" labelOnly="1" grandRow="1" outline="0" axis="axisRow" fieldPosition="0">
        <references count="1">
          <reference field="4294967294" count="1" selected="0">
            <x v="29"/>
          </reference>
        </references>
      </pivotArea>
    </format>
    <format dxfId="1646">
      <pivotArea field="0" dataOnly="0" labelOnly="1" grandRow="1" outline="0" axis="axisRow" fieldPosition="0">
        <references count="1">
          <reference field="4294967294" count="1" selected="0">
            <x v="30"/>
          </reference>
        </references>
      </pivotArea>
    </format>
    <format dxfId="1645">
      <pivotArea field="0" dataOnly="0" labelOnly="1" grandRow="1" outline="0" axis="axisRow" fieldPosition="0">
        <references count="1">
          <reference field="4294967294" count="1" selected="0">
            <x v="31"/>
          </reference>
        </references>
      </pivotArea>
    </format>
    <format dxfId="1644">
      <pivotArea field="0" dataOnly="0" labelOnly="1" grandRow="1" outline="0" axis="axisRow" fieldPosition="0">
        <references count="1">
          <reference field="4294967294" count="1" selected="0">
            <x v="32"/>
          </reference>
        </references>
      </pivotArea>
    </format>
    <format dxfId="1643">
      <pivotArea field="0" dataOnly="0" labelOnly="1" grandRow="1" outline="0" axis="axisRow" fieldPosition="0">
        <references count="1">
          <reference field="4294967294" count="1" selected="0">
            <x v="33"/>
          </reference>
        </references>
      </pivotArea>
    </format>
    <format dxfId="1642">
      <pivotArea field="0" dataOnly="0" labelOnly="1" grandRow="1" outline="0" axis="axisRow" fieldPosition="0">
        <references count="1">
          <reference field="4294967294" count="1" selected="0">
            <x v="34"/>
          </reference>
        </references>
      </pivotArea>
    </format>
    <format dxfId="1641">
      <pivotArea field="0" dataOnly="0" labelOnly="1" grandRow="1" outline="0" axis="axisRow" fieldPosition="0">
        <references count="1">
          <reference field="4294967294" count="1" selected="0">
            <x v="35"/>
          </reference>
        </references>
      </pivotArea>
    </format>
    <format dxfId="1640">
      <pivotArea field="0" dataOnly="0" labelOnly="1" grandRow="1" outline="0" axis="axisRow" fieldPosition="0">
        <references count="1">
          <reference field="4294967294" count="1" selected="0">
            <x v="0"/>
          </reference>
        </references>
      </pivotArea>
    </format>
    <format dxfId="1639">
      <pivotArea field="0" dataOnly="0" labelOnly="1" grandRow="1" outline="0" axis="axisRow" fieldPosition="0">
        <references count="1">
          <reference field="4294967294" count="1" selected="0">
            <x v="1"/>
          </reference>
        </references>
      </pivotArea>
    </format>
    <format dxfId="1638">
      <pivotArea field="0" dataOnly="0" labelOnly="1" grandRow="1" outline="0" axis="axisRow" fieldPosition="0">
        <references count="1">
          <reference field="4294967294" count="1" selected="0">
            <x v="2"/>
          </reference>
        </references>
      </pivotArea>
    </format>
    <format dxfId="1637">
      <pivotArea field="0" dataOnly="0" labelOnly="1" grandRow="1" outline="0" axis="axisRow" fieldPosition="0">
        <references count="1">
          <reference field="4294967294" count="1" selected="0">
            <x v="3"/>
          </reference>
        </references>
      </pivotArea>
    </format>
    <format dxfId="1636">
      <pivotArea field="0" dataOnly="0" labelOnly="1" grandRow="1" outline="0" axis="axisRow" fieldPosition="0">
        <references count="1">
          <reference field="4294967294" count="1" selected="0">
            <x v="4"/>
          </reference>
        </references>
      </pivotArea>
    </format>
    <format dxfId="1635">
      <pivotArea field="0" dataOnly="0" labelOnly="1" grandRow="1" outline="0" axis="axisRow" fieldPosition="0">
        <references count="1">
          <reference field="4294967294" count="1" selected="0">
            <x v="5"/>
          </reference>
        </references>
      </pivotArea>
    </format>
    <format dxfId="1634">
      <pivotArea field="0" dataOnly="0" labelOnly="1" grandRow="1" outline="0" axis="axisRow" fieldPosition="0">
        <references count="1">
          <reference field="4294967294" count="1" selected="0">
            <x v="6"/>
          </reference>
        </references>
      </pivotArea>
    </format>
    <format dxfId="1633">
      <pivotArea field="0" dataOnly="0" labelOnly="1" grandRow="1" outline="0" axis="axisRow" fieldPosition="0">
        <references count="1">
          <reference field="4294967294" count="1" selected="0">
            <x v="7"/>
          </reference>
        </references>
      </pivotArea>
    </format>
    <format dxfId="1632">
      <pivotArea field="0" dataOnly="0" labelOnly="1" grandRow="1" outline="0" axis="axisRow" fieldPosition="0">
        <references count="1">
          <reference field="4294967294" count="1" selected="0">
            <x v="8"/>
          </reference>
        </references>
      </pivotArea>
    </format>
    <format dxfId="1631">
      <pivotArea field="0" dataOnly="0" labelOnly="1" grandRow="1" outline="0" axis="axisRow" fieldPosition="0">
        <references count="1">
          <reference field="4294967294" count="1" selected="0">
            <x v="9"/>
          </reference>
        </references>
      </pivotArea>
    </format>
    <format dxfId="1630">
      <pivotArea field="0" dataOnly="0" labelOnly="1" grandRow="1" outline="0" axis="axisRow" fieldPosition="0">
        <references count="1">
          <reference field="4294967294" count="1" selected="0">
            <x v="10"/>
          </reference>
        </references>
      </pivotArea>
    </format>
    <format dxfId="1629">
      <pivotArea field="0" dataOnly="0" labelOnly="1" grandRow="1" outline="0" axis="axisRow" fieldPosition="0">
        <references count="1">
          <reference field="4294967294" count="1" selected="0">
            <x v="11"/>
          </reference>
        </references>
      </pivotArea>
    </format>
    <format dxfId="1628">
      <pivotArea field="0" dataOnly="0" labelOnly="1" grandRow="1" outline="0" axis="axisRow" fieldPosition="0">
        <references count="1">
          <reference field="4294967294" count="1" selected="0">
            <x v="12"/>
          </reference>
        </references>
      </pivotArea>
    </format>
    <format dxfId="1627">
      <pivotArea field="0" dataOnly="0" labelOnly="1" grandRow="1" outline="0" axis="axisRow" fieldPosition="0">
        <references count="1">
          <reference field="4294967294" count="1" selected="0">
            <x v="13"/>
          </reference>
        </references>
      </pivotArea>
    </format>
    <format dxfId="1626">
      <pivotArea field="0" dataOnly="0" labelOnly="1" grandRow="1" outline="0" axis="axisRow" fieldPosition="0">
        <references count="1">
          <reference field="4294967294" count="1" selected="0">
            <x v="14"/>
          </reference>
        </references>
      </pivotArea>
    </format>
    <format dxfId="1625">
      <pivotArea field="0" dataOnly="0" labelOnly="1" grandRow="1" outline="0" axis="axisRow" fieldPosition="0">
        <references count="1">
          <reference field="4294967294" count="1" selected="0">
            <x v="15"/>
          </reference>
        </references>
      </pivotArea>
    </format>
    <format dxfId="1624">
      <pivotArea field="0" dataOnly="0" labelOnly="1" grandRow="1" outline="0" axis="axisRow" fieldPosition="0">
        <references count="1">
          <reference field="4294967294" count="1" selected="0">
            <x v="16"/>
          </reference>
        </references>
      </pivotArea>
    </format>
    <format dxfId="1623">
      <pivotArea field="0" dataOnly="0" labelOnly="1" grandRow="1" outline="0" axis="axisRow" fieldPosition="0">
        <references count="1">
          <reference field="4294967294" count="1" selected="0">
            <x v="17"/>
          </reference>
        </references>
      </pivotArea>
    </format>
    <format dxfId="1622">
      <pivotArea field="0" dataOnly="0" labelOnly="1" grandRow="1" outline="0" axis="axisRow" fieldPosition="0">
        <references count="1">
          <reference field="4294967294" count="1" selected="0">
            <x v="18"/>
          </reference>
        </references>
      </pivotArea>
    </format>
    <format dxfId="1621">
      <pivotArea field="0" dataOnly="0" labelOnly="1" grandRow="1" outline="0" axis="axisRow" fieldPosition="0">
        <references count="1">
          <reference field="4294967294" count="1" selected="0">
            <x v="19"/>
          </reference>
        </references>
      </pivotArea>
    </format>
    <format dxfId="1620">
      <pivotArea field="0" dataOnly="0" labelOnly="1" grandRow="1" outline="0" axis="axisRow" fieldPosition="0">
        <references count="1">
          <reference field="4294967294" count="1" selected="0">
            <x v="20"/>
          </reference>
        </references>
      </pivotArea>
    </format>
    <format dxfId="1619">
      <pivotArea field="0" dataOnly="0" labelOnly="1" grandRow="1" outline="0" axis="axisRow" fieldPosition="0">
        <references count="1">
          <reference field="4294967294" count="1" selected="0">
            <x v="21"/>
          </reference>
        </references>
      </pivotArea>
    </format>
    <format dxfId="1618">
      <pivotArea field="0" dataOnly="0" labelOnly="1" grandRow="1" outline="0" axis="axisRow" fieldPosition="0">
        <references count="1">
          <reference field="4294967294" count="1" selected="0">
            <x v="22"/>
          </reference>
        </references>
      </pivotArea>
    </format>
    <format dxfId="1617">
      <pivotArea field="0" dataOnly="0" labelOnly="1" grandRow="1" outline="0" axis="axisRow" fieldPosition="0">
        <references count="1">
          <reference field="4294967294" count="1" selected="0">
            <x v="23"/>
          </reference>
        </references>
      </pivotArea>
    </format>
    <format dxfId="1616">
      <pivotArea field="0" dataOnly="0" labelOnly="1" grandRow="1" outline="0" axis="axisRow" fieldPosition="0">
        <references count="1">
          <reference field="4294967294" count="1" selected="0">
            <x v="24"/>
          </reference>
        </references>
      </pivotArea>
    </format>
    <format dxfId="1615">
      <pivotArea field="0" dataOnly="0" labelOnly="1" grandRow="1" outline="0" axis="axisRow" fieldPosition="0">
        <references count="1">
          <reference field="4294967294" count="1" selected="0">
            <x v="25"/>
          </reference>
        </references>
      </pivotArea>
    </format>
    <format dxfId="1614">
      <pivotArea field="0" dataOnly="0" labelOnly="1" grandRow="1" outline="0" axis="axisRow" fieldPosition="0">
        <references count="1">
          <reference field="4294967294" count="1" selected="0">
            <x v="26"/>
          </reference>
        </references>
      </pivotArea>
    </format>
    <format dxfId="1613">
      <pivotArea field="0" dataOnly="0" labelOnly="1" grandRow="1" outline="0" axis="axisRow" fieldPosition="0">
        <references count="1">
          <reference field="4294967294" count="1" selected="0">
            <x v="27"/>
          </reference>
        </references>
      </pivotArea>
    </format>
    <format dxfId="1612">
      <pivotArea field="0" dataOnly="0" labelOnly="1" grandRow="1" outline="0" axis="axisRow" fieldPosition="0">
        <references count="1">
          <reference field="4294967294" count="1" selected="0">
            <x v="28"/>
          </reference>
        </references>
      </pivotArea>
    </format>
    <format dxfId="1611">
      <pivotArea field="0" dataOnly="0" labelOnly="1" grandRow="1" outline="0" axis="axisRow" fieldPosition="0">
        <references count="1">
          <reference field="4294967294" count="1" selected="0">
            <x v="29"/>
          </reference>
        </references>
      </pivotArea>
    </format>
    <format dxfId="1610">
      <pivotArea field="0" dataOnly="0" labelOnly="1" grandRow="1" outline="0" axis="axisRow" fieldPosition="0">
        <references count="1">
          <reference field="4294967294" count="1" selected="0">
            <x v="30"/>
          </reference>
        </references>
      </pivotArea>
    </format>
    <format dxfId="1609">
      <pivotArea field="0" dataOnly="0" labelOnly="1" grandRow="1" outline="0" axis="axisRow" fieldPosition="0">
        <references count="1">
          <reference field="4294967294" count="1" selected="0">
            <x v="31"/>
          </reference>
        </references>
      </pivotArea>
    </format>
    <format dxfId="1608">
      <pivotArea field="0" dataOnly="0" labelOnly="1" grandRow="1" outline="0" axis="axisRow" fieldPosition="0">
        <references count="1">
          <reference field="4294967294" count="1" selected="0">
            <x v="32"/>
          </reference>
        </references>
      </pivotArea>
    </format>
    <format dxfId="1607">
      <pivotArea field="0" dataOnly="0" labelOnly="1" grandRow="1" outline="0" axis="axisRow" fieldPosition="0">
        <references count="1">
          <reference field="4294967294" count="1" selected="0">
            <x v="33"/>
          </reference>
        </references>
      </pivotArea>
    </format>
    <format dxfId="1606">
      <pivotArea field="0" dataOnly="0" labelOnly="1" grandRow="1" outline="0" axis="axisRow" fieldPosition="0">
        <references count="1">
          <reference field="4294967294" count="1" selected="0">
            <x v="34"/>
          </reference>
        </references>
      </pivotArea>
    </format>
    <format dxfId="1605">
      <pivotArea field="0" dataOnly="0" labelOnly="1" grandRow="1" outline="0" axis="axisRow" fieldPosition="0">
        <references count="1">
          <reference field="4294967294" count="1" selected="0">
            <x v="35"/>
          </reference>
        </references>
      </pivotArea>
    </format>
    <format dxfId="1604">
      <pivotArea field="0" dataOnly="0" labelOnly="1" grandRow="1" outline="0" axis="axisRow" fieldPosition="0">
        <references count="1">
          <reference field="4294967294" count="1" selected="0">
            <x v="0"/>
          </reference>
        </references>
      </pivotArea>
    </format>
    <format dxfId="1603">
      <pivotArea field="0" dataOnly="0" labelOnly="1" grandRow="1" outline="0" axis="axisRow" fieldPosition="0">
        <references count="1">
          <reference field="4294967294" count="1" selected="0">
            <x v="1"/>
          </reference>
        </references>
      </pivotArea>
    </format>
    <format dxfId="1602">
      <pivotArea field="0" dataOnly="0" labelOnly="1" grandRow="1" outline="0" axis="axisRow" fieldPosition="0">
        <references count="1">
          <reference field="4294967294" count="1" selected="0">
            <x v="2"/>
          </reference>
        </references>
      </pivotArea>
    </format>
    <format dxfId="1601">
      <pivotArea field="0" dataOnly="0" labelOnly="1" grandRow="1" outline="0" axis="axisRow" fieldPosition="0">
        <references count="1">
          <reference field="4294967294" count="1" selected="0">
            <x v="3"/>
          </reference>
        </references>
      </pivotArea>
    </format>
    <format dxfId="1600">
      <pivotArea field="0" dataOnly="0" labelOnly="1" grandRow="1" outline="0" axis="axisRow" fieldPosition="0">
        <references count="1">
          <reference field="4294967294" count="1" selected="0">
            <x v="4"/>
          </reference>
        </references>
      </pivotArea>
    </format>
    <format dxfId="1599">
      <pivotArea field="0" dataOnly="0" labelOnly="1" grandRow="1" outline="0" axis="axisRow" fieldPosition="0">
        <references count="1">
          <reference field="4294967294" count="1" selected="0">
            <x v="5"/>
          </reference>
        </references>
      </pivotArea>
    </format>
    <format dxfId="1598">
      <pivotArea field="0" dataOnly="0" labelOnly="1" grandRow="1" outline="0" axis="axisRow" fieldPosition="0">
        <references count="1">
          <reference field="4294967294" count="1" selected="0">
            <x v="6"/>
          </reference>
        </references>
      </pivotArea>
    </format>
    <format dxfId="1597">
      <pivotArea field="0" dataOnly="0" labelOnly="1" grandRow="1" outline="0" axis="axisRow" fieldPosition="0">
        <references count="1">
          <reference field="4294967294" count="1" selected="0">
            <x v="7"/>
          </reference>
        </references>
      </pivotArea>
    </format>
    <format dxfId="1596">
      <pivotArea field="0" dataOnly="0" labelOnly="1" grandRow="1" outline="0" axis="axisRow" fieldPosition="0">
        <references count="1">
          <reference field="4294967294" count="1" selected="0">
            <x v="8"/>
          </reference>
        </references>
      </pivotArea>
    </format>
    <format dxfId="1595">
      <pivotArea field="0" dataOnly="0" labelOnly="1" grandRow="1" outline="0" axis="axisRow" fieldPosition="0">
        <references count="1">
          <reference field="4294967294" count="1" selected="0">
            <x v="9"/>
          </reference>
        </references>
      </pivotArea>
    </format>
    <format dxfId="1594">
      <pivotArea field="0" dataOnly="0" labelOnly="1" grandRow="1" outline="0" axis="axisRow" fieldPosition="0">
        <references count="1">
          <reference field="4294967294" count="1" selected="0">
            <x v="10"/>
          </reference>
        </references>
      </pivotArea>
    </format>
    <format dxfId="1593">
      <pivotArea field="0" dataOnly="0" labelOnly="1" grandRow="1" outline="0" axis="axisRow" fieldPosition="0">
        <references count="1">
          <reference field="4294967294" count="1" selected="0">
            <x v="11"/>
          </reference>
        </references>
      </pivotArea>
    </format>
    <format dxfId="1592">
      <pivotArea field="0" dataOnly="0" labelOnly="1" grandRow="1" outline="0" axis="axisRow" fieldPosition="0">
        <references count="1">
          <reference field="4294967294" count="1" selected="0">
            <x v="12"/>
          </reference>
        </references>
      </pivotArea>
    </format>
    <format dxfId="1591">
      <pivotArea field="0" dataOnly="0" labelOnly="1" grandRow="1" outline="0" axis="axisRow" fieldPosition="0">
        <references count="1">
          <reference field="4294967294" count="1" selected="0">
            <x v="13"/>
          </reference>
        </references>
      </pivotArea>
    </format>
    <format dxfId="1590">
      <pivotArea field="0" dataOnly="0" labelOnly="1" grandRow="1" outline="0" axis="axisRow" fieldPosition="0">
        <references count="1">
          <reference field="4294967294" count="1" selected="0">
            <x v="14"/>
          </reference>
        </references>
      </pivotArea>
    </format>
    <format dxfId="1589">
      <pivotArea field="0" dataOnly="0" labelOnly="1" grandRow="1" outline="0" axis="axisRow" fieldPosition="0">
        <references count="1">
          <reference field="4294967294" count="1" selected="0">
            <x v="15"/>
          </reference>
        </references>
      </pivotArea>
    </format>
    <format dxfId="1588">
      <pivotArea field="0" dataOnly="0" labelOnly="1" grandRow="1" outline="0" axis="axisRow" fieldPosition="0">
        <references count="1">
          <reference field="4294967294" count="1" selected="0">
            <x v="16"/>
          </reference>
        </references>
      </pivotArea>
    </format>
    <format dxfId="1587">
      <pivotArea field="0" dataOnly="0" labelOnly="1" grandRow="1" outline="0" axis="axisRow" fieldPosition="0">
        <references count="1">
          <reference field="4294967294" count="1" selected="0">
            <x v="17"/>
          </reference>
        </references>
      </pivotArea>
    </format>
    <format dxfId="1586">
      <pivotArea field="0" dataOnly="0" labelOnly="1" grandRow="1" outline="0" axis="axisRow" fieldPosition="0">
        <references count="1">
          <reference field="4294967294" count="1" selected="0">
            <x v="18"/>
          </reference>
        </references>
      </pivotArea>
    </format>
    <format dxfId="1585">
      <pivotArea field="0" dataOnly="0" labelOnly="1" grandRow="1" outline="0" axis="axisRow" fieldPosition="0">
        <references count="1">
          <reference field="4294967294" count="1" selected="0">
            <x v="19"/>
          </reference>
        </references>
      </pivotArea>
    </format>
    <format dxfId="1584">
      <pivotArea field="0" dataOnly="0" labelOnly="1" grandRow="1" outline="0" axis="axisRow" fieldPosition="0">
        <references count="1">
          <reference field="4294967294" count="1" selected="0">
            <x v="20"/>
          </reference>
        </references>
      </pivotArea>
    </format>
    <format dxfId="1583">
      <pivotArea field="0" dataOnly="0" labelOnly="1" grandRow="1" outline="0" axis="axisRow" fieldPosition="0">
        <references count="1">
          <reference field="4294967294" count="1" selected="0">
            <x v="21"/>
          </reference>
        </references>
      </pivotArea>
    </format>
    <format dxfId="1582">
      <pivotArea field="0" dataOnly="0" labelOnly="1" grandRow="1" outline="0" axis="axisRow" fieldPosition="0">
        <references count="1">
          <reference field="4294967294" count="1" selected="0">
            <x v="22"/>
          </reference>
        </references>
      </pivotArea>
    </format>
    <format dxfId="1581">
      <pivotArea field="0" dataOnly="0" labelOnly="1" grandRow="1" outline="0" axis="axisRow" fieldPosition="0">
        <references count="1">
          <reference field="4294967294" count="1" selected="0">
            <x v="23"/>
          </reference>
        </references>
      </pivotArea>
    </format>
    <format dxfId="1580">
      <pivotArea field="0" dataOnly="0" labelOnly="1" grandRow="1" outline="0" axis="axisRow" fieldPosition="0">
        <references count="1">
          <reference field="4294967294" count="1" selected="0">
            <x v="24"/>
          </reference>
        </references>
      </pivotArea>
    </format>
    <format dxfId="1579">
      <pivotArea field="0" dataOnly="0" labelOnly="1" grandRow="1" outline="0" axis="axisRow" fieldPosition="0">
        <references count="1">
          <reference field="4294967294" count="1" selected="0">
            <x v="25"/>
          </reference>
        </references>
      </pivotArea>
    </format>
    <format dxfId="1578">
      <pivotArea field="0" dataOnly="0" labelOnly="1" grandRow="1" outline="0" axis="axisRow" fieldPosition="0">
        <references count="1">
          <reference field="4294967294" count="1" selected="0">
            <x v="26"/>
          </reference>
        </references>
      </pivotArea>
    </format>
    <format dxfId="1577">
      <pivotArea field="0" dataOnly="0" labelOnly="1" grandRow="1" outline="0" axis="axisRow" fieldPosition="0">
        <references count="1">
          <reference field="4294967294" count="1" selected="0">
            <x v="27"/>
          </reference>
        </references>
      </pivotArea>
    </format>
    <format dxfId="1576">
      <pivotArea field="0" dataOnly="0" labelOnly="1" grandRow="1" outline="0" axis="axisRow" fieldPosition="0">
        <references count="1">
          <reference field="4294967294" count="1" selected="0">
            <x v="28"/>
          </reference>
        </references>
      </pivotArea>
    </format>
    <format dxfId="1575">
      <pivotArea field="0" dataOnly="0" labelOnly="1" grandRow="1" outline="0" axis="axisRow" fieldPosition="0">
        <references count="1">
          <reference field="4294967294" count="1" selected="0">
            <x v="29"/>
          </reference>
        </references>
      </pivotArea>
    </format>
    <format dxfId="1574">
      <pivotArea field="0" dataOnly="0" labelOnly="1" grandRow="1" outline="0" axis="axisRow" fieldPosition="0">
        <references count="1">
          <reference field="4294967294" count="1" selected="0">
            <x v="30"/>
          </reference>
        </references>
      </pivotArea>
    </format>
    <format dxfId="1573">
      <pivotArea field="0" dataOnly="0" labelOnly="1" grandRow="1" outline="0" axis="axisRow" fieldPosition="0">
        <references count="1">
          <reference field="4294967294" count="1" selected="0">
            <x v="31"/>
          </reference>
        </references>
      </pivotArea>
    </format>
    <format dxfId="1572">
      <pivotArea field="0" dataOnly="0" labelOnly="1" grandRow="1" outline="0" axis="axisRow" fieldPosition="0">
        <references count="1">
          <reference field="4294967294" count="1" selected="0">
            <x v="32"/>
          </reference>
        </references>
      </pivotArea>
    </format>
    <format dxfId="1571">
      <pivotArea field="0" dataOnly="0" labelOnly="1" grandRow="1" outline="0" axis="axisRow" fieldPosition="0">
        <references count="1">
          <reference field="4294967294" count="1" selected="0">
            <x v="33"/>
          </reference>
        </references>
      </pivotArea>
    </format>
    <format dxfId="1570">
      <pivotArea field="0" dataOnly="0" labelOnly="1" grandRow="1" outline="0" axis="axisRow" fieldPosition="0">
        <references count="1">
          <reference field="4294967294" count="1" selected="0">
            <x v="34"/>
          </reference>
        </references>
      </pivotArea>
    </format>
    <format dxfId="1569">
      <pivotArea field="0" dataOnly="0" labelOnly="1" grandRow="1" outline="0" axis="axisRow" fieldPosition="0">
        <references count="1">
          <reference field="4294967294" count="1" selected="0">
            <x v="35"/>
          </reference>
        </references>
      </pivotArea>
    </format>
    <format dxfId="1568">
      <pivotArea field="0" dataOnly="0" labelOnly="1" grandRow="1" outline="0" axis="axisRow" fieldPosition="0">
        <references count="1">
          <reference field="4294967294" count="1" selected="0">
            <x v="0"/>
          </reference>
        </references>
      </pivotArea>
    </format>
    <format dxfId="1567">
      <pivotArea field="0" dataOnly="0" labelOnly="1" grandRow="1" outline="0" axis="axisRow" fieldPosition="0">
        <references count="1">
          <reference field="4294967294" count="1" selected="0">
            <x v="1"/>
          </reference>
        </references>
      </pivotArea>
    </format>
    <format dxfId="1566">
      <pivotArea field="0" dataOnly="0" labelOnly="1" grandRow="1" outline="0" axis="axisRow" fieldPosition="0">
        <references count="1">
          <reference field="4294967294" count="1" selected="0">
            <x v="2"/>
          </reference>
        </references>
      </pivotArea>
    </format>
    <format dxfId="1565">
      <pivotArea field="0" dataOnly="0" labelOnly="1" grandRow="1" outline="0" axis="axisRow" fieldPosition="0">
        <references count="1">
          <reference field="4294967294" count="1" selected="0">
            <x v="3"/>
          </reference>
        </references>
      </pivotArea>
    </format>
    <format dxfId="1564">
      <pivotArea field="0" dataOnly="0" labelOnly="1" grandRow="1" outline="0" axis="axisRow" fieldPosition="0">
        <references count="1">
          <reference field="4294967294" count="1" selected="0">
            <x v="4"/>
          </reference>
        </references>
      </pivotArea>
    </format>
    <format dxfId="1563">
      <pivotArea field="0" dataOnly="0" labelOnly="1" grandRow="1" outline="0" axis="axisRow" fieldPosition="0">
        <references count="1">
          <reference field="4294967294" count="1" selected="0">
            <x v="5"/>
          </reference>
        </references>
      </pivotArea>
    </format>
    <format dxfId="1562">
      <pivotArea field="0" dataOnly="0" labelOnly="1" grandRow="1" outline="0" axis="axisRow" fieldPosition="0">
        <references count="1">
          <reference field="4294967294" count="1" selected="0">
            <x v="6"/>
          </reference>
        </references>
      </pivotArea>
    </format>
    <format dxfId="1561">
      <pivotArea field="0" dataOnly="0" labelOnly="1" grandRow="1" outline="0" axis="axisRow" fieldPosition="0">
        <references count="1">
          <reference field="4294967294" count="1" selected="0">
            <x v="7"/>
          </reference>
        </references>
      </pivotArea>
    </format>
    <format dxfId="1560">
      <pivotArea field="0" dataOnly="0" labelOnly="1" grandRow="1" outline="0" axis="axisRow" fieldPosition="0">
        <references count="1">
          <reference field="4294967294" count="1" selected="0">
            <x v="8"/>
          </reference>
        </references>
      </pivotArea>
    </format>
    <format dxfId="1559">
      <pivotArea field="0" dataOnly="0" labelOnly="1" grandRow="1" outline="0" axis="axisRow" fieldPosition="0">
        <references count="1">
          <reference field="4294967294" count="1" selected="0">
            <x v="9"/>
          </reference>
        </references>
      </pivotArea>
    </format>
    <format dxfId="1558">
      <pivotArea field="0" dataOnly="0" labelOnly="1" grandRow="1" outline="0" axis="axisRow" fieldPosition="0">
        <references count="1">
          <reference field="4294967294" count="1" selected="0">
            <x v="10"/>
          </reference>
        </references>
      </pivotArea>
    </format>
    <format dxfId="1557">
      <pivotArea field="0" dataOnly="0" labelOnly="1" grandRow="1" outline="0" axis="axisRow" fieldPosition="0">
        <references count="1">
          <reference field="4294967294" count="1" selected="0">
            <x v="11"/>
          </reference>
        </references>
      </pivotArea>
    </format>
    <format dxfId="1556">
      <pivotArea field="0" dataOnly="0" labelOnly="1" grandRow="1" outline="0" axis="axisRow" fieldPosition="0">
        <references count="1">
          <reference field="4294967294" count="1" selected="0">
            <x v="12"/>
          </reference>
        </references>
      </pivotArea>
    </format>
    <format dxfId="1555">
      <pivotArea field="0" dataOnly="0" labelOnly="1" grandRow="1" outline="0" axis="axisRow" fieldPosition="0">
        <references count="1">
          <reference field="4294967294" count="1" selected="0">
            <x v="13"/>
          </reference>
        </references>
      </pivotArea>
    </format>
    <format dxfId="1554">
      <pivotArea field="0" dataOnly="0" labelOnly="1" grandRow="1" outline="0" axis="axisRow" fieldPosition="0">
        <references count="1">
          <reference field="4294967294" count="1" selected="0">
            <x v="14"/>
          </reference>
        </references>
      </pivotArea>
    </format>
    <format dxfId="1553">
      <pivotArea field="0" dataOnly="0" labelOnly="1" grandRow="1" outline="0" axis="axisRow" fieldPosition="0">
        <references count="1">
          <reference field="4294967294" count="1" selected="0">
            <x v="15"/>
          </reference>
        </references>
      </pivotArea>
    </format>
    <format dxfId="1552">
      <pivotArea field="0" dataOnly="0" labelOnly="1" grandRow="1" outline="0" axis="axisRow" fieldPosition="0">
        <references count="1">
          <reference field="4294967294" count="1" selected="0">
            <x v="16"/>
          </reference>
        </references>
      </pivotArea>
    </format>
    <format dxfId="1551">
      <pivotArea field="0" dataOnly="0" labelOnly="1" grandRow="1" outline="0" axis="axisRow" fieldPosition="0">
        <references count="1">
          <reference field="4294967294" count="1" selected="0">
            <x v="17"/>
          </reference>
        </references>
      </pivotArea>
    </format>
    <format dxfId="1550">
      <pivotArea field="0" dataOnly="0" labelOnly="1" grandRow="1" outline="0" axis="axisRow" fieldPosition="0">
        <references count="1">
          <reference field="4294967294" count="1" selected="0">
            <x v="18"/>
          </reference>
        </references>
      </pivotArea>
    </format>
    <format dxfId="1549">
      <pivotArea field="0" dataOnly="0" labelOnly="1" grandRow="1" outline="0" axis="axisRow" fieldPosition="0">
        <references count="1">
          <reference field="4294967294" count="1" selected="0">
            <x v="19"/>
          </reference>
        </references>
      </pivotArea>
    </format>
    <format dxfId="1548">
      <pivotArea field="0" dataOnly="0" labelOnly="1" grandRow="1" outline="0" axis="axisRow" fieldPosition="0">
        <references count="1">
          <reference field="4294967294" count="1" selected="0">
            <x v="20"/>
          </reference>
        </references>
      </pivotArea>
    </format>
    <format dxfId="1547">
      <pivotArea field="0" dataOnly="0" labelOnly="1" grandRow="1" outline="0" axis="axisRow" fieldPosition="0">
        <references count="1">
          <reference field="4294967294" count="1" selected="0">
            <x v="21"/>
          </reference>
        </references>
      </pivotArea>
    </format>
    <format dxfId="1546">
      <pivotArea field="0" dataOnly="0" labelOnly="1" grandRow="1" outline="0" axis="axisRow" fieldPosition="0">
        <references count="1">
          <reference field="4294967294" count="1" selected="0">
            <x v="22"/>
          </reference>
        </references>
      </pivotArea>
    </format>
    <format dxfId="1545">
      <pivotArea field="0" dataOnly="0" labelOnly="1" grandRow="1" outline="0" axis="axisRow" fieldPosition="0">
        <references count="1">
          <reference field="4294967294" count="1" selected="0">
            <x v="23"/>
          </reference>
        </references>
      </pivotArea>
    </format>
    <format dxfId="1544">
      <pivotArea field="0" dataOnly="0" labelOnly="1" grandRow="1" outline="0" axis="axisRow" fieldPosition="0">
        <references count="1">
          <reference field="4294967294" count="1" selected="0">
            <x v="24"/>
          </reference>
        </references>
      </pivotArea>
    </format>
    <format dxfId="1543">
      <pivotArea field="0" dataOnly="0" labelOnly="1" grandRow="1" outline="0" axis="axisRow" fieldPosition="0">
        <references count="1">
          <reference field="4294967294" count="1" selected="0">
            <x v="25"/>
          </reference>
        </references>
      </pivotArea>
    </format>
    <format dxfId="1542">
      <pivotArea field="0" dataOnly="0" labelOnly="1" grandRow="1" outline="0" axis="axisRow" fieldPosition="0">
        <references count="1">
          <reference field="4294967294" count="1" selected="0">
            <x v="26"/>
          </reference>
        </references>
      </pivotArea>
    </format>
    <format dxfId="1541">
      <pivotArea field="0" dataOnly="0" labelOnly="1" grandRow="1" outline="0" axis="axisRow" fieldPosition="0">
        <references count="1">
          <reference field="4294967294" count="1" selected="0">
            <x v="27"/>
          </reference>
        </references>
      </pivotArea>
    </format>
    <format dxfId="1540">
      <pivotArea field="0" dataOnly="0" labelOnly="1" grandRow="1" outline="0" axis="axisRow" fieldPosition="0">
        <references count="1">
          <reference field="4294967294" count="1" selected="0">
            <x v="28"/>
          </reference>
        </references>
      </pivotArea>
    </format>
    <format dxfId="1539">
      <pivotArea field="0" dataOnly="0" labelOnly="1" grandRow="1" outline="0" axis="axisRow" fieldPosition="0">
        <references count="1">
          <reference field="4294967294" count="1" selected="0">
            <x v="29"/>
          </reference>
        </references>
      </pivotArea>
    </format>
    <format dxfId="1538">
      <pivotArea field="0" dataOnly="0" labelOnly="1" grandRow="1" outline="0" axis="axisRow" fieldPosition="0">
        <references count="1">
          <reference field="4294967294" count="1" selected="0">
            <x v="30"/>
          </reference>
        </references>
      </pivotArea>
    </format>
    <format dxfId="1537">
      <pivotArea field="0" dataOnly="0" labelOnly="1" grandRow="1" outline="0" axis="axisRow" fieldPosition="0">
        <references count="1">
          <reference field="4294967294" count="1" selected="0">
            <x v="31"/>
          </reference>
        </references>
      </pivotArea>
    </format>
    <format dxfId="1536">
      <pivotArea field="0" dataOnly="0" labelOnly="1" grandRow="1" outline="0" axis="axisRow" fieldPosition="0">
        <references count="1">
          <reference field="4294967294" count="1" selected="0">
            <x v="32"/>
          </reference>
        </references>
      </pivotArea>
    </format>
    <format dxfId="1535">
      <pivotArea field="0" dataOnly="0" labelOnly="1" grandRow="1" outline="0" axis="axisRow" fieldPosition="0">
        <references count="1">
          <reference field="4294967294" count="1" selected="0">
            <x v="33"/>
          </reference>
        </references>
      </pivotArea>
    </format>
    <format dxfId="1534">
      <pivotArea field="0" dataOnly="0" labelOnly="1" grandRow="1" outline="0" axis="axisRow" fieldPosition="0">
        <references count="1">
          <reference field="4294967294" count="1" selected="0">
            <x v="34"/>
          </reference>
        </references>
      </pivotArea>
    </format>
    <format dxfId="1533">
      <pivotArea field="0" dataOnly="0" labelOnly="1" grandRow="1" outline="0" axis="axisRow" fieldPosition="0">
        <references count="1">
          <reference field="4294967294" count="1" selected="0">
            <x v="35"/>
          </reference>
        </references>
      </pivotArea>
    </format>
    <format dxfId="1532">
      <pivotArea field="0" dataOnly="0" labelOnly="1" grandRow="1" outline="0" axis="axisRow" fieldPosition="0">
        <references count="1">
          <reference field="4294967294" count="1" selected="0">
            <x v="0"/>
          </reference>
        </references>
      </pivotArea>
    </format>
    <format dxfId="1531">
      <pivotArea field="0" dataOnly="0" labelOnly="1" grandRow="1" outline="0" axis="axisRow" fieldPosition="0">
        <references count="1">
          <reference field="4294967294" count="1" selected="0">
            <x v="1"/>
          </reference>
        </references>
      </pivotArea>
    </format>
    <format dxfId="1530">
      <pivotArea field="0" dataOnly="0" labelOnly="1" grandRow="1" outline="0" axis="axisRow" fieldPosition="0">
        <references count="1">
          <reference field="4294967294" count="1" selected="0">
            <x v="2"/>
          </reference>
        </references>
      </pivotArea>
    </format>
    <format dxfId="1529">
      <pivotArea field="0" dataOnly="0" labelOnly="1" grandRow="1" outline="0" axis="axisRow" fieldPosition="0">
        <references count="1">
          <reference field="4294967294" count="1" selected="0">
            <x v="3"/>
          </reference>
        </references>
      </pivotArea>
    </format>
    <format dxfId="1528">
      <pivotArea field="0" dataOnly="0" labelOnly="1" grandRow="1" outline="0" axis="axisRow" fieldPosition="0">
        <references count="1">
          <reference field="4294967294" count="1" selected="0">
            <x v="4"/>
          </reference>
        </references>
      </pivotArea>
    </format>
    <format dxfId="1527">
      <pivotArea field="0" dataOnly="0" labelOnly="1" grandRow="1" outline="0" axis="axisRow" fieldPosition="0">
        <references count="1">
          <reference field="4294967294" count="1" selected="0">
            <x v="5"/>
          </reference>
        </references>
      </pivotArea>
    </format>
    <format dxfId="1526">
      <pivotArea field="0" dataOnly="0" labelOnly="1" grandRow="1" outline="0" axis="axisRow" fieldPosition="0">
        <references count="1">
          <reference field="4294967294" count="1" selected="0">
            <x v="6"/>
          </reference>
        </references>
      </pivotArea>
    </format>
    <format dxfId="1525">
      <pivotArea field="0" dataOnly="0" labelOnly="1" grandRow="1" outline="0" axis="axisRow" fieldPosition="0">
        <references count="1">
          <reference field="4294967294" count="1" selected="0">
            <x v="7"/>
          </reference>
        </references>
      </pivotArea>
    </format>
    <format dxfId="1524">
      <pivotArea field="0" dataOnly="0" labelOnly="1" grandRow="1" outline="0" axis="axisRow" fieldPosition="0">
        <references count="1">
          <reference field="4294967294" count="1" selected="0">
            <x v="8"/>
          </reference>
        </references>
      </pivotArea>
    </format>
    <format dxfId="1523">
      <pivotArea field="0" dataOnly="0" labelOnly="1" grandRow="1" outline="0" axis="axisRow" fieldPosition="0">
        <references count="1">
          <reference field="4294967294" count="1" selected="0">
            <x v="9"/>
          </reference>
        </references>
      </pivotArea>
    </format>
    <format dxfId="1522">
      <pivotArea field="0" dataOnly="0" labelOnly="1" grandRow="1" outline="0" axis="axisRow" fieldPosition="0">
        <references count="1">
          <reference field="4294967294" count="1" selected="0">
            <x v="10"/>
          </reference>
        </references>
      </pivotArea>
    </format>
    <format dxfId="1521">
      <pivotArea field="0" dataOnly="0" labelOnly="1" grandRow="1" outline="0" axis="axisRow" fieldPosition="0">
        <references count="1">
          <reference field="4294967294" count="1" selected="0">
            <x v="11"/>
          </reference>
        </references>
      </pivotArea>
    </format>
    <format dxfId="1520">
      <pivotArea field="0" dataOnly="0" labelOnly="1" grandRow="1" outline="0" axis="axisRow" fieldPosition="0">
        <references count="1">
          <reference field="4294967294" count="1" selected="0">
            <x v="12"/>
          </reference>
        </references>
      </pivotArea>
    </format>
    <format dxfId="1519">
      <pivotArea field="0" dataOnly="0" labelOnly="1" grandRow="1" outline="0" axis="axisRow" fieldPosition="0">
        <references count="1">
          <reference field="4294967294" count="1" selected="0">
            <x v="13"/>
          </reference>
        </references>
      </pivotArea>
    </format>
    <format dxfId="1518">
      <pivotArea field="0" dataOnly="0" labelOnly="1" grandRow="1" outline="0" axis="axisRow" fieldPosition="0">
        <references count="1">
          <reference field="4294967294" count="1" selected="0">
            <x v="14"/>
          </reference>
        </references>
      </pivotArea>
    </format>
    <format dxfId="1517">
      <pivotArea field="0" dataOnly="0" labelOnly="1" grandRow="1" outline="0" axis="axisRow" fieldPosition="0">
        <references count="1">
          <reference field="4294967294" count="1" selected="0">
            <x v="15"/>
          </reference>
        </references>
      </pivotArea>
    </format>
    <format dxfId="1516">
      <pivotArea field="0" dataOnly="0" labelOnly="1" grandRow="1" outline="0" axis="axisRow" fieldPosition="0">
        <references count="1">
          <reference field="4294967294" count="1" selected="0">
            <x v="16"/>
          </reference>
        </references>
      </pivotArea>
    </format>
    <format dxfId="1515">
      <pivotArea field="0" dataOnly="0" labelOnly="1" grandRow="1" outline="0" axis="axisRow" fieldPosition="0">
        <references count="1">
          <reference field="4294967294" count="1" selected="0">
            <x v="17"/>
          </reference>
        </references>
      </pivotArea>
    </format>
    <format dxfId="1514">
      <pivotArea field="0" dataOnly="0" labelOnly="1" grandRow="1" outline="0" axis="axisRow" fieldPosition="0">
        <references count="1">
          <reference field="4294967294" count="1" selected="0">
            <x v="18"/>
          </reference>
        </references>
      </pivotArea>
    </format>
    <format dxfId="1513">
      <pivotArea field="0" dataOnly="0" labelOnly="1" grandRow="1" outline="0" axis="axisRow" fieldPosition="0">
        <references count="1">
          <reference field="4294967294" count="1" selected="0">
            <x v="19"/>
          </reference>
        </references>
      </pivotArea>
    </format>
    <format dxfId="1512">
      <pivotArea field="0" dataOnly="0" labelOnly="1" grandRow="1" outline="0" axis="axisRow" fieldPosition="0">
        <references count="1">
          <reference field="4294967294" count="1" selected="0">
            <x v="20"/>
          </reference>
        </references>
      </pivotArea>
    </format>
    <format dxfId="1511">
      <pivotArea field="0" dataOnly="0" labelOnly="1" grandRow="1" outline="0" axis="axisRow" fieldPosition="0">
        <references count="1">
          <reference field="4294967294" count="1" selected="0">
            <x v="21"/>
          </reference>
        </references>
      </pivotArea>
    </format>
    <format dxfId="1510">
      <pivotArea field="0" dataOnly="0" labelOnly="1" grandRow="1" outline="0" axis="axisRow" fieldPosition="0">
        <references count="1">
          <reference field="4294967294" count="1" selected="0">
            <x v="22"/>
          </reference>
        </references>
      </pivotArea>
    </format>
    <format dxfId="1509">
      <pivotArea field="0" dataOnly="0" labelOnly="1" grandRow="1" outline="0" axis="axisRow" fieldPosition="0">
        <references count="1">
          <reference field="4294967294" count="1" selected="0">
            <x v="23"/>
          </reference>
        </references>
      </pivotArea>
    </format>
    <format dxfId="1508">
      <pivotArea field="0" dataOnly="0" labelOnly="1" grandRow="1" outline="0" axis="axisRow" fieldPosition="0">
        <references count="1">
          <reference field="4294967294" count="1" selected="0">
            <x v="24"/>
          </reference>
        </references>
      </pivotArea>
    </format>
    <format dxfId="1507">
      <pivotArea field="0" dataOnly="0" labelOnly="1" grandRow="1" outline="0" axis="axisRow" fieldPosition="0">
        <references count="1">
          <reference field="4294967294" count="1" selected="0">
            <x v="25"/>
          </reference>
        </references>
      </pivotArea>
    </format>
    <format dxfId="1506">
      <pivotArea field="0" dataOnly="0" labelOnly="1" grandRow="1" outline="0" axis="axisRow" fieldPosition="0">
        <references count="1">
          <reference field="4294967294" count="1" selected="0">
            <x v="26"/>
          </reference>
        </references>
      </pivotArea>
    </format>
    <format dxfId="1505">
      <pivotArea field="0" dataOnly="0" labelOnly="1" grandRow="1" outline="0" axis="axisRow" fieldPosition="0">
        <references count="1">
          <reference field="4294967294" count="1" selected="0">
            <x v="27"/>
          </reference>
        </references>
      </pivotArea>
    </format>
    <format dxfId="1504">
      <pivotArea field="0" dataOnly="0" labelOnly="1" grandRow="1" outline="0" axis="axisRow" fieldPosition="0">
        <references count="1">
          <reference field="4294967294" count="1" selected="0">
            <x v="28"/>
          </reference>
        </references>
      </pivotArea>
    </format>
    <format dxfId="1503">
      <pivotArea field="0" dataOnly="0" labelOnly="1" grandRow="1" outline="0" axis="axisRow" fieldPosition="0">
        <references count="1">
          <reference field="4294967294" count="1" selected="0">
            <x v="29"/>
          </reference>
        </references>
      </pivotArea>
    </format>
    <format dxfId="1502">
      <pivotArea field="0" dataOnly="0" labelOnly="1" grandRow="1" outline="0" axis="axisRow" fieldPosition="0">
        <references count="1">
          <reference field="4294967294" count="1" selected="0">
            <x v="30"/>
          </reference>
        </references>
      </pivotArea>
    </format>
    <format dxfId="1501">
      <pivotArea field="0" dataOnly="0" labelOnly="1" grandRow="1" outline="0" axis="axisRow" fieldPosition="0">
        <references count="1">
          <reference field="4294967294" count="1" selected="0">
            <x v="31"/>
          </reference>
        </references>
      </pivotArea>
    </format>
    <format dxfId="1500">
      <pivotArea field="0" dataOnly="0" labelOnly="1" grandRow="1" outline="0" axis="axisRow" fieldPosition="0">
        <references count="1">
          <reference field="4294967294" count="1" selected="0">
            <x v="32"/>
          </reference>
        </references>
      </pivotArea>
    </format>
    <format dxfId="1499">
      <pivotArea field="0" dataOnly="0" labelOnly="1" grandRow="1" outline="0" axis="axisRow" fieldPosition="0">
        <references count="1">
          <reference field="4294967294" count="1" selected="0">
            <x v="33"/>
          </reference>
        </references>
      </pivotArea>
    </format>
    <format dxfId="1498">
      <pivotArea field="0" dataOnly="0" labelOnly="1" grandRow="1" outline="0" axis="axisRow" fieldPosition="0">
        <references count="1">
          <reference field="4294967294" count="1" selected="0">
            <x v="34"/>
          </reference>
        </references>
      </pivotArea>
    </format>
    <format dxfId="1497">
      <pivotArea field="0" dataOnly="0" labelOnly="1" grandRow="1" outline="0" axis="axisRow" fieldPosition="0">
        <references count="1">
          <reference field="4294967294" count="1" selected="0">
            <x v="35"/>
          </reference>
        </references>
      </pivotArea>
    </format>
    <format dxfId="1496">
      <pivotArea field="0" dataOnly="0" labelOnly="1" grandRow="1" outline="0" axis="axisRow" fieldPosition="0">
        <references count="1">
          <reference field="4294967294" count="1" selected="0">
            <x v="0"/>
          </reference>
        </references>
      </pivotArea>
    </format>
    <format dxfId="1495">
      <pivotArea field="0" dataOnly="0" labelOnly="1" grandRow="1" outline="0" axis="axisRow" fieldPosition="0">
        <references count="1">
          <reference field="4294967294" count="1" selected="0">
            <x v="1"/>
          </reference>
        </references>
      </pivotArea>
    </format>
    <format dxfId="1494">
      <pivotArea field="0" dataOnly="0" labelOnly="1" grandRow="1" outline="0" axis="axisRow" fieldPosition="0">
        <references count="1">
          <reference field="4294967294" count="1" selected="0">
            <x v="2"/>
          </reference>
        </references>
      </pivotArea>
    </format>
    <format dxfId="1493">
      <pivotArea field="0" dataOnly="0" labelOnly="1" grandRow="1" outline="0" axis="axisRow" fieldPosition="0">
        <references count="1">
          <reference field="4294967294" count="1" selected="0">
            <x v="3"/>
          </reference>
        </references>
      </pivotArea>
    </format>
    <format dxfId="1492">
      <pivotArea field="0" dataOnly="0" labelOnly="1" grandRow="1" outline="0" axis="axisRow" fieldPosition="0">
        <references count="1">
          <reference field="4294967294" count="1" selected="0">
            <x v="4"/>
          </reference>
        </references>
      </pivotArea>
    </format>
    <format dxfId="1491">
      <pivotArea field="0" dataOnly="0" labelOnly="1" grandRow="1" outline="0" axis="axisRow" fieldPosition="0">
        <references count="1">
          <reference field="4294967294" count="1" selected="0">
            <x v="5"/>
          </reference>
        </references>
      </pivotArea>
    </format>
    <format dxfId="1490">
      <pivotArea field="0" dataOnly="0" labelOnly="1" grandRow="1" outline="0" axis="axisRow" fieldPosition="0">
        <references count="1">
          <reference field="4294967294" count="1" selected="0">
            <x v="6"/>
          </reference>
        </references>
      </pivotArea>
    </format>
    <format dxfId="1489">
      <pivotArea field="0" dataOnly="0" labelOnly="1" grandRow="1" outline="0" axis="axisRow" fieldPosition="0">
        <references count="1">
          <reference field="4294967294" count="1" selected="0">
            <x v="7"/>
          </reference>
        </references>
      </pivotArea>
    </format>
    <format dxfId="1488">
      <pivotArea field="0" dataOnly="0" labelOnly="1" grandRow="1" outline="0" axis="axisRow" fieldPosition="0">
        <references count="1">
          <reference field="4294967294" count="1" selected="0">
            <x v="8"/>
          </reference>
        </references>
      </pivotArea>
    </format>
    <format dxfId="1487">
      <pivotArea field="0" dataOnly="0" labelOnly="1" grandRow="1" outline="0" axis="axisRow" fieldPosition="0">
        <references count="1">
          <reference field="4294967294" count="1" selected="0">
            <x v="9"/>
          </reference>
        </references>
      </pivotArea>
    </format>
    <format dxfId="1486">
      <pivotArea field="0" dataOnly="0" labelOnly="1" grandRow="1" outline="0" axis="axisRow" fieldPosition="0">
        <references count="1">
          <reference field="4294967294" count="1" selected="0">
            <x v="10"/>
          </reference>
        </references>
      </pivotArea>
    </format>
    <format dxfId="1485">
      <pivotArea field="0" dataOnly="0" labelOnly="1" grandRow="1" outline="0" axis="axisRow" fieldPosition="0">
        <references count="1">
          <reference field="4294967294" count="1" selected="0">
            <x v="11"/>
          </reference>
        </references>
      </pivotArea>
    </format>
    <format dxfId="1484">
      <pivotArea field="0" dataOnly="0" labelOnly="1" grandRow="1" outline="0" axis="axisRow" fieldPosition="0">
        <references count="1">
          <reference field="4294967294" count="1" selected="0">
            <x v="12"/>
          </reference>
        </references>
      </pivotArea>
    </format>
    <format dxfId="1483">
      <pivotArea field="0" dataOnly="0" labelOnly="1" grandRow="1" outline="0" axis="axisRow" fieldPosition="0">
        <references count="1">
          <reference field="4294967294" count="1" selected="0">
            <x v="13"/>
          </reference>
        </references>
      </pivotArea>
    </format>
    <format dxfId="1482">
      <pivotArea field="0" dataOnly="0" labelOnly="1" grandRow="1" outline="0" axis="axisRow" fieldPosition="0">
        <references count="1">
          <reference field="4294967294" count="1" selected="0">
            <x v="14"/>
          </reference>
        </references>
      </pivotArea>
    </format>
    <format dxfId="1481">
      <pivotArea field="0" dataOnly="0" labelOnly="1" grandRow="1" outline="0" axis="axisRow" fieldPosition="0">
        <references count="1">
          <reference field="4294967294" count="1" selected="0">
            <x v="15"/>
          </reference>
        </references>
      </pivotArea>
    </format>
    <format dxfId="1480">
      <pivotArea field="0" dataOnly="0" labelOnly="1" grandRow="1" outline="0" axis="axisRow" fieldPosition="0">
        <references count="1">
          <reference field="4294967294" count="1" selected="0">
            <x v="16"/>
          </reference>
        </references>
      </pivotArea>
    </format>
    <format dxfId="1479">
      <pivotArea field="0" dataOnly="0" labelOnly="1" grandRow="1" outline="0" axis="axisRow" fieldPosition="0">
        <references count="1">
          <reference field="4294967294" count="1" selected="0">
            <x v="17"/>
          </reference>
        </references>
      </pivotArea>
    </format>
    <format dxfId="1478">
      <pivotArea field="0" dataOnly="0" labelOnly="1" grandRow="1" outline="0" axis="axisRow" fieldPosition="0">
        <references count="1">
          <reference field="4294967294" count="1" selected="0">
            <x v="18"/>
          </reference>
        </references>
      </pivotArea>
    </format>
    <format dxfId="1477">
      <pivotArea field="0" dataOnly="0" labelOnly="1" grandRow="1" outline="0" axis="axisRow" fieldPosition="0">
        <references count="1">
          <reference field="4294967294" count="1" selected="0">
            <x v="19"/>
          </reference>
        </references>
      </pivotArea>
    </format>
    <format dxfId="1476">
      <pivotArea field="0" dataOnly="0" labelOnly="1" grandRow="1" outline="0" axis="axisRow" fieldPosition="0">
        <references count="1">
          <reference field="4294967294" count="1" selected="0">
            <x v="20"/>
          </reference>
        </references>
      </pivotArea>
    </format>
    <format dxfId="1475">
      <pivotArea field="0" dataOnly="0" labelOnly="1" grandRow="1" outline="0" axis="axisRow" fieldPosition="0">
        <references count="1">
          <reference field="4294967294" count="1" selected="0">
            <x v="21"/>
          </reference>
        </references>
      </pivotArea>
    </format>
    <format dxfId="1474">
      <pivotArea field="0" dataOnly="0" labelOnly="1" grandRow="1" outline="0" axis="axisRow" fieldPosition="0">
        <references count="1">
          <reference field="4294967294" count="1" selected="0">
            <x v="22"/>
          </reference>
        </references>
      </pivotArea>
    </format>
    <format dxfId="1473">
      <pivotArea field="0" dataOnly="0" labelOnly="1" grandRow="1" outline="0" axis="axisRow" fieldPosition="0">
        <references count="1">
          <reference field="4294967294" count="1" selected="0">
            <x v="23"/>
          </reference>
        </references>
      </pivotArea>
    </format>
    <format dxfId="1472">
      <pivotArea field="0" dataOnly="0" labelOnly="1" grandRow="1" outline="0" axis="axisRow" fieldPosition="0">
        <references count="1">
          <reference field="4294967294" count="1" selected="0">
            <x v="24"/>
          </reference>
        </references>
      </pivotArea>
    </format>
    <format dxfId="1471">
      <pivotArea field="0" dataOnly="0" labelOnly="1" grandRow="1" outline="0" axis="axisRow" fieldPosition="0">
        <references count="1">
          <reference field="4294967294" count="1" selected="0">
            <x v="25"/>
          </reference>
        </references>
      </pivotArea>
    </format>
    <format dxfId="1470">
      <pivotArea field="0" dataOnly="0" labelOnly="1" grandRow="1" outline="0" axis="axisRow" fieldPosition="0">
        <references count="1">
          <reference field="4294967294" count="1" selected="0">
            <x v="26"/>
          </reference>
        </references>
      </pivotArea>
    </format>
    <format dxfId="1469">
      <pivotArea field="0" dataOnly="0" labelOnly="1" grandRow="1" outline="0" axis="axisRow" fieldPosition="0">
        <references count="1">
          <reference field="4294967294" count="1" selected="0">
            <x v="27"/>
          </reference>
        </references>
      </pivotArea>
    </format>
    <format dxfId="1468">
      <pivotArea field="0" dataOnly="0" labelOnly="1" grandRow="1" outline="0" axis="axisRow" fieldPosition="0">
        <references count="1">
          <reference field="4294967294" count="1" selected="0">
            <x v="28"/>
          </reference>
        </references>
      </pivotArea>
    </format>
    <format dxfId="1467">
      <pivotArea field="0" dataOnly="0" labelOnly="1" grandRow="1" outline="0" axis="axisRow" fieldPosition="0">
        <references count="1">
          <reference field="4294967294" count="1" selected="0">
            <x v="29"/>
          </reference>
        </references>
      </pivotArea>
    </format>
    <format dxfId="1466">
      <pivotArea field="0" dataOnly="0" labelOnly="1" grandRow="1" outline="0" axis="axisRow" fieldPosition="0">
        <references count="1">
          <reference field="4294967294" count="1" selected="0">
            <x v="30"/>
          </reference>
        </references>
      </pivotArea>
    </format>
    <format dxfId="1465">
      <pivotArea field="0" dataOnly="0" labelOnly="1" grandRow="1" outline="0" axis="axisRow" fieldPosition="0">
        <references count="1">
          <reference field="4294967294" count="1" selected="0">
            <x v="31"/>
          </reference>
        </references>
      </pivotArea>
    </format>
    <format dxfId="1464">
      <pivotArea field="0" dataOnly="0" labelOnly="1" grandRow="1" outline="0" axis="axisRow" fieldPosition="0">
        <references count="1">
          <reference field="4294967294" count="1" selected="0">
            <x v="32"/>
          </reference>
        </references>
      </pivotArea>
    </format>
    <format dxfId="1463">
      <pivotArea field="0" dataOnly="0" labelOnly="1" grandRow="1" outline="0" axis="axisRow" fieldPosition="0">
        <references count="1">
          <reference field="4294967294" count="1" selected="0">
            <x v="33"/>
          </reference>
        </references>
      </pivotArea>
    </format>
    <format dxfId="1462">
      <pivotArea field="0" dataOnly="0" labelOnly="1" grandRow="1" outline="0" axis="axisRow" fieldPosition="0">
        <references count="1">
          <reference field="4294967294" count="1" selected="0">
            <x v="34"/>
          </reference>
        </references>
      </pivotArea>
    </format>
    <format dxfId="1461">
      <pivotArea field="0" dataOnly="0" labelOnly="1" grandRow="1" outline="0" axis="axisRow" fieldPosition="0">
        <references count="1">
          <reference field="4294967294" count="1" selected="0">
            <x v="35"/>
          </reference>
        </references>
      </pivotArea>
    </format>
    <format dxfId="1460">
      <pivotArea field="0" dataOnly="0" labelOnly="1" grandRow="1" outline="0" axis="axisRow" fieldPosition="0">
        <references count="1">
          <reference field="4294967294" count="1" selected="0">
            <x v="0"/>
          </reference>
        </references>
      </pivotArea>
    </format>
    <format dxfId="1459">
      <pivotArea field="0" dataOnly="0" labelOnly="1" grandRow="1" outline="0" axis="axisRow" fieldPosition="0">
        <references count="1">
          <reference field="4294967294" count="1" selected="0">
            <x v="1"/>
          </reference>
        </references>
      </pivotArea>
    </format>
    <format dxfId="1458">
      <pivotArea field="0" dataOnly="0" labelOnly="1" grandRow="1" outline="0" axis="axisRow" fieldPosition="0">
        <references count="1">
          <reference field="4294967294" count="1" selected="0">
            <x v="2"/>
          </reference>
        </references>
      </pivotArea>
    </format>
    <format dxfId="1457">
      <pivotArea field="0" dataOnly="0" labelOnly="1" grandRow="1" outline="0" axis="axisRow" fieldPosition="0">
        <references count="1">
          <reference field="4294967294" count="1" selected="0">
            <x v="3"/>
          </reference>
        </references>
      </pivotArea>
    </format>
    <format dxfId="1456">
      <pivotArea field="0" dataOnly="0" labelOnly="1" grandRow="1" outline="0" axis="axisRow" fieldPosition="0">
        <references count="1">
          <reference field="4294967294" count="1" selected="0">
            <x v="4"/>
          </reference>
        </references>
      </pivotArea>
    </format>
    <format dxfId="1455">
      <pivotArea field="0" dataOnly="0" labelOnly="1" grandRow="1" outline="0" axis="axisRow" fieldPosition="0">
        <references count="1">
          <reference field="4294967294" count="1" selected="0">
            <x v="5"/>
          </reference>
        </references>
      </pivotArea>
    </format>
    <format dxfId="1454">
      <pivotArea field="0" dataOnly="0" labelOnly="1" grandRow="1" outline="0" axis="axisRow" fieldPosition="0">
        <references count="1">
          <reference field="4294967294" count="1" selected="0">
            <x v="6"/>
          </reference>
        </references>
      </pivotArea>
    </format>
    <format dxfId="1453">
      <pivotArea field="0" dataOnly="0" labelOnly="1" grandRow="1" outline="0" axis="axisRow" fieldPosition="0">
        <references count="1">
          <reference field="4294967294" count="1" selected="0">
            <x v="7"/>
          </reference>
        </references>
      </pivotArea>
    </format>
    <format dxfId="1452">
      <pivotArea field="0" dataOnly="0" labelOnly="1" grandRow="1" outline="0" axis="axisRow" fieldPosition="0">
        <references count="1">
          <reference field="4294967294" count="1" selected="0">
            <x v="8"/>
          </reference>
        </references>
      </pivotArea>
    </format>
    <format dxfId="1451">
      <pivotArea field="0" dataOnly="0" labelOnly="1" grandRow="1" outline="0" axis="axisRow" fieldPosition="0">
        <references count="1">
          <reference field="4294967294" count="1" selected="0">
            <x v="9"/>
          </reference>
        </references>
      </pivotArea>
    </format>
    <format dxfId="1450">
      <pivotArea field="0" dataOnly="0" labelOnly="1" grandRow="1" outline="0" axis="axisRow" fieldPosition="0">
        <references count="1">
          <reference field="4294967294" count="1" selected="0">
            <x v="10"/>
          </reference>
        </references>
      </pivotArea>
    </format>
    <format dxfId="1449">
      <pivotArea field="0" dataOnly="0" labelOnly="1" grandRow="1" outline="0" axis="axisRow" fieldPosition="0">
        <references count="1">
          <reference field="4294967294" count="1" selected="0">
            <x v="11"/>
          </reference>
        </references>
      </pivotArea>
    </format>
    <format dxfId="1448">
      <pivotArea field="0" dataOnly="0" labelOnly="1" grandRow="1" outline="0" axis="axisRow" fieldPosition="0">
        <references count="1">
          <reference field="4294967294" count="1" selected="0">
            <x v="12"/>
          </reference>
        </references>
      </pivotArea>
    </format>
    <format dxfId="1447">
      <pivotArea field="0" dataOnly="0" labelOnly="1" grandRow="1" outline="0" axis="axisRow" fieldPosition="0">
        <references count="1">
          <reference field="4294967294" count="1" selected="0">
            <x v="13"/>
          </reference>
        </references>
      </pivotArea>
    </format>
    <format dxfId="1446">
      <pivotArea field="0" dataOnly="0" labelOnly="1" grandRow="1" outline="0" axis="axisRow" fieldPosition="0">
        <references count="1">
          <reference field="4294967294" count="1" selected="0">
            <x v="14"/>
          </reference>
        </references>
      </pivotArea>
    </format>
    <format dxfId="1445">
      <pivotArea field="0" dataOnly="0" labelOnly="1" grandRow="1" outline="0" axis="axisRow" fieldPosition="0">
        <references count="1">
          <reference field="4294967294" count="1" selected="0">
            <x v="15"/>
          </reference>
        </references>
      </pivotArea>
    </format>
    <format dxfId="1444">
      <pivotArea field="0" dataOnly="0" labelOnly="1" grandRow="1" outline="0" axis="axisRow" fieldPosition="0">
        <references count="1">
          <reference field="4294967294" count="1" selected="0">
            <x v="16"/>
          </reference>
        </references>
      </pivotArea>
    </format>
    <format dxfId="1443">
      <pivotArea field="0" dataOnly="0" labelOnly="1" grandRow="1" outline="0" axis="axisRow" fieldPosition="0">
        <references count="1">
          <reference field="4294967294" count="1" selected="0">
            <x v="17"/>
          </reference>
        </references>
      </pivotArea>
    </format>
    <format dxfId="1442">
      <pivotArea field="0" dataOnly="0" labelOnly="1" grandRow="1" outline="0" axis="axisRow" fieldPosition="0">
        <references count="1">
          <reference field="4294967294" count="1" selected="0">
            <x v="18"/>
          </reference>
        </references>
      </pivotArea>
    </format>
    <format dxfId="1441">
      <pivotArea field="0" dataOnly="0" labelOnly="1" grandRow="1" outline="0" axis="axisRow" fieldPosition="0">
        <references count="1">
          <reference field="4294967294" count="1" selected="0">
            <x v="19"/>
          </reference>
        </references>
      </pivotArea>
    </format>
    <format dxfId="1440">
      <pivotArea field="0" dataOnly="0" labelOnly="1" grandRow="1" outline="0" axis="axisRow" fieldPosition="0">
        <references count="1">
          <reference field="4294967294" count="1" selected="0">
            <x v="20"/>
          </reference>
        </references>
      </pivotArea>
    </format>
    <format dxfId="1439">
      <pivotArea field="0" dataOnly="0" labelOnly="1" grandRow="1" outline="0" axis="axisRow" fieldPosition="0">
        <references count="1">
          <reference field="4294967294" count="1" selected="0">
            <x v="21"/>
          </reference>
        </references>
      </pivotArea>
    </format>
    <format dxfId="1438">
      <pivotArea field="0" dataOnly="0" labelOnly="1" grandRow="1" outline="0" axis="axisRow" fieldPosition="0">
        <references count="1">
          <reference field="4294967294" count="1" selected="0">
            <x v="22"/>
          </reference>
        </references>
      </pivotArea>
    </format>
    <format dxfId="1437">
      <pivotArea field="0" dataOnly="0" labelOnly="1" grandRow="1" outline="0" axis="axisRow" fieldPosition="0">
        <references count="1">
          <reference field="4294967294" count="1" selected="0">
            <x v="23"/>
          </reference>
        </references>
      </pivotArea>
    </format>
    <format dxfId="1436">
      <pivotArea field="0" dataOnly="0" labelOnly="1" grandRow="1" outline="0" axis="axisRow" fieldPosition="0">
        <references count="1">
          <reference field="4294967294" count="1" selected="0">
            <x v="24"/>
          </reference>
        </references>
      </pivotArea>
    </format>
    <format dxfId="1435">
      <pivotArea field="0" dataOnly="0" labelOnly="1" grandRow="1" outline="0" axis="axisRow" fieldPosition="0">
        <references count="1">
          <reference field="4294967294" count="1" selected="0">
            <x v="25"/>
          </reference>
        </references>
      </pivotArea>
    </format>
    <format dxfId="1434">
      <pivotArea field="0" dataOnly="0" labelOnly="1" grandRow="1" outline="0" axis="axisRow" fieldPosition="0">
        <references count="1">
          <reference field="4294967294" count="1" selected="0">
            <x v="26"/>
          </reference>
        </references>
      </pivotArea>
    </format>
    <format dxfId="1433">
      <pivotArea field="0" dataOnly="0" labelOnly="1" grandRow="1" outline="0" axis="axisRow" fieldPosition="0">
        <references count="1">
          <reference field="4294967294" count="1" selected="0">
            <x v="27"/>
          </reference>
        </references>
      </pivotArea>
    </format>
    <format dxfId="1432">
      <pivotArea field="0" dataOnly="0" labelOnly="1" grandRow="1" outline="0" axis="axisRow" fieldPosition="0">
        <references count="1">
          <reference field="4294967294" count="1" selected="0">
            <x v="28"/>
          </reference>
        </references>
      </pivotArea>
    </format>
    <format dxfId="1431">
      <pivotArea field="0" dataOnly="0" labelOnly="1" grandRow="1" outline="0" axis="axisRow" fieldPosition="0">
        <references count="1">
          <reference field="4294967294" count="1" selected="0">
            <x v="29"/>
          </reference>
        </references>
      </pivotArea>
    </format>
    <format dxfId="1430">
      <pivotArea field="0" dataOnly="0" labelOnly="1" grandRow="1" outline="0" axis="axisRow" fieldPosition="0">
        <references count="1">
          <reference field="4294967294" count="1" selected="0">
            <x v="30"/>
          </reference>
        </references>
      </pivotArea>
    </format>
    <format dxfId="1429">
      <pivotArea field="0" dataOnly="0" labelOnly="1" grandRow="1" outline="0" axis="axisRow" fieldPosition="0">
        <references count="1">
          <reference field="4294967294" count="1" selected="0">
            <x v="31"/>
          </reference>
        </references>
      </pivotArea>
    </format>
    <format dxfId="1428">
      <pivotArea field="0" dataOnly="0" labelOnly="1" grandRow="1" outline="0" axis="axisRow" fieldPosition="0">
        <references count="1">
          <reference field="4294967294" count="1" selected="0">
            <x v="32"/>
          </reference>
        </references>
      </pivotArea>
    </format>
    <format dxfId="1427">
      <pivotArea field="0" dataOnly="0" labelOnly="1" grandRow="1" outline="0" axis="axisRow" fieldPosition="0">
        <references count="1">
          <reference field="4294967294" count="1" selected="0">
            <x v="33"/>
          </reference>
        </references>
      </pivotArea>
    </format>
    <format dxfId="1426">
      <pivotArea field="0" dataOnly="0" labelOnly="1" grandRow="1" outline="0" axis="axisRow" fieldPosition="0">
        <references count="1">
          <reference field="4294967294" count="1" selected="0">
            <x v="34"/>
          </reference>
        </references>
      </pivotArea>
    </format>
    <format dxfId="1425">
      <pivotArea field="0" dataOnly="0" labelOnly="1" grandRow="1" outline="0" axis="axisRow" fieldPosition="0">
        <references count="1">
          <reference field="4294967294" count="1" selected="0">
            <x v="35"/>
          </reference>
        </references>
      </pivotArea>
    </format>
    <format dxfId="1424">
      <pivotArea field="0" dataOnly="0" labelOnly="1" grandRow="1" outline="0" axis="axisRow" fieldPosition="0">
        <references count="1">
          <reference field="4294967294" count="1" selected="0">
            <x v="0"/>
          </reference>
        </references>
      </pivotArea>
    </format>
    <format dxfId="1423">
      <pivotArea field="0" dataOnly="0" labelOnly="1" grandRow="1" outline="0" axis="axisRow" fieldPosition="0">
        <references count="1">
          <reference field="4294967294" count="1" selected="0">
            <x v="1"/>
          </reference>
        </references>
      </pivotArea>
    </format>
    <format dxfId="1422">
      <pivotArea field="0" dataOnly="0" labelOnly="1" grandRow="1" outline="0" axis="axisRow" fieldPosition="0">
        <references count="1">
          <reference field="4294967294" count="1" selected="0">
            <x v="2"/>
          </reference>
        </references>
      </pivotArea>
    </format>
    <format dxfId="1421">
      <pivotArea field="0" dataOnly="0" labelOnly="1" grandRow="1" outline="0" axis="axisRow" fieldPosition="0">
        <references count="1">
          <reference field="4294967294" count="1" selected="0">
            <x v="3"/>
          </reference>
        </references>
      </pivotArea>
    </format>
    <format dxfId="1420">
      <pivotArea field="0" dataOnly="0" labelOnly="1" grandRow="1" outline="0" axis="axisRow" fieldPosition="0">
        <references count="1">
          <reference field="4294967294" count="1" selected="0">
            <x v="4"/>
          </reference>
        </references>
      </pivotArea>
    </format>
    <format dxfId="1419">
      <pivotArea field="0" dataOnly="0" labelOnly="1" grandRow="1" outline="0" axis="axisRow" fieldPosition="0">
        <references count="1">
          <reference field="4294967294" count="1" selected="0">
            <x v="5"/>
          </reference>
        </references>
      </pivotArea>
    </format>
    <format dxfId="1418">
      <pivotArea field="0" dataOnly="0" labelOnly="1" grandRow="1" outline="0" axis="axisRow" fieldPosition="0">
        <references count="1">
          <reference field="4294967294" count="1" selected="0">
            <x v="6"/>
          </reference>
        </references>
      </pivotArea>
    </format>
    <format dxfId="1417">
      <pivotArea field="0" dataOnly="0" labelOnly="1" grandRow="1" outline="0" axis="axisRow" fieldPosition="0">
        <references count="1">
          <reference field="4294967294" count="1" selected="0">
            <x v="7"/>
          </reference>
        </references>
      </pivotArea>
    </format>
    <format dxfId="1416">
      <pivotArea field="0" dataOnly="0" labelOnly="1" grandRow="1" outline="0" axis="axisRow" fieldPosition="0">
        <references count="1">
          <reference field="4294967294" count="1" selected="0">
            <x v="8"/>
          </reference>
        </references>
      </pivotArea>
    </format>
    <format dxfId="1415">
      <pivotArea field="0" dataOnly="0" labelOnly="1" grandRow="1" outline="0" axis="axisRow" fieldPosition="0">
        <references count="1">
          <reference field="4294967294" count="1" selected="0">
            <x v="9"/>
          </reference>
        </references>
      </pivotArea>
    </format>
    <format dxfId="1414">
      <pivotArea field="0" dataOnly="0" labelOnly="1" grandRow="1" outline="0" axis="axisRow" fieldPosition="0">
        <references count="1">
          <reference field="4294967294" count="1" selected="0">
            <x v="10"/>
          </reference>
        </references>
      </pivotArea>
    </format>
    <format dxfId="1413">
      <pivotArea field="0" dataOnly="0" labelOnly="1" grandRow="1" outline="0" axis="axisRow" fieldPosition="0">
        <references count="1">
          <reference field="4294967294" count="1" selected="0">
            <x v="11"/>
          </reference>
        </references>
      </pivotArea>
    </format>
    <format dxfId="1412">
      <pivotArea field="0" dataOnly="0" labelOnly="1" grandRow="1" outline="0" axis="axisRow" fieldPosition="0">
        <references count="1">
          <reference field="4294967294" count="1" selected="0">
            <x v="12"/>
          </reference>
        </references>
      </pivotArea>
    </format>
    <format dxfId="1411">
      <pivotArea field="0" dataOnly="0" labelOnly="1" grandRow="1" outline="0" axis="axisRow" fieldPosition="0">
        <references count="1">
          <reference field="4294967294" count="1" selected="0">
            <x v="13"/>
          </reference>
        </references>
      </pivotArea>
    </format>
    <format dxfId="1410">
      <pivotArea field="0" dataOnly="0" labelOnly="1" grandRow="1" outline="0" axis="axisRow" fieldPosition="0">
        <references count="1">
          <reference field="4294967294" count="1" selected="0">
            <x v="14"/>
          </reference>
        </references>
      </pivotArea>
    </format>
    <format dxfId="1409">
      <pivotArea field="0" dataOnly="0" labelOnly="1" grandRow="1" outline="0" axis="axisRow" fieldPosition="0">
        <references count="1">
          <reference field="4294967294" count="1" selected="0">
            <x v="15"/>
          </reference>
        </references>
      </pivotArea>
    </format>
    <format dxfId="1408">
      <pivotArea field="0" dataOnly="0" labelOnly="1" grandRow="1" outline="0" axis="axisRow" fieldPosition="0">
        <references count="1">
          <reference field="4294967294" count="1" selected="0">
            <x v="16"/>
          </reference>
        </references>
      </pivotArea>
    </format>
    <format dxfId="1407">
      <pivotArea field="0" dataOnly="0" labelOnly="1" grandRow="1" outline="0" axis="axisRow" fieldPosition="0">
        <references count="1">
          <reference field="4294967294" count="1" selected="0">
            <x v="17"/>
          </reference>
        </references>
      </pivotArea>
    </format>
    <format dxfId="1406">
      <pivotArea field="0" dataOnly="0" labelOnly="1" grandRow="1" outline="0" axis="axisRow" fieldPosition="0">
        <references count="1">
          <reference field="4294967294" count="1" selected="0">
            <x v="18"/>
          </reference>
        </references>
      </pivotArea>
    </format>
    <format dxfId="1405">
      <pivotArea field="0" dataOnly="0" labelOnly="1" grandRow="1" outline="0" axis="axisRow" fieldPosition="0">
        <references count="1">
          <reference field="4294967294" count="1" selected="0">
            <x v="19"/>
          </reference>
        </references>
      </pivotArea>
    </format>
    <format dxfId="1404">
      <pivotArea field="0" dataOnly="0" labelOnly="1" grandRow="1" outline="0" axis="axisRow" fieldPosition="0">
        <references count="1">
          <reference field="4294967294" count="1" selected="0">
            <x v="20"/>
          </reference>
        </references>
      </pivotArea>
    </format>
    <format dxfId="1403">
      <pivotArea field="0" dataOnly="0" labelOnly="1" grandRow="1" outline="0" axis="axisRow" fieldPosition="0">
        <references count="1">
          <reference field="4294967294" count="1" selected="0">
            <x v="21"/>
          </reference>
        </references>
      </pivotArea>
    </format>
    <format dxfId="1402">
      <pivotArea field="0" dataOnly="0" labelOnly="1" grandRow="1" outline="0" axis="axisRow" fieldPosition="0">
        <references count="1">
          <reference field="4294967294" count="1" selected="0">
            <x v="22"/>
          </reference>
        </references>
      </pivotArea>
    </format>
    <format dxfId="1401">
      <pivotArea field="0" dataOnly="0" labelOnly="1" grandRow="1" outline="0" axis="axisRow" fieldPosition="0">
        <references count="1">
          <reference field="4294967294" count="1" selected="0">
            <x v="23"/>
          </reference>
        </references>
      </pivotArea>
    </format>
    <format dxfId="1400">
      <pivotArea field="0" dataOnly="0" labelOnly="1" grandRow="1" outline="0" axis="axisRow" fieldPosition="0">
        <references count="1">
          <reference field="4294967294" count="1" selected="0">
            <x v="24"/>
          </reference>
        </references>
      </pivotArea>
    </format>
    <format dxfId="1399">
      <pivotArea field="0" dataOnly="0" labelOnly="1" grandRow="1" outline="0" axis="axisRow" fieldPosition="0">
        <references count="1">
          <reference field="4294967294" count="1" selected="0">
            <x v="25"/>
          </reference>
        </references>
      </pivotArea>
    </format>
    <format dxfId="1398">
      <pivotArea field="0" dataOnly="0" labelOnly="1" grandRow="1" outline="0" axis="axisRow" fieldPosition="0">
        <references count="1">
          <reference field="4294967294" count="1" selected="0">
            <x v="26"/>
          </reference>
        </references>
      </pivotArea>
    </format>
    <format dxfId="1397">
      <pivotArea field="0" dataOnly="0" labelOnly="1" grandRow="1" outline="0" axis="axisRow" fieldPosition="0">
        <references count="1">
          <reference field="4294967294" count="1" selected="0">
            <x v="27"/>
          </reference>
        </references>
      </pivotArea>
    </format>
    <format dxfId="1396">
      <pivotArea field="0" dataOnly="0" labelOnly="1" grandRow="1" outline="0" axis="axisRow" fieldPosition="0">
        <references count="1">
          <reference field="4294967294" count="1" selected="0">
            <x v="28"/>
          </reference>
        </references>
      </pivotArea>
    </format>
    <format dxfId="1395">
      <pivotArea field="0" dataOnly="0" labelOnly="1" grandRow="1" outline="0" axis="axisRow" fieldPosition="0">
        <references count="1">
          <reference field="4294967294" count="1" selected="0">
            <x v="29"/>
          </reference>
        </references>
      </pivotArea>
    </format>
    <format dxfId="1394">
      <pivotArea field="0" dataOnly="0" labelOnly="1" grandRow="1" outline="0" axis="axisRow" fieldPosition="0">
        <references count="1">
          <reference field="4294967294" count="1" selected="0">
            <x v="30"/>
          </reference>
        </references>
      </pivotArea>
    </format>
    <format dxfId="1393">
      <pivotArea field="0" dataOnly="0" labelOnly="1" grandRow="1" outline="0" axis="axisRow" fieldPosition="0">
        <references count="1">
          <reference field="4294967294" count="1" selected="0">
            <x v="31"/>
          </reference>
        </references>
      </pivotArea>
    </format>
    <format dxfId="1392">
      <pivotArea field="0" dataOnly="0" labelOnly="1" grandRow="1" outline="0" axis="axisRow" fieldPosition="0">
        <references count="1">
          <reference field="4294967294" count="1" selected="0">
            <x v="32"/>
          </reference>
        </references>
      </pivotArea>
    </format>
    <format dxfId="1391">
      <pivotArea field="0" dataOnly="0" labelOnly="1" grandRow="1" outline="0" axis="axisRow" fieldPosition="0">
        <references count="1">
          <reference field="4294967294" count="1" selected="0">
            <x v="33"/>
          </reference>
        </references>
      </pivotArea>
    </format>
    <format dxfId="1390">
      <pivotArea field="0" dataOnly="0" labelOnly="1" grandRow="1" outline="0" axis="axisRow" fieldPosition="0">
        <references count="1">
          <reference field="4294967294" count="1" selected="0">
            <x v="34"/>
          </reference>
        </references>
      </pivotArea>
    </format>
    <format dxfId="1389">
      <pivotArea field="0" dataOnly="0" labelOnly="1" grandRow="1" outline="0" axis="axisRow" fieldPosition="0">
        <references count="1">
          <reference field="4294967294" count="1" selected="0">
            <x v="35"/>
          </reference>
        </references>
      </pivotArea>
    </format>
    <format dxfId="1388">
      <pivotArea field="0" dataOnly="0" labelOnly="1" grandRow="1" outline="0" axis="axisRow" fieldPosition="0">
        <references count="1">
          <reference field="4294967294" count="1" selected="0">
            <x v="0"/>
          </reference>
        </references>
      </pivotArea>
    </format>
    <format dxfId="1387">
      <pivotArea field="0" dataOnly="0" labelOnly="1" grandRow="1" outline="0" axis="axisRow" fieldPosition="0">
        <references count="1">
          <reference field="4294967294" count="1" selected="0">
            <x v="1"/>
          </reference>
        </references>
      </pivotArea>
    </format>
    <format dxfId="1386">
      <pivotArea field="0" dataOnly="0" labelOnly="1" grandRow="1" outline="0" axis="axisRow" fieldPosition="0">
        <references count="1">
          <reference field="4294967294" count="1" selected="0">
            <x v="2"/>
          </reference>
        </references>
      </pivotArea>
    </format>
    <format dxfId="1385">
      <pivotArea field="0" dataOnly="0" labelOnly="1" grandRow="1" outline="0" axis="axisRow" fieldPosition="0">
        <references count="1">
          <reference field="4294967294" count="1" selected="0">
            <x v="3"/>
          </reference>
        </references>
      </pivotArea>
    </format>
    <format dxfId="1384">
      <pivotArea field="0" dataOnly="0" labelOnly="1" grandRow="1" outline="0" axis="axisRow" fieldPosition="0">
        <references count="1">
          <reference field="4294967294" count="1" selected="0">
            <x v="4"/>
          </reference>
        </references>
      </pivotArea>
    </format>
    <format dxfId="1383">
      <pivotArea field="0" dataOnly="0" labelOnly="1" grandRow="1" outline="0" axis="axisRow" fieldPosition="0">
        <references count="1">
          <reference field="4294967294" count="1" selected="0">
            <x v="5"/>
          </reference>
        </references>
      </pivotArea>
    </format>
    <format dxfId="1382">
      <pivotArea field="0" dataOnly="0" labelOnly="1" grandRow="1" outline="0" axis="axisRow" fieldPosition="0">
        <references count="1">
          <reference field="4294967294" count="1" selected="0">
            <x v="6"/>
          </reference>
        </references>
      </pivotArea>
    </format>
    <format dxfId="1381">
      <pivotArea field="0" dataOnly="0" labelOnly="1" grandRow="1" outline="0" axis="axisRow" fieldPosition="0">
        <references count="1">
          <reference field="4294967294" count="1" selected="0">
            <x v="7"/>
          </reference>
        </references>
      </pivotArea>
    </format>
    <format dxfId="1380">
      <pivotArea field="0" dataOnly="0" labelOnly="1" grandRow="1" outline="0" axis="axisRow" fieldPosition="0">
        <references count="1">
          <reference field="4294967294" count="1" selected="0">
            <x v="8"/>
          </reference>
        </references>
      </pivotArea>
    </format>
    <format dxfId="1379">
      <pivotArea field="0" dataOnly="0" labelOnly="1" grandRow="1" outline="0" axis="axisRow" fieldPosition="0">
        <references count="1">
          <reference field="4294967294" count="1" selected="0">
            <x v="9"/>
          </reference>
        </references>
      </pivotArea>
    </format>
    <format dxfId="1378">
      <pivotArea field="0" dataOnly="0" labelOnly="1" grandRow="1" outline="0" axis="axisRow" fieldPosition="0">
        <references count="1">
          <reference field="4294967294" count="1" selected="0">
            <x v="10"/>
          </reference>
        </references>
      </pivotArea>
    </format>
    <format dxfId="1377">
      <pivotArea field="0" dataOnly="0" labelOnly="1" grandRow="1" outline="0" axis="axisRow" fieldPosition="0">
        <references count="1">
          <reference field="4294967294" count="1" selected="0">
            <x v="11"/>
          </reference>
        </references>
      </pivotArea>
    </format>
    <format dxfId="1376">
      <pivotArea field="0" dataOnly="0" labelOnly="1" grandRow="1" outline="0" axis="axisRow" fieldPosition="0">
        <references count="1">
          <reference field="4294967294" count="1" selected="0">
            <x v="12"/>
          </reference>
        </references>
      </pivotArea>
    </format>
    <format dxfId="1375">
      <pivotArea field="0" dataOnly="0" labelOnly="1" grandRow="1" outline="0" axis="axisRow" fieldPosition="0">
        <references count="1">
          <reference field="4294967294" count="1" selected="0">
            <x v="13"/>
          </reference>
        </references>
      </pivotArea>
    </format>
    <format dxfId="1374">
      <pivotArea field="0" dataOnly="0" labelOnly="1" grandRow="1" outline="0" axis="axisRow" fieldPosition="0">
        <references count="1">
          <reference field="4294967294" count="1" selected="0">
            <x v="14"/>
          </reference>
        </references>
      </pivotArea>
    </format>
    <format dxfId="1373">
      <pivotArea field="0" dataOnly="0" labelOnly="1" grandRow="1" outline="0" axis="axisRow" fieldPosition="0">
        <references count="1">
          <reference field="4294967294" count="1" selected="0">
            <x v="15"/>
          </reference>
        </references>
      </pivotArea>
    </format>
    <format dxfId="1372">
      <pivotArea field="0" dataOnly="0" labelOnly="1" grandRow="1" outline="0" axis="axisRow" fieldPosition="0">
        <references count="1">
          <reference field="4294967294" count="1" selected="0">
            <x v="16"/>
          </reference>
        </references>
      </pivotArea>
    </format>
    <format dxfId="1371">
      <pivotArea field="0" dataOnly="0" labelOnly="1" grandRow="1" outline="0" axis="axisRow" fieldPosition="0">
        <references count="1">
          <reference field="4294967294" count="1" selected="0">
            <x v="17"/>
          </reference>
        </references>
      </pivotArea>
    </format>
    <format dxfId="1370">
      <pivotArea field="0" dataOnly="0" labelOnly="1" grandRow="1" outline="0" axis="axisRow" fieldPosition="0">
        <references count="1">
          <reference field="4294967294" count="1" selected="0">
            <x v="18"/>
          </reference>
        </references>
      </pivotArea>
    </format>
    <format dxfId="1369">
      <pivotArea field="0" dataOnly="0" labelOnly="1" grandRow="1" outline="0" axis="axisRow" fieldPosition="0">
        <references count="1">
          <reference field="4294967294" count="1" selected="0">
            <x v="19"/>
          </reference>
        </references>
      </pivotArea>
    </format>
    <format dxfId="1368">
      <pivotArea field="0" dataOnly="0" labelOnly="1" grandRow="1" outline="0" axis="axisRow" fieldPosition="0">
        <references count="1">
          <reference field="4294967294" count="1" selected="0">
            <x v="20"/>
          </reference>
        </references>
      </pivotArea>
    </format>
    <format dxfId="1367">
      <pivotArea field="0" dataOnly="0" labelOnly="1" grandRow="1" outline="0" axis="axisRow" fieldPosition="0">
        <references count="1">
          <reference field="4294967294" count="1" selected="0">
            <x v="21"/>
          </reference>
        </references>
      </pivotArea>
    </format>
    <format dxfId="1366">
      <pivotArea field="0" dataOnly="0" labelOnly="1" grandRow="1" outline="0" axis="axisRow" fieldPosition="0">
        <references count="1">
          <reference field="4294967294" count="1" selected="0">
            <x v="22"/>
          </reference>
        </references>
      </pivotArea>
    </format>
    <format dxfId="1365">
      <pivotArea field="0" dataOnly="0" labelOnly="1" grandRow="1" outline="0" axis="axisRow" fieldPosition="0">
        <references count="1">
          <reference field="4294967294" count="1" selected="0">
            <x v="23"/>
          </reference>
        </references>
      </pivotArea>
    </format>
    <format dxfId="1364">
      <pivotArea field="0" dataOnly="0" labelOnly="1" grandRow="1" outline="0" axis="axisRow" fieldPosition="0">
        <references count="1">
          <reference field="4294967294" count="1" selected="0">
            <x v="24"/>
          </reference>
        </references>
      </pivotArea>
    </format>
    <format dxfId="1363">
      <pivotArea field="0" dataOnly="0" labelOnly="1" grandRow="1" outline="0" axis="axisRow" fieldPosition="0">
        <references count="1">
          <reference field="4294967294" count="1" selected="0">
            <x v="25"/>
          </reference>
        </references>
      </pivotArea>
    </format>
    <format dxfId="1362">
      <pivotArea field="0" dataOnly="0" labelOnly="1" grandRow="1" outline="0" axis="axisRow" fieldPosition="0">
        <references count="1">
          <reference field="4294967294" count="1" selected="0">
            <x v="26"/>
          </reference>
        </references>
      </pivotArea>
    </format>
    <format dxfId="1361">
      <pivotArea field="0" dataOnly="0" labelOnly="1" grandRow="1" outline="0" axis="axisRow" fieldPosition="0">
        <references count="1">
          <reference field="4294967294" count="1" selected="0">
            <x v="27"/>
          </reference>
        </references>
      </pivotArea>
    </format>
    <format dxfId="1360">
      <pivotArea field="0" dataOnly="0" labelOnly="1" grandRow="1" outline="0" axis="axisRow" fieldPosition="0">
        <references count="1">
          <reference field="4294967294" count="1" selected="0">
            <x v="28"/>
          </reference>
        </references>
      </pivotArea>
    </format>
    <format dxfId="1359">
      <pivotArea field="0" dataOnly="0" labelOnly="1" grandRow="1" outline="0" axis="axisRow" fieldPosition="0">
        <references count="1">
          <reference field="4294967294" count="1" selected="0">
            <x v="29"/>
          </reference>
        </references>
      </pivotArea>
    </format>
    <format dxfId="1358">
      <pivotArea field="0" dataOnly="0" labelOnly="1" grandRow="1" outline="0" axis="axisRow" fieldPosition="0">
        <references count="1">
          <reference field="4294967294" count="1" selected="0">
            <x v="30"/>
          </reference>
        </references>
      </pivotArea>
    </format>
    <format dxfId="1357">
      <pivotArea field="0" dataOnly="0" labelOnly="1" grandRow="1" outline="0" axis="axisRow" fieldPosition="0">
        <references count="1">
          <reference field="4294967294" count="1" selected="0">
            <x v="31"/>
          </reference>
        </references>
      </pivotArea>
    </format>
    <format dxfId="1356">
      <pivotArea field="0" dataOnly="0" labelOnly="1" grandRow="1" outline="0" axis="axisRow" fieldPosition="0">
        <references count="1">
          <reference field="4294967294" count="1" selected="0">
            <x v="32"/>
          </reference>
        </references>
      </pivotArea>
    </format>
    <format dxfId="1355">
      <pivotArea field="0" dataOnly="0" labelOnly="1" grandRow="1" outline="0" axis="axisRow" fieldPosition="0">
        <references count="1">
          <reference field="4294967294" count="1" selected="0">
            <x v="33"/>
          </reference>
        </references>
      </pivotArea>
    </format>
    <format dxfId="1354">
      <pivotArea field="0" dataOnly="0" labelOnly="1" grandRow="1" outline="0" axis="axisRow" fieldPosition="0">
        <references count="1">
          <reference field="4294967294" count="1" selected="0">
            <x v="34"/>
          </reference>
        </references>
      </pivotArea>
    </format>
    <format dxfId="1353">
      <pivotArea field="0" dataOnly="0" labelOnly="1" grandRow="1" outline="0" axis="axisRow" fieldPosition="0">
        <references count="1">
          <reference field="4294967294" count="1" selected="0">
            <x v="35"/>
          </reference>
        </references>
      </pivotArea>
    </format>
    <format dxfId="1352">
      <pivotArea field="0" dataOnly="0" labelOnly="1" grandRow="1" outline="0" axis="axisRow" fieldPosition="0">
        <references count="1">
          <reference field="4294967294" count="1" selected="0">
            <x v="0"/>
          </reference>
        </references>
      </pivotArea>
    </format>
    <format dxfId="1351">
      <pivotArea field="0" dataOnly="0" labelOnly="1" grandRow="1" outline="0" axis="axisRow" fieldPosition="0">
        <references count="1">
          <reference field="4294967294" count="1" selected="0">
            <x v="1"/>
          </reference>
        </references>
      </pivotArea>
    </format>
    <format dxfId="1350">
      <pivotArea field="0" dataOnly="0" labelOnly="1" grandRow="1" outline="0" axis="axisRow" fieldPosition="0">
        <references count="1">
          <reference field="4294967294" count="1" selected="0">
            <x v="2"/>
          </reference>
        </references>
      </pivotArea>
    </format>
    <format dxfId="1349">
      <pivotArea field="0" dataOnly="0" labelOnly="1" grandRow="1" outline="0" axis="axisRow" fieldPosition="0">
        <references count="1">
          <reference field="4294967294" count="1" selected="0">
            <x v="3"/>
          </reference>
        </references>
      </pivotArea>
    </format>
    <format dxfId="1348">
      <pivotArea field="0" dataOnly="0" labelOnly="1" grandRow="1" outline="0" axis="axisRow" fieldPosition="0">
        <references count="1">
          <reference field="4294967294" count="1" selected="0">
            <x v="4"/>
          </reference>
        </references>
      </pivotArea>
    </format>
    <format dxfId="1347">
      <pivotArea field="0" dataOnly="0" labelOnly="1" grandRow="1" outline="0" axis="axisRow" fieldPosition="0">
        <references count="1">
          <reference field="4294967294" count="1" selected="0">
            <x v="5"/>
          </reference>
        </references>
      </pivotArea>
    </format>
    <format dxfId="1346">
      <pivotArea field="0" dataOnly="0" labelOnly="1" grandRow="1" outline="0" axis="axisRow" fieldPosition="0">
        <references count="1">
          <reference field="4294967294" count="1" selected="0">
            <x v="6"/>
          </reference>
        </references>
      </pivotArea>
    </format>
    <format dxfId="1345">
      <pivotArea field="0" dataOnly="0" labelOnly="1" grandRow="1" outline="0" axis="axisRow" fieldPosition="0">
        <references count="1">
          <reference field="4294967294" count="1" selected="0">
            <x v="7"/>
          </reference>
        </references>
      </pivotArea>
    </format>
    <format dxfId="1344">
      <pivotArea field="0" dataOnly="0" labelOnly="1" grandRow="1" outline="0" axis="axisRow" fieldPosition="0">
        <references count="1">
          <reference field="4294967294" count="1" selected="0">
            <x v="8"/>
          </reference>
        </references>
      </pivotArea>
    </format>
    <format dxfId="1343">
      <pivotArea field="0" dataOnly="0" labelOnly="1" grandRow="1" outline="0" axis="axisRow" fieldPosition="0">
        <references count="1">
          <reference field="4294967294" count="1" selected="0">
            <x v="9"/>
          </reference>
        </references>
      </pivotArea>
    </format>
    <format dxfId="1342">
      <pivotArea field="0" dataOnly="0" labelOnly="1" grandRow="1" outline="0" axis="axisRow" fieldPosition="0">
        <references count="1">
          <reference field="4294967294" count="1" selected="0">
            <x v="10"/>
          </reference>
        </references>
      </pivotArea>
    </format>
    <format dxfId="1341">
      <pivotArea field="0" dataOnly="0" labelOnly="1" grandRow="1" outline="0" axis="axisRow" fieldPosition="0">
        <references count="1">
          <reference field="4294967294" count="1" selected="0">
            <x v="11"/>
          </reference>
        </references>
      </pivotArea>
    </format>
    <format dxfId="1340">
      <pivotArea field="0" dataOnly="0" labelOnly="1" grandRow="1" outline="0" axis="axisRow" fieldPosition="0">
        <references count="1">
          <reference field="4294967294" count="1" selected="0">
            <x v="12"/>
          </reference>
        </references>
      </pivotArea>
    </format>
    <format dxfId="1339">
      <pivotArea field="0" dataOnly="0" labelOnly="1" grandRow="1" outline="0" axis="axisRow" fieldPosition="0">
        <references count="1">
          <reference field="4294967294" count="1" selected="0">
            <x v="13"/>
          </reference>
        </references>
      </pivotArea>
    </format>
    <format dxfId="1338">
      <pivotArea field="0" dataOnly="0" labelOnly="1" grandRow="1" outline="0" axis="axisRow" fieldPosition="0">
        <references count="1">
          <reference field="4294967294" count="1" selected="0">
            <x v="14"/>
          </reference>
        </references>
      </pivotArea>
    </format>
    <format dxfId="1337">
      <pivotArea field="0" dataOnly="0" labelOnly="1" grandRow="1" outline="0" axis="axisRow" fieldPosition="0">
        <references count="1">
          <reference field="4294967294" count="1" selected="0">
            <x v="15"/>
          </reference>
        </references>
      </pivotArea>
    </format>
    <format dxfId="1336">
      <pivotArea field="0" dataOnly="0" labelOnly="1" grandRow="1" outline="0" axis="axisRow" fieldPosition="0">
        <references count="1">
          <reference field="4294967294" count="1" selected="0">
            <x v="16"/>
          </reference>
        </references>
      </pivotArea>
    </format>
    <format dxfId="1335">
      <pivotArea field="0" dataOnly="0" labelOnly="1" grandRow="1" outline="0" axis="axisRow" fieldPosition="0">
        <references count="1">
          <reference field="4294967294" count="1" selected="0">
            <x v="17"/>
          </reference>
        </references>
      </pivotArea>
    </format>
    <format dxfId="1334">
      <pivotArea field="0" dataOnly="0" labelOnly="1" grandRow="1" outline="0" axis="axisRow" fieldPosition="0">
        <references count="1">
          <reference field="4294967294" count="1" selected="0">
            <x v="18"/>
          </reference>
        </references>
      </pivotArea>
    </format>
    <format dxfId="1333">
      <pivotArea field="0" dataOnly="0" labelOnly="1" grandRow="1" outline="0" axis="axisRow" fieldPosition="0">
        <references count="1">
          <reference field="4294967294" count="1" selected="0">
            <x v="19"/>
          </reference>
        </references>
      </pivotArea>
    </format>
    <format dxfId="1332">
      <pivotArea field="0" dataOnly="0" labelOnly="1" grandRow="1" outline="0" axis="axisRow" fieldPosition="0">
        <references count="1">
          <reference field="4294967294" count="1" selected="0">
            <x v="20"/>
          </reference>
        </references>
      </pivotArea>
    </format>
    <format dxfId="1331">
      <pivotArea field="0" dataOnly="0" labelOnly="1" grandRow="1" outline="0" axis="axisRow" fieldPosition="0">
        <references count="1">
          <reference field="4294967294" count="1" selected="0">
            <x v="21"/>
          </reference>
        </references>
      </pivotArea>
    </format>
    <format dxfId="1330">
      <pivotArea field="0" dataOnly="0" labelOnly="1" grandRow="1" outline="0" axis="axisRow" fieldPosition="0">
        <references count="1">
          <reference field="4294967294" count="1" selected="0">
            <x v="22"/>
          </reference>
        </references>
      </pivotArea>
    </format>
    <format dxfId="1329">
      <pivotArea field="0" dataOnly="0" labelOnly="1" grandRow="1" outline="0" axis="axisRow" fieldPosition="0">
        <references count="1">
          <reference field="4294967294" count="1" selected="0">
            <x v="23"/>
          </reference>
        </references>
      </pivotArea>
    </format>
    <format dxfId="1328">
      <pivotArea field="0" dataOnly="0" labelOnly="1" grandRow="1" outline="0" axis="axisRow" fieldPosition="0">
        <references count="1">
          <reference field="4294967294" count="1" selected="0">
            <x v="24"/>
          </reference>
        </references>
      </pivotArea>
    </format>
    <format dxfId="1327">
      <pivotArea field="0" dataOnly="0" labelOnly="1" grandRow="1" outline="0" axis="axisRow" fieldPosition="0">
        <references count="1">
          <reference field="4294967294" count="1" selected="0">
            <x v="25"/>
          </reference>
        </references>
      </pivotArea>
    </format>
    <format dxfId="1326">
      <pivotArea field="0" dataOnly="0" labelOnly="1" grandRow="1" outline="0" axis="axisRow" fieldPosition="0">
        <references count="1">
          <reference field="4294967294" count="1" selected="0">
            <x v="26"/>
          </reference>
        </references>
      </pivotArea>
    </format>
    <format dxfId="1325">
      <pivotArea field="0" dataOnly="0" labelOnly="1" grandRow="1" outline="0" axis="axisRow" fieldPosition="0">
        <references count="1">
          <reference field="4294967294" count="1" selected="0">
            <x v="27"/>
          </reference>
        </references>
      </pivotArea>
    </format>
    <format dxfId="1324">
      <pivotArea field="0" dataOnly="0" labelOnly="1" grandRow="1" outline="0" axis="axisRow" fieldPosition="0">
        <references count="1">
          <reference field="4294967294" count="1" selected="0">
            <x v="28"/>
          </reference>
        </references>
      </pivotArea>
    </format>
    <format dxfId="1323">
      <pivotArea field="0" dataOnly="0" labelOnly="1" grandRow="1" outline="0" axis="axisRow" fieldPosition="0">
        <references count="1">
          <reference field="4294967294" count="1" selected="0">
            <x v="29"/>
          </reference>
        </references>
      </pivotArea>
    </format>
    <format dxfId="1322">
      <pivotArea field="0" dataOnly="0" labelOnly="1" grandRow="1" outline="0" axis="axisRow" fieldPosition="0">
        <references count="1">
          <reference field="4294967294" count="1" selected="0">
            <x v="30"/>
          </reference>
        </references>
      </pivotArea>
    </format>
    <format dxfId="1321">
      <pivotArea field="0" dataOnly="0" labelOnly="1" grandRow="1" outline="0" axis="axisRow" fieldPosition="0">
        <references count="1">
          <reference field="4294967294" count="1" selected="0">
            <x v="31"/>
          </reference>
        </references>
      </pivotArea>
    </format>
    <format dxfId="1320">
      <pivotArea field="0" dataOnly="0" labelOnly="1" grandRow="1" outline="0" axis="axisRow" fieldPosition="0">
        <references count="1">
          <reference field="4294967294" count="1" selected="0">
            <x v="32"/>
          </reference>
        </references>
      </pivotArea>
    </format>
    <format dxfId="1319">
      <pivotArea field="0" dataOnly="0" labelOnly="1" grandRow="1" outline="0" axis="axisRow" fieldPosition="0">
        <references count="1">
          <reference field="4294967294" count="1" selected="0">
            <x v="33"/>
          </reference>
        </references>
      </pivotArea>
    </format>
    <format dxfId="1318">
      <pivotArea field="0" dataOnly="0" labelOnly="1" grandRow="1" outline="0" axis="axisRow" fieldPosition="0">
        <references count="1">
          <reference field="4294967294" count="1" selected="0">
            <x v="34"/>
          </reference>
        </references>
      </pivotArea>
    </format>
    <format dxfId="1317">
      <pivotArea field="0" dataOnly="0" labelOnly="1" grandRow="1" outline="0" axis="axisRow" fieldPosition="0">
        <references count="1">
          <reference field="4294967294" count="1" selected="0">
            <x v="35"/>
          </reference>
        </references>
      </pivotArea>
    </format>
    <format dxfId="1316">
      <pivotArea field="0" dataOnly="0" labelOnly="1" grandRow="1" outline="0" axis="axisRow" fieldPosition="0">
        <references count="1">
          <reference field="4294967294" count="1" selected="0">
            <x v="0"/>
          </reference>
        </references>
      </pivotArea>
    </format>
    <format dxfId="1315">
      <pivotArea field="0" dataOnly="0" labelOnly="1" grandRow="1" outline="0" axis="axisRow" fieldPosition="0">
        <references count="1">
          <reference field="4294967294" count="1" selected="0">
            <x v="1"/>
          </reference>
        </references>
      </pivotArea>
    </format>
    <format dxfId="1314">
      <pivotArea field="0" dataOnly="0" labelOnly="1" grandRow="1" outline="0" axis="axisRow" fieldPosition="0">
        <references count="1">
          <reference field="4294967294" count="1" selected="0">
            <x v="2"/>
          </reference>
        </references>
      </pivotArea>
    </format>
    <format dxfId="1313">
      <pivotArea field="0" dataOnly="0" labelOnly="1" grandRow="1" outline="0" axis="axisRow" fieldPosition="0">
        <references count="1">
          <reference field="4294967294" count="1" selected="0">
            <x v="3"/>
          </reference>
        </references>
      </pivotArea>
    </format>
    <format dxfId="1312">
      <pivotArea field="0" dataOnly="0" labelOnly="1" grandRow="1" outline="0" axis="axisRow" fieldPosition="0">
        <references count="1">
          <reference field="4294967294" count="1" selected="0">
            <x v="4"/>
          </reference>
        </references>
      </pivotArea>
    </format>
    <format dxfId="1311">
      <pivotArea field="0" dataOnly="0" labelOnly="1" grandRow="1" outline="0" axis="axisRow" fieldPosition="0">
        <references count="1">
          <reference field="4294967294" count="1" selected="0">
            <x v="5"/>
          </reference>
        </references>
      </pivotArea>
    </format>
    <format dxfId="1310">
      <pivotArea field="0" dataOnly="0" labelOnly="1" grandRow="1" outline="0" axis="axisRow" fieldPosition="0">
        <references count="1">
          <reference field="4294967294" count="1" selected="0">
            <x v="6"/>
          </reference>
        </references>
      </pivotArea>
    </format>
    <format dxfId="1309">
      <pivotArea field="0" dataOnly="0" labelOnly="1" grandRow="1" outline="0" axis="axisRow" fieldPosition="0">
        <references count="1">
          <reference field="4294967294" count="1" selected="0">
            <x v="7"/>
          </reference>
        </references>
      </pivotArea>
    </format>
    <format dxfId="1308">
      <pivotArea field="0" dataOnly="0" labelOnly="1" grandRow="1" outline="0" axis="axisRow" fieldPosition="0">
        <references count="1">
          <reference field="4294967294" count="1" selected="0">
            <x v="8"/>
          </reference>
        </references>
      </pivotArea>
    </format>
    <format dxfId="1307">
      <pivotArea field="0" dataOnly="0" labelOnly="1" grandRow="1" outline="0" axis="axisRow" fieldPosition="0">
        <references count="1">
          <reference field="4294967294" count="1" selected="0">
            <x v="9"/>
          </reference>
        </references>
      </pivotArea>
    </format>
    <format dxfId="1306">
      <pivotArea field="0" dataOnly="0" labelOnly="1" grandRow="1" outline="0" axis="axisRow" fieldPosition="0">
        <references count="1">
          <reference field="4294967294" count="1" selected="0">
            <x v="10"/>
          </reference>
        </references>
      </pivotArea>
    </format>
    <format dxfId="1305">
      <pivotArea field="0" dataOnly="0" labelOnly="1" grandRow="1" outline="0" axis="axisRow" fieldPosition="0">
        <references count="1">
          <reference field="4294967294" count="1" selected="0">
            <x v="11"/>
          </reference>
        </references>
      </pivotArea>
    </format>
    <format dxfId="1304">
      <pivotArea field="0" dataOnly="0" labelOnly="1" grandRow="1" outline="0" axis="axisRow" fieldPosition="0">
        <references count="1">
          <reference field="4294967294" count="1" selected="0">
            <x v="12"/>
          </reference>
        </references>
      </pivotArea>
    </format>
    <format dxfId="1303">
      <pivotArea field="0" dataOnly="0" labelOnly="1" grandRow="1" outline="0" axis="axisRow" fieldPosition="0">
        <references count="1">
          <reference field="4294967294" count="1" selected="0">
            <x v="13"/>
          </reference>
        </references>
      </pivotArea>
    </format>
    <format dxfId="1302">
      <pivotArea field="0" dataOnly="0" labelOnly="1" grandRow="1" outline="0" axis="axisRow" fieldPosition="0">
        <references count="1">
          <reference field="4294967294" count="1" selected="0">
            <x v="14"/>
          </reference>
        </references>
      </pivotArea>
    </format>
    <format dxfId="1301">
      <pivotArea field="0" dataOnly="0" labelOnly="1" grandRow="1" outline="0" axis="axisRow" fieldPosition="0">
        <references count="1">
          <reference field="4294967294" count="1" selected="0">
            <x v="15"/>
          </reference>
        </references>
      </pivotArea>
    </format>
    <format dxfId="1300">
      <pivotArea field="0" dataOnly="0" labelOnly="1" grandRow="1" outline="0" axis="axisRow" fieldPosition="0">
        <references count="1">
          <reference field="4294967294" count="1" selected="0">
            <x v="16"/>
          </reference>
        </references>
      </pivotArea>
    </format>
    <format dxfId="1299">
      <pivotArea field="0" dataOnly="0" labelOnly="1" grandRow="1" outline="0" axis="axisRow" fieldPosition="0">
        <references count="1">
          <reference field="4294967294" count="1" selected="0">
            <x v="17"/>
          </reference>
        </references>
      </pivotArea>
    </format>
    <format dxfId="1298">
      <pivotArea field="0" dataOnly="0" labelOnly="1" grandRow="1" outline="0" axis="axisRow" fieldPosition="0">
        <references count="1">
          <reference field="4294967294" count="1" selected="0">
            <x v="18"/>
          </reference>
        </references>
      </pivotArea>
    </format>
    <format dxfId="1297">
      <pivotArea field="0" dataOnly="0" labelOnly="1" grandRow="1" outline="0" axis="axisRow" fieldPosition="0">
        <references count="1">
          <reference field="4294967294" count="1" selected="0">
            <x v="19"/>
          </reference>
        </references>
      </pivotArea>
    </format>
    <format dxfId="1296">
      <pivotArea field="0" dataOnly="0" labelOnly="1" grandRow="1" outline="0" axis="axisRow" fieldPosition="0">
        <references count="1">
          <reference field="4294967294" count="1" selected="0">
            <x v="20"/>
          </reference>
        </references>
      </pivotArea>
    </format>
    <format dxfId="1295">
      <pivotArea field="0" dataOnly="0" labelOnly="1" grandRow="1" outline="0" axis="axisRow" fieldPosition="0">
        <references count="1">
          <reference field="4294967294" count="1" selected="0">
            <x v="21"/>
          </reference>
        </references>
      </pivotArea>
    </format>
    <format dxfId="1294">
      <pivotArea field="0" dataOnly="0" labelOnly="1" grandRow="1" outline="0" axis="axisRow" fieldPosition="0">
        <references count="1">
          <reference field="4294967294" count="1" selected="0">
            <x v="22"/>
          </reference>
        </references>
      </pivotArea>
    </format>
    <format dxfId="1293">
      <pivotArea field="0" dataOnly="0" labelOnly="1" grandRow="1" outline="0" axis="axisRow" fieldPosition="0">
        <references count="1">
          <reference field="4294967294" count="1" selected="0">
            <x v="23"/>
          </reference>
        </references>
      </pivotArea>
    </format>
    <format dxfId="1292">
      <pivotArea field="0" dataOnly="0" labelOnly="1" grandRow="1" outline="0" axis="axisRow" fieldPosition="0">
        <references count="1">
          <reference field="4294967294" count="1" selected="0">
            <x v="24"/>
          </reference>
        </references>
      </pivotArea>
    </format>
    <format dxfId="1291">
      <pivotArea field="0" dataOnly="0" labelOnly="1" grandRow="1" outline="0" axis="axisRow" fieldPosition="0">
        <references count="1">
          <reference field="4294967294" count="1" selected="0">
            <x v="25"/>
          </reference>
        </references>
      </pivotArea>
    </format>
    <format dxfId="1290">
      <pivotArea field="0" dataOnly="0" labelOnly="1" grandRow="1" outline="0" axis="axisRow" fieldPosition="0">
        <references count="1">
          <reference field="4294967294" count="1" selected="0">
            <x v="26"/>
          </reference>
        </references>
      </pivotArea>
    </format>
    <format dxfId="1289">
      <pivotArea field="0" dataOnly="0" labelOnly="1" grandRow="1" outline="0" axis="axisRow" fieldPosition="0">
        <references count="1">
          <reference field="4294967294" count="1" selected="0">
            <x v="27"/>
          </reference>
        </references>
      </pivotArea>
    </format>
    <format dxfId="1288">
      <pivotArea field="0" dataOnly="0" labelOnly="1" grandRow="1" outline="0" axis="axisRow" fieldPosition="0">
        <references count="1">
          <reference field="4294967294" count="1" selected="0">
            <x v="28"/>
          </reference>
        </references>
      </pivotArea>
    </format>
    <format dxfId="1287">
      <pivotArea field="0" dataOnly="0" labelOnly="1" grandRow="1" outline="0" axis="axisRow" fieldPosition="0">
        <references count="1">
          <reference field="4294967294" count="1" selected="0">
            <x v="29"/>
          </reference>
        </references>
      </pivotArea>
    </format>
    <format dxfId="1286">
      <pivotArea field="0" dataOnly="0" labelOnly="1" grandRow="1" outline="0" axis="axisRow" fieldPosition="0">
        <references count="1">
          <reference field="4294967294" count="1" selected="0">
            <x v="30"/>
          </reference>
        </references>
      </pivotArea>
    </format>
    <format dxfId="1285">
      <pivotArea field="0" dataOnly="0" labelOnly="1" grandRow="1" outline="0" axis="axisRow" fieldPosition="0">
        <references count="1">
          <reference field="4294967294" count="1" selected="0">
            <x v="31"/>
          </reference>
        </references>
      </pivotArea>
    </format>
    <format dxfId="1284">
      <pivotArea field="0" dataOnly="0" labelOnly="1" grandRow="1" outline="0" axis="axisRow" fieldPosition="0">
        <references count="1">
          <reference field="4294967294" count="1" selected="0">
            <x v="32"/>
          </reference>
        </references>
      </pivotArea>
    </format>
    <format dxfId="1283">
      <pivotArea field="0" dataOnly="0" labelOnly="1" grandRow="1" outline="0" axis="axisRow" fieldPosition="0">
        <references count="1">
          <reference field="4294967294" count="1" selected="0">
            <x v="33"/>
          </reference>
        </references>
      </pivotArea>
    </format>
    <format dxfId="1282">
      <pivotArea field="0" dataOnly="0" labelOnly="1" grandRow="1" outline="0" axis="axisRow" fieldPosition="0">
        <references count="1">
          <reference field="4294967294" count="1" selected="0">
            <x v="34"/>
          </reference>
        </references>
      </pivotArea>
    </format>
    <format dxfId="1281">
      <pivotArea field="0" dataOnly="0" labelOnly="1" grandRow="1" outline="0" axis="axisRow" fieldPosition="0">
        <references count="1">
          <reference field="4294967294" count="1" selected="0">
            <x v="35"/>
          </reference>
        </references>
      </pivotArea>
    </format>
    <format dxfId="1280">
      <pivotArea field="0" dataOnly="0" labelOnly="1" grandRow="1" outline="0" axis="axisRow" fieldPosition="0">
        <references count="1">
          <reference field="4294967294" count="1" selected="0">
            <x v="0"/>
          </reference>
        </references>
      </pivotArea>
    </format>
    <format dxfId="1279">
      <pivotArea field="0" dataOnly="0" labelOnly="1" grandRow="1" outline="0" axis="axisRow" fieldPosition="0">
        <references count="1">
          <reference field="4294967294" count="1" selected="0">
            <x v="1"/>
          </reference>
        </references>
      </pivotArea>
    </format>
    <format dxfId="1278">
      <pivotArea field="0" dataOnly="0" labelOnly="1" grandRow="1" outline="0" axis="axisRow" fieldPosition="0">
        <references count="1">
          <reference field="4294967294" count="1" selected="0">
            <x v="2"/>
          </reference>
        </references>
      </pivotArea>
    </format>
    <format dxfId="1277">
      <pivotArea field="0" dataOnly="0" labelOnly="1" grandRow="1" outline="0" axis="axisRow" fieldPosition="0">
        <references count="1">
          <reference field="4294967294" count="1" selected="0">
            <x v="3"/>
          </reference>
        </references>
      </pivotArea>
    </format>
    <format dxfId="1276">
      <pivotArea field="0" dataOnly="0" labelOnly="1" grandRow="1" outline="0" axis="axisRow" fieldPosition="0">
        <references count="1">
          <reference field="4294967294" count="1" selected="0">
            <x v="4"/>
          </reference>
        </references>
      </pivotArea>
    </format>
    <format dxfId="1275">
      <pivotArea field="0" dataOnly="0" labelOnly="1" grandRow="1" outline="0" axis="axisRow" fieldPosition="0">
        <references count="1">
          <reference field="4294967294" count="1" selected="0">
            <x v="5"/>
          </reference>
        </references>
      </pivotArea>
    </format>
    <format dxfId="1274">
      <pivotArea field="0" dataOnly="0" labelOnly="1" grandRow="1" outline="0" axis="axisRow" fieldPosition="0">
        <references count="1">
          <reference field="4294967294" count="1" selected="0">
            <x v="6"/>
          </reference>
        </references>
      </pivotArea>
    </format>
    <format dxfId="1273">
      <pivotArea field="0" dataOnly="0" labelOnly="1" grandRow="1" outline="0" axis="axisRow" fieldPosition="0">
        <references count="1">
          <reference field="4294967294" count="1" selected="0">
            <x v="7"/>
          </reference>
        </references>
      </pivotArea>
    </format>
    <format dxfId="1272">
      <pivotArea field="0" dataOnly="0" labelOnly="1" grandRow="1" outline="0" axis="axisRow" fieldPosition="0">
        <references count="1">
          <reference field="4294967294" count="1" selected="0">
            <x v="8"/>
          </reference>
        </references>
      </pivotArea>
    </format>
    <format dxfId="1271">
      <pivotArea field="0" dataOnly="0" labelOnly="1" grandRow="1" outline="0" axis="axisRow" fieldPosition="0">
        <references count="1">
          <reference field="4294967294" count="1" selected="0">
            <x v="9"/>
          </reference>
        </references>
      </pivotArea>
    </format>
    <format dxfId="1270">
      <pivotArea field="0" dataOnly="0" labelOnly="1" grandRow="1" outline="0" axis="axisRow" fieldPosition="0">
        <references count="1">
          <reference field="4294967294" count="1" selected="0">
            <x v="10"/>
          </reference>
        </references>
      </pivotArea>
    </format>
    <format dxfId="1269">
      <pivotArea field="0" dataOnly="0" labelOnly="1" grandRow="1" outline="0" axis="axisRow" fieldPosition="0">
        <references count="1">
          <reference field="4294967294" count="1" selected="0">
            <x v="11"/>
          </reference>
        </references>
      </pivotArea>
    </format>
    <format dxfId="1268">
      <pivotArea field="0" dataOnly="0" labelOnly="1" grandRow="1" outline="0" axis="axisRow" fieldPosition="0">
        <references count="1">
          <reference field="4294967294" count="1" selected="0">
            <x v="12"/>
          </reference>
        </references>
      </pivotArea>
    </format>
    <format dxfId="1267">
      <pivotArea field="0" dataOnly="0" labelOnly="1" grandRow="1" outline="0" axis="axisRow" fieldPosition="0">
        <references count="1">
          <reference field="4294967294" count="1" selected="0">
            <x v="13"/>
          </reference>
        </references>
      </pivotArea>
    </format>
    <format dxfId="1266">
      <pivotArea field="0" dataOnly="0" labelOnly="1" grandRow="1" outline="0" axis="axisRow" fieldPosition="0">
        <references count="1">
          <reference field="4294967294" count="1" selected="0">
            <x v="14"/>
          </reference>
        </references>
      </pivotArea>
    </format>
    <format dxfId="1265">
      <pivotArea field="0" dataOnly="0" labelOnly="1" grandRow="1" outline="0" axis="axisRow" fieldPosition="0">
        <references count="1">
          <reference field="4294967294" count="1" selected="0">
            <x v="15"/>
          </reference>
        </references>
      </pivotArea>
    </format>
    <format dxfId="1264">
      <pivotArea field="0" dataOnly="0" labelOnly="1" grandRow="1" outline="0" axis="axisRow" fieldPosition="0">
        <references count="1">
          <reference field="4294967294" count="1" selected="0">
            <x v="16"/>
          </reference>
        </references>
      </pivotArea>
    </format>
    <format dxfId="1263">
      <pivotArea field="0" dataOnly="0" labelOnly="1" grandRow="1" outline="0" axis="axisRow" fieldPosition="0">
        <references count="1">
          <reference field="4294967294" count="1" selected="0">
            <x v="17"/>
          </reference>
        </references>
      </pivotArea>
    </format>
    <format dxfId="1262">
      <pivotArea field="0" dataOnly="0" labelOnly="1" grandRow="1" outline="0" axis="axisRow" fieldPosition="0">
        <references count="1">
          <reference field="4294967294" count="1" selected="0">
            <x v="18"/>
          </reference>
        </references>
      </pivotArea>
    </format>
    <format dxfId="1261">
      <pivotArea field="0" dataOnly="0" labelOnly="1" grandRow="1" outline="0" axis="axisRow" fieldPosition="0">
        <references count="1">
          <reference field="4294967294" count="1" selected="0">
            <x v="19"/>
          </reference>
        </references>
      </pivotArea>
    </format>
    <format dxfId="1260">
      <pivotArea field="0" dataOnly="0" labelOnly="1" grandRow="1" outline="0" axis="axisRow" fieldPosition="0">
        <references count="1">
          <reference field="4294967294" count="1" selected="0">
            <x v="20"/>
          </reference>
        </references>
      </pivotArea>
    </format>
    <format dxfId="1259">
      <pivotArea field="0" dataOnly="0" labelOnly="1" grandRow="1" outline="0" axis="axisRow" fieldPosition="0">
        <references count="1">
          <reference field="4294967294" count="1" selected="0">
            <x v="21"/>
          </reference>
        </references>
      </pivotArea>
    </format>
    <format dxfId="1258">
      <pivotArea field="0" dataOnly="0" labelOnly="1" grandRow="1" outline="0" axis="axisRow" fieldPosition="0">
        <references count="1">
          <reference field="4294967294" count="1" selected="0">
            <x v="22"/>
          </reference>
        </references>
      </pivotArea>
    </format>
    <format dxfId="1257">
      <pivotArea field="0" dataOnly="0" labelOnly="1" grandRow="1" outline="0" axis="axisRow" fieldPosition="0">
        <references count="1">
          <reference field="4294967294" count="1" selected="0">
            <x v="23"/>
          </reference>
        </references>
      </pivotArea>
    </format>
    <format dxfId="1256">
      <pivotArea field="0" dataOnly="0" labelOnly="1" grandRow="1" outline="0" axis="axisRow" fieldPosition="0">
        <references count="1">
          <reference field="4294967294" count="1" selected="0">
            <x v="24"/>
          </reference>
        </references>
      </pivotArea>
    </format>
    <format dxfId="1255">
      <pivotArea field="0" dataOnly="0" labelOnly="1" grandRow="1" outline="0" axis="axisRow" fieldPosition="0">
        <references count="1">
          <reference field="4294967294" count="1" selected="0">
            <x v="25"/>
          </reference>
        </references>
      </pivotArea>
    </format>
    <format dxfId="1254">
      <pivotArea field="0" dataOnly="0" labelOnly="1" grandRow="1" outline="0" axis="axisRow" fieldPosition="0">
        <references count="1">
          <reference field="4294967294" count="1" selected="0">
            <x v="26"/>
          </reference>
        </references>
      </pivotArea>
    </format>
    <format dxfId="1253">
      <pivotArea field="0" dataOnly="0" labelOnly="1" grandRow="1" outline="0" axis="axisRow" fieldPosition="0">
        <references count="1">
          <reference field="4294967294" count="1" selected="0">
            <x v="27"/>
          </reference>
        </references>
      </pivotArea>
    </format>
    <format dxfId="1252">
      <pivotArea field="0" dataOnly="0" labelOnly="1" grandRow="1" outline="0" axis="axisRow" fieldPosition="0">
        <references count="1">
          <reference field="4294967294" count="1" selected="0">
            <x v="28"/>
          </reference>
        </references>
      </pivotArea>
    </format>
    <format dxfId="1251">
      <pivotArea field="0" dataOnly="0" labelOnly="1" grandRow="1" outline="0" axis="axisRow" fieldPosition="0">
        <references count="1">
          <reference field="4294967294" count="1" selected="0">
            <x v="29"/>
          </reference>
        </references>
      </pivotArea>
    </format>
    <format dxfId="1250">
      <pivotArea field="0" dataOnly="0" labelOnly="1" grandRow="1" outline="0" axis="axisRow" fieldPosition="0">
        <references count="1">
          <reference field="4294967294" count="1" selected="0">
            <x v="30"/>
          </reference>
        </references>
      </pivotArea>
    </format>
    <format dxfId="1249">
      <pivotArea field="0" dataOnly="0" labelOnly="1" grandRow="1" outline="0" axis="axisRow" fieldPosition="0">
        <references count="1">
          <reference field="4294967294" count="1" selected="0">
            <x v="31"/>
          </reference>
        </references>
      </pivotArea>
    </format>
    <format dxfId="1248">
      <pivotArea field="0" dataOnly="0" labelOnly="1" grandRow="1" outline="0" axis="axisRow" fieldPosition="0">
        <references count="1">
          <reference field="4294967294" count="1" selected="0">
            <x v="32"/>
          </reference>
        </references>
      </pivotArea>
    </format>
    <format dxfId="1247">
      <pivotArea field="0" dataOnly="0" labelOnly="1" grandRow="1" outline="0" axis="axisRow" fieldPosition="0">
        <references count="1">
          <reference field="4294967294" count="1" selected="0">
            <x v="33"/>
          </reference>
        </references>
      </pivotArea>
    </format>
    <format dxfId="1246">
      <pivotArea field="0" dataOnly="0" labelOnly="1" grandRow="1" outline="0" axis="axisRow" fieldPosition="0">
        <references count="1">
          <reference field="4294967294" count="1" selected="0">
            <x v="34"/>
          </reference>
        </references>
      </pivotArea>
    </format>
    <format dxfId="1245">
      <pivotArea field="0" dataOnly="0" labelOnly="1" grandRow="1" outline="0" axis="axisRow" fieldPosition="0">
        <references count="1">
          <reference field="4294967294" count="1" selected="0">
            <x v="35"/>
          </reference>
        </references>
      </pivotArea>
    </format>
    <format dxfId="1244">
      <pivotArea field="0" dataOnly="0" labelOnly="1" grandRow="1" outline="0" axis="axisRow" fieldPosition="0">
        <references count="1">
          <reference field="4294967294" count="1" selected="0">
            <x v="0"/>
          </reference>
        </references>
      </pivotArea>
    </format>
    <format dxfId="1243">
      <pivotArea field="0" dataOnly="0" labelOnly="1" grandRow="1" outline="0" axis="axisRow" fieldPosition="0">
        <references count="1">
          <reference field="4294967294" count="1" selected="0">
            <x v="1"/>
          </reference>
        </references>
      </pivotArea>
    </format>
    <format dxfId="1242">
      <pivotArea field="0" dataOnly="0" labelOnly="1" grandRow="1" outline="0" axis="axisRow" fieldPosition="0">
        <references count="1">
          <reference field="4294967294" count="1" selected="0">
            <x v="2"/>
          </reference>
        </references>
      </pivotArea>
    </format>
    <format dxfId="1241">
      <pivotArea field="0" dataOnly="0" labelOnly="1" grandRow="1" outline="0" axis="axisRow" fieldPosition="0">
        <references count="1">
          <reference field="4294967294" count="1" selected="0">
            <x v="3"/>
          </reference>
        </references>
      </pivotArea>
    </format>
    <format dxfId="1240">
      <pivotArea field="0" dataOnly="0" labelOnly="1" grandRow="1" outline="0" axis="axisRow" fieldPosition="0">
        <references count="1">
          <reference field="4294967294" count="1" selected="0">
            <x v="4"/>
          </reference>
        </references>
      </pivotArea>
    </format>
    <format dxfId="1239">
      <pivotArea field="0" dataOnly="0" labelOnly="1" grandRow="1" outline="0" axis="axisRow" fieldPosition="0">
        <references count="1">
          <reference field="4294967294" count="1" selected="0">
            <x v="5"/>
          </reference>
        </references>
      </pivotArea>
    </format>
    <format dxfId="1238">
      <pivotArea field="0" dataOnly="0" labelOnly="1" grandRow="1" outline="0" axis="axisRow" fieldPosition="0">
        <references count="1">
          <reference field="4294967294" count="1" selected="0">
            <x v="6"/>
          </reference>
        </references>
      </pivotArea>
    </format>
    <format dxfId="1237">
      <pivotArea field="0" dataOnly="0" labelOnly="1" grandRow="1" outline="0" axis="axisRow" fieldPosition="0">
        <references count="1">
          <reference field="4294967294" count="1" selected="0">
            <x v="7"/>
          </reference>
        </references>
      </pivotArea>
    </format>
    <format dxfId="1236">
      <pivotArea field="0" dataOnly="0" labelOnly="1" grandRow="1" outline="0" axis="axisRow" fieldPosition="0">
        <references count="1">
          <reference field="4294967294" count="1" selected="0">
            <x v="8"/>
          </reference>
        </references>
      </pivotArea>
    </format>
    <format dxfId="1235">
      <pivotArea field="0" dataOnly="0" labelOnly="1" grandRow="1" outline="0" axis="axisRow" fieldPosition="0">
        <references count="1">
          <reference field="4294967294" count="1" selected="0">
            <x v="9"/>
          </reference>
        </references>
      </pivotArea>
    </format>
    <format dxfId="1234">
      <pivotArea field="0" dataOnly="0" labelOnly="1" grandRow="1" outline="0" axis="axisRow" fieldPosition="0">
        <references count="1">
          <reference field="4294967294" count="1" selected="0">
            <x v="10"/>
          </reference>
        </references>
      </pivotArea>
    </format>
    <format dxfId="1233">
      <pivotArea field="0" dataOnly="0" labelOnly="1" grandRow="1" outline="0" axis="axisRow" fieldPosition="0">
        <references count="1">
          <reference field="4294967294" count="1" selected="0">
            <x v="11"/>
          </reference>
        </references>
      </pivotArea>
    </format>
    <format dxfId="1232">
      <pivotArea field="0" dataOnly="0" labelOnly="1" grandRow="1" outline="0" axis="axisRow" fieldPosition="0">
        <references count="1">
          <reference field="4294967294" count="1" selected="0">
            <x v="12"/>
          </reference>
        </references>
      </pivotArea>
    </format>
    <format dxfId="1231">
      <pivotArea field="0" dataOnly="0" labelOnly="1" grandRow="1" outline="0" axis="axisRow" fieldPosition="0">
        <references count="1">
          <reference field="4294967294" count="1" selected="0">
            <x v="13"/>
          </reference>
        </references>
      </pivotArea>
    </format>
    <format dxfId="1230">
      <pivotArea field="0" dataOnly="0" labelOnly="1" grandRow="1" outline="0" axis="axisRow" fieldPosition="0">
        <references count="1">
          <reference field="4294967294" count="1" selected="0">
            <x v="14"/>
          </reference>
        </references>
      </pivotArea>
    </format>
    <format dxfId="1229">
      <pivotArea field="0" dataOnly="0" labelOnly="1" grandRow="1" outline="0" axis="axisRow" fieldPosition="0">
        <references count="1">
          <reference field="4294967294" count="1" selected="0">
            <x v="15"/>
          </reference>
        </references>
      </pivotArea>
    </format>
    <format dxfId="1228">
      <pivotArea field="0" dataOnly="0" labelOnly="1" grandRow="1" outline="0" axis="axisRow" fieldPosition="0">
        <references count="1">
          <reference field="4294967294" count="1" selected="0">
            <x v="16"/>
          </reference>
        </references>
      </pivotArea>
    </format>
    <format dxfId="1227">
      <pivotArea field="0" dataOnly="0" labelOnly="1" grandRow="1" outline="0" axis="axisRow" fieldPosition="0">
        <references count="1">
          <reference field="4294967294" count="1" selected="0">
            <x v="17"/>
          </reference>
        </references>
      </pivotArea>
    </format>
    <format dxfId="1226">
      <pivotArea field="0" dataOnly="0" labelOnly="1" grandRow="1" outline="0" axis="axisRow" fieldPosition="0">
        <references count="1">
          <reference field="4294967294" count="1" selected="0">
            <x v="18"/>
          </reference>
        </references>
      </pivotArea>
    </format>
    <format dxfId="1225">
      <pivotArea field="0" dataOnly="0" labelOnly="1" grandRow="1" outline="0" axis="axisRow" fieldPosition="0">
        <references count="1">
          <reference field="4294967294" count="1" selected="0">
            <x v="19"/>
          </reference>
        </references>
      </pivotArea>
    </format>
    <format dxfId="1224">
      <pivotArea field="0" dataOnly="0" labelOnly="1" grandRow="1" outline="0" axis="axisRow" fieldPosition="0">
        <references count="1">
          <reference field="4294967294" count="1" selected="0">
            <x v="20"/>
          </reference>
        </references>
      </pivotArea>
    </format>
    <format dxfId="1223">
      <pivotArea field="0" dataOnly="0" labelOnly="1" grandRow="1" outline="0" axis="axisRow" fieldPosition="0">
        <references count="1">
          <reference field="4294967294" count="1" selected="0">
            <x v="21"/>
          </reference>
        </references>
      </pivotArea>
    </format>
    <format dxfId="1222">
      <pivotArea field="0" dataOnly="0" labelOnly="1" grandRow="1" outline="0" axis="axisRow" fieldPosition="0">
        <references count="1">
          <reference field="4294967294" count="1" selected="0">
            <x v="22"/>
          </reference>
        </references>
      </pivotArea>
    </format>
    <format dxfId="1221">
      <pivotArea field="0" dataOnly="0" labelOnly="1" grandRow="1" outline="0" axis="axisRow" fieldPosition="0">
        <references count="1">
          <reference field="4294967294" count="1" selected="0">
            <x v="23"/>
          </reference>
        </references>
      </pivotArea>
    </format>
    <format dxfId="1220">
      <pivotArea field="0" dataOnly="0" labelOnly="1" grandRow="1" outline="0" axis="axisRow" fieldPosition="0">
        <references count="1">
          <reference field="4294967294" count="1" selected="0">
            <x v="24"/>
          </reference>
        </references>
      </pivotArea>
    </format>
    <format dxfId="1219">
      <pivotArea field="0" dataOnly="0" labelOnly="1" grandRow="1" outline="0" axis="axisRow" fieldPosition="0">
        <references count="1">
          <reference field="4294967294" count="1" selected="0">
            <x v="25"/>
          </reference>
        </references>
      </pivotArea>
    </format>
    <format dxfId="1218">
      <pivotArea field="0" dataOnly="0" labelOnly="1" grandRow="1" outline="0" axis="axisRow" fieldPosition="0">
        <references count="1">
          <reference field="4294967294" count="1" selected="0">
            <x v="26"/>
          </reference>
        </references>
      </pivotArea>
    </format>
    <format dxfId="1217">
      <pivotArea field="0" dataOnly="0" labelOnly="1" grandRow="1" outline="0" axis="axisRow" fieldPosition="0">
        <references count="1">
          <reference field="4294967294" count="1" selected="0">
            <x v="27"/>
          </reference>
        </references>
      </pivotArea>
    </format>
    <format dxfId="1216">
      <pivotArea field="0" dataOnly="0" labelOnly="1" grandRow="1" outline="0" axis="axisRow" fieldPosition="0">
        <references count="1">
          <reference field="4294967294" count="1" selected="0">
            <x v="28"/>
          </reference>
        </references>
      </pivotArea>
    </format>
    <format dxfId="1215">
      <pivotArea field="0" dataOnly="0" labelOnly="1" grandRow="1" outline="0" axis="axisRow" fieldPosition="0">
        <references count="1">
          <reference field="4294967294" count="1" selected="0">
            <x v="29"/>
          </reference>
        </references>
      </pivotArea>
    </format>
    <format dxfId="1214">
      <pivotArea field="0" dataOnly="0" labelOnly="1" grandRow="1" outline="0" axis="axisRow" fieldPosition="0">
        <references count="1">
          <reference field="4294967294" count="1" selected="0">
            <x v="30"/>
          </reference>
        </references>
      </pivotArea>
    </format>
    <format dxfId="1213">
      <pivotArea field="0" dataOnly="0" labelOnly="1" grandRow="1" outline="0" axis="axisRow" fieldPosition="0">
        <references count="1">
          <reference field="4294967294" count="1" selected="0">
            <x v="31"/>
          </reference>
        </references>
      </pivotArea>
    </format>
    <format dxfId="1212">
      <pivotArea field="0" dataOnly="0" labelOnly="1" grandRow="1" outline="0" axis="axisRow" fieldPosition="0">
        <references count="1">
          <reference field="4294967294" count="1" selected="0">
            <x v="32"/>
          </reference>
        </references>
      </pivotArea>
    </format>
    <format dxfId="1211">
      <pivotArea field="0" dataOnly="0" labelOnly="1" grandRow="1" outline="0" axis="axisRow" fieldPosition="0">
        <references count="1">
          <reference field="4294967294" count="1" selected="0">
            <x v="33"/>
          </reference>
        </references>
      </pivotArea>
    </format>
    <format dxfId="1210">
      <pivotArea field="0" dataOnly="0" labelOnly="1" grandRow="1" outline="0" axis="axisRow" fieldPosition="0">
        <references count="1">
          <reference field="4294967294" count="1" selected="0">
            <x v="34"/>
          </reference>
        </references>
      </pivotArea>
    </format>
    <format dxfId="1209">
      <pivotArea field="0" dataOnly="0" labelOnly="1" grandRow="1" outline="0" axis="axisRow" fieldPosition="0">
        <references count="1">
          <reference field="4294967294" count="1" selected="0">
            <x v="35"/>
          </reference>
        </references>
      </pivotArea>
    </format>
    <format dxfId="1208">
      <pivotArea field="0" dataOnly="0" labelOnly="1" grandRow="1" outline="0" axis="axisRow" fieldPosition="0">
        <references count="1">
          <reference field="4294967294" count="1" selected="0">
            <x v="0"/>
          </reference>
        </references>
      </pivotArea>
    </format>
    <format dxfId="1207">
      <pivotArea field="0" dataOnly="0" labelOnly="1" grandRow="1" outline="0" axis="axisRow" fieldPosition="0">
        <references count="1">
          <reference field="4294967294" count="1" selected="0">
            <x v="1"/>
          </reference>
        </references>
      </pivotArea>
    </format>
    <format dxfId="1206">
      <pivotArea field="0" dataOnly="0" labelOnly="1" grandRow="1" outline="0" axis="axisRow" fieldPosition="0">
        <references count="1">
          <reference field="4294967294" count="1" selected="0">
            <x v="2"/>
          </reference>
        </references>
      </pivotArea>
    </format>
    <format dxfId="1205">
      <pivotArea field="0" dataOnly="0" labelOnly="1" grandRow="1" outline="0" axis="axisRow" fieldPosition="0">
        <references count="1">
          <reference field="4294967294" count="1" selected="0">
            <x v="3"/>
          </reference>
        </references>
      </pivotArea>
    </format>
    <format dxfId="1204">
      <pivotArea field="0" dataOnly="0" labelOnly="1" grandRow="1" outline="0" axis="axisRow" fieldPosition="0">
        <references count="1">
          <reference field="4294967294" count="1" selected="0">
            <x v="4"/>
          </reference>
        </references>
      </pivotArea>
    </format>
    <format dxfId="1203">
      <pivotArea field="0" dataOnly="0" labelOnly="1" grandRow="1" outline="0" axis="axisRow" fieldPosition="0">
        <references count="1">
          <reference field="4294967294" count="1" selected="0">
            <x v="5"/>
          </reference>
        </references>
      </pivotArea>
    </format>
    <format dxfId="1202">
      <pivotArea field="0" dataOnly="0" labelOnly="1" grandRow="1" outline="0" axis="axisRow" fieldPosition="0">
        <references count="1">
          <reference field="4294967294" count="1" selected="0">
            <x v="6"/>
          </reference>
        </references>
      </pivotArea>
    </format>
    <format dxfId="1201">
      <pivotArea field="0" dataOnly="0" labelOnly="1" grandRow="1" outline="0" axis="axisRow" fieldPosition="0">
        <references count="1">
          <reference field="4294967294" count="1" selected="0">
            <x v="7"/>
          </reference>
        </references>
      </pivotArea>
    </format>
    <format dxfId="1200">
      <pivotArea field="0" dataOnly="0" labelOnly="1" grandRow="1" outline="0" axis="axisRow" fieldPosition="0">
        <references count="1">
          <reference field="4294967294" count="1" selected="0">
            <x v="8"/>
          </reference>
        </references>
      </pivotArea>
    </format>
    <format dxfId="1199">
      <pivotArea field="0" dataOnly="0" labelOnly="1" grandRow="1" outline="0" axis="axisRow" fieldPosition="0">
        <references count="1">
          <reference field="4294967294" count="1" selected="0">
            <x v="9"/>
          </reference>
        </references>
      </pivotArea>
    </format>
    <format dxfId="1198">
      <pivotArea field="0" dataOnly="0" labelOnly="1" grandRow="1" outline="0" axis="axisRow" fieldPosition="0">
        <references count="1">
          <reference field="4294967294" count="1" selected="0">
            <x v="10"/>
          </reference>
        </references>
      </pivotArea>
    </format>
    <format dxfId="1197">
      <pivotArea field="0" dataOnly="0" labelOnly="1" grandRow="1" outline="0" axis="axisRow" fieldPosition="0">
        <references count="1">
          <reference field="4294967294" count="1" selected="0">
            <x v="11"/>
          </reference>
        </references>
      </pivotArea>
    </format>
    <format dxfId="1196">
      <pivotArea field="0" dataOnly="0" labelOnly="1" grandRow="1" outline="0" axis="axisRow" fieldPosition="0">
        <references count="1">
          <reference field="4294967294" count="1" selected="0">
            <x v="12"/>
          </reference>
        </references>
      </pivotArea>
    </format>
    <format dxfId="1195">
      <pivotArea field="0" dataOnly="0" labelOnly="1" grandRow="1" outline="0" axis="axisRow" fieldPosition="0">
        <references count="1">
          <reference field="4294967294" count="1" selected="0">
            <x v="13"/>
          </reference>
        </references>
      </pivotArea>
    </format>
    <format dxfId="1194">
      <pivotArea field="0" dataOnly="0" labelOnly="1" grandRow="1" outline="0" axis="axisRow" fieldPosition="0">
        <references count="1">
          <reference field="4294967294" count="1" selected="0">
            <x v="14"/>
          </reference>
        </references>
      </pivotArea>
    </format>
    <format dxfId="1193">
      <pivotArea field="0" dataOnly="0" labelOnly="1" grandRow="1" outline="0" axis="axisRow" fieldPosition="0">
        <references count="1">
          <reference field="4294967294" count="1" selected="0">
            <x v="15"/>
          </reference>
        </references>
      </pivotArea>
    </format>
    <format dxfId="1192">
      <pivotArea field="0" dataOnly="0" labelOnly="1" grandRow="1" outline="0" axis="axisRow" fieldPosition="0">
        <references count="1">
          <reference field="4294967294" count="1" selected="0">
            <x v="16"/>
          </reference>
        </references>
      </pivotArea>
    </format>
    <format dxfId="1191">
      <pivotArea field="0" dataOnly="0" labelOnly="1" grandRow="1" outline="0" axis="axisRow" fieldPosition="0">
        <references count="1">
          <reference field="4294967294" count="1" selected="0">
            <x v="17"/>
          </reference>
        </references>
      </pivotArea>
    </format>
    <format dxfId="1190">
      <pivotArea field="0" dataOnly="0" labelOnly="1" grandRow="1" outline="0" axis="axisRow" fieldPosition="0">
        <references count="1">
          <reference field="4294967294" count="1" selected="0">
            <x v="18"/>
          </reference>
        </references>
      </pivotArea>
    </format>
    <format dxfId="1189">
      <pivotArea field="0" dataOnly="0" labelOnly="1" grandRow="1" outline="0" axis="axisRow" fieldPosition="0">
        <references count="1">
          <reference field="4294967294" count="1" selected="0">
            <x v="19"/>
          </reference>
        </references>
      </pivotArea>
    </format>
    <format dxfId="1188">
      <pivotArea field="0" dataOnly="0" labelOnly="1" grandRow="1" outline="0" axis="axisRow" fieldPosition="0">
        <references count="1">
          <reference field="4294967294" count="1" selected="0">
            <x v="20"/>
          </reference>
        </references>
      </pivotArea>
    </format>
    <format dxfId="1187">
      <pivotArea field="0" dataOnly="0" labelOnly="1" grandRow="1" outline="0" axis="axisRow" fieldPosition="0">
        <references count="1">
          <reference field="4294967294" count="1" selected="0">
            <x v="21"/>
          </reference>
        </references>
      </pivotArea>
    </format>
    <format dxfId="1186">
      <pivotArea field="0" dataOnly="0" labelOnly="1" grandRow="1" outline="0" axis="axisRow" fieldPosition="0">
        <references count="1">
          <reference field="4294967294" count="1" selected="0">
            <x v="22"/>
          </reference>
        </references>
      </pivotArea>
    </format>
    <format dxfId="1185">
      <pivotArea field="0" dataOnly="0" labelOnly="1" grandRow="1" outline="0" axis="axisRow" fieldPosition="0">
        <references count="1">
          <reference field="4294967294" count="1" selected="0">
            <x v="23"/>
          </reference>
        </references>
      </pivotArea>
    </format>
    <format dxfId="1184">
      <pivotArea field="0" dataOnly="0" labelOnly="1" grandRow="1" outline="0" axis="axisRow" fieldPosition="0">
        <references count="1">
          <reference field="4294967294" count="1" selected="0">
            <x v="24"/>
          </reference>
        </references>
      </pivotArea>
    </format>
    <format dxfId="1183">
      <pivotArea field="0" dataOnly="0" labelOnly="1" grandRow="1" outline="0" axis="axisRow" fieldPosition="0">
        <references count="1">
          <reference field="4294967294" count="1" selected="0">
            <x v="25"/>
          </reference>
        </references>
      </pivotArea>
    </format>
    <format dxfId="1182">
      <pivotArea field="0" dataOnly="0" labelOnly="1" grandRow="1" outline="0" axis="axisRow" fieldPosition="0">
        <references count="1">
          <reference field="4294967294" count="1" selected="0">
            <x v="26"/>
          </reference>
        </references>
      </pivotArea>
    </format>
    <format dxfId="1181">
      <pivotArea field="0" dataOnly="0" labelOnly="1" grandRow="1" outline="0" axis="axisRow" fieldPosition="0">
        <references count="1">
          <reference field="4294967294" count="1" selected="0">
            <x v="27"/>
          </reference>
        </references>
      </pivotArea>
    </format>
    <format dxfId="1180">
      <pivotArea field="0" dataOnly="0" labelOnly="1" grandRow="1" outline="0" axis="axisRow" fieldPosition="0">
        <references count="1">
          <reference field="4294967294" count="1" selected="0">
            <x v="28"/>
          </reference>
        </references>
      </pivotArea>
    </format>
    <format dxfId="1179">
      <pivotArea field="0" dataOnly="0" labelOnly="1" grandRow="1" outline="0" axis="axisRow" fieldPosition="0">
        <references count="1">
          <reference field="4294967294" count="1" selected="0">
            <x v="29"/>
          </reference>
        </references>
      </pivotArea>
    </format>
    <format dxfId="1178">
      <pivotArea field="0" dataOnly="0" labelOnly="1" grandRow="1" outline="0" axis="axisRow" fieldPosition="0">
        <references count="1">
          <reference field="4294967294" count="1" selected="0">
            <x v="30"/>
          </reference>
        </references>
      </pivotArea>
    </format>
    <format dxfId="1177">
      <pivotArea field="0" dataOnly="0" labelOnly="1" grandRow="1" outline="0" axis="axisRow" fieldPosition="0">
        <references count="1">
          <reference field="4294967294" count="1" selected="0">
            <x v="31"/>
          </reference>
        </references>
      </pivotArea>
    </format>
    <format dxfId="1176">
      <pivotArea field="0" dataOnly="0" labelOnly="1" grandRow="1" outline="0" axis="axisRow" fieldPosition="0">
        <references count="1">
          <reference field="4294967294" count="1" selected="0">
            <x v="32"/>
          </reference>
        </references>
      </pivotArea>
    </format>
    <format dxfId="1175">
      <pivotArea field="0" dataOnly="0" labelOnly="1" grandRow="1" outline="0" axis="axisRow" fieldPosition="0">
        <references count="1">
          <reference field="4294967294" count="1" selected="0">
            <x v="33"/>
          </reference>
        </references>
      </pivotArea>
    </format>
    <format dxfId="1174">
      <pivotArea field="0" dataOnly="0" labelOnly="1" grandRow="1" outline="0" axis="axisRow" fieldPosition="0">
        <references count="1">
          <reference field="4294967294" count="1" selected="0">
            <x v="34"/>
          </reference>
        </references>
      </pivotArea>
    </format>
    <format dxfId="1173">
      <pivotArea field="0" dataOnly="0" labelOnly="1" grandRow="1" outline="0" axis="axisRow" fieldPosition="0">
        <references count="1">
          <reference field="4294967294" count="1" selected="0">
            <x v="35"/>
          </reference>
        </references>
      </pivotArea>
    </format>
    <format dxfId="1172">
      <pivotArea field="0" dataOnly="0" labelOnly="1" grandRow="1" outline="0" axis="axisRow" fieldPosition="0">
        <references count="1">
          <reference field="4294967294" count="1" selected="0">
            <x v="0"/>
          </reference>
        </references>
      </pivotArea>
    </format>
    <format dxfId="1171">
      <pivotArea field="0" dataOnly="0" labelOnly="1" grandRow="1" outline="0" axis="axisRow" fieldPosition="0">
        <references count="1">
          <reference field="4294967294" count="1" selected="0">
            <x v="1"/>
          </reference>
        </references>
      </pivotArea>
    </format>
    <format dxfId="1170">
      <pivotArea field="0" dataOnly="0" labelOnly="1" grandRow="1" outline="0" axis="axisRow" fieldPosition="0">
        <references count="1">
          <reference field="4294967294" count="1" selected="0">
            <x v="2"/>
          </reference>
        </references>
      </pivotArea>
    </format>
    <format dxfId="1169">
      <pivotArea field="0" dataOnly="0" labelOnly="1" grandRow="1" outline="0" axis="axisRow" fieldPosition="0">
        <references count="1">
          <reference field="4294967294" count="1" selected="0">
            <x v="3"/>
          </reference>
        </references>
      </pivotArea>
    </format>
    <format dxfId="1168">
      <pivotArea field="0" dataOnly="0" labelOnly="1" grandRow="1" outline="0" axis="axisRow" fieldPosition="0">
        <references count="1">
          <reference field="4294967294" count="1" selected="0">
            <x v="4"/>
          </reference>
        </references>
      </pivotArea>
    </format>
    <format dxfId="1167">
      <pivotArea field="0" dataOnly="0" labelOnly="1" grandRow="1" outline="0" axis="axisRow" fieldPosition="0">
        <references count="1">
          <reference field="4294967294" count="1" selected="0">
            <x v="5"/>
          </reference>
        </references>
      </pivotArea>
    </format>
    <format dxfId="1166">
      <pivotArea field="0" dataOnly="0" labelOnly="1" grandRow="1" outline="0" axis="axisRow" fieldPosition="0">
        <references count="1">
          <reference field="4294967294" count="1" selected="0">
            <x v="6"/>
          </reference>
        </references>
      </pivotArea>
    </format>
    <format dxfId="1165">
      <pivotArea field="0" dataOnly="0" labelOnly="1" grandRow="1" outline="0" axis="axisRow" fieldPosition="0">
        <references count="1">
          <reference field="4294967294" count="1" selected="0">
            <x v="7"/>
          </reference>
        </references>
      </pivotArea>
    </format>
    <format dxfId="1164">
      <pivotArea field="0" dataOnly="0" labelOnly="1" grandRow="1" outline="0" axis="axisRow" fieldPosition="0">
        <references count="1">
          <reference field="4294967294" count="1" selected="0">
            <x v="8"/>
          </reference>
        </references>
      </pivotArea>
    </format>
    <format dxfId="1163">
      <pivotArea field="0" dataOnly="0" labelOnly="1" grandRow="1" outline="0" axis="axisRow" fieldPosition="0">
        <references count="1">
          <reference field="4294967294" count="1" selected="0">
            <x v="9"/>
          </reference>
        </references>
      </pivotArea>
    </format>
    <format dxfId="1162">
      <pivotArea field="0" dataOnly="0" labelOnly="1" grandRow="1" outline="0" axis="axisRow" fieldPosition="0">
        <references count="1">
          <reference field="4294967294" count="1" selected="0">
            <x v="10"/>
          </reference>
        </references>
      </pivotArea>
    </format>
    <format dxfId="1161">
      <pivotArea field="0" dataOnly="0" labelOnly="1" grandRow="1" outline="0" axis="axisRow" fieldPosition="0">
        <references count="1">
          <reference field="4294967294" count="1" selected="0">
            <x v="11"/>
          </reference>
        </references>
      </pivotArea>
    </format>
    <format dxfId="1160">
      <pivotArea field="0" dataOnly="0" labelOnly="1" grandRow="1" outline="0" axis="axisRow" fieldPosition="0">
        <references count="1">
          <reference field="4294967294" count="1" selected="0">
            <x v="12"/>
          </reference>
        </references>
      </pivotArea>
    </format>
    <format dxfId="1159">
      <pivotArea field="0" dataOnly="0" labelOnly="1" grandRow="1" outline="0" axis="axisRow" fieldPosition="0">
        <references count="1">
          <reference field="4294967294" count="1" selected="0">
            <x v="13"/>
          </reference>
        </references>
      </pivotArea>
    </format>
    <format dxfId="1158">
      <pivotArea field="0" dataOnly="0" labelOnly="1" grandRow="1" outline="0" axis="axisRow" fieldPosition="0">
        <references count="1">
          <reference field="4294967294" count="1" selected="0">
            <x v="14"/>
          </reference>
        </references>
      </pivotArea>
    </format>
    <format dxfId="1157">
      <pivotArea field="0" dataOnly="0" labelOnly="1" grandRow="1" outline="0" axis="axisRow" fieldPosition="0">
        <references count="1">
          <reference field="4294967294" count="1" selected="0">
            <x v="15"/>
          </reference>
        </references>
      </pivotArea>
    </format>
    <format dxfId="1156">
      <pivotArea field="0" dataOnly="0" labelOnly="1" grandRow="1" outline="0" axis="axisRow" fieldPosition="0">
        <references count="1">
          <reference field="4294967294" count="1" selected="0">
            <x v="16"/>
          </reference>
        </references>
      </pivotArea>
    </format>
    <format dxfId="1155">
      <pivotArea field="0" dataOnly="0" labelOnly="1" grandRow="1" outline="0" axis="axisRow" fieldPosition="0">
        <references count="1">
          <reference field="4294967294" count="1" selected="0">
            <x v="17"/>
          </reference>
        </references>
      </pivotArea>
    </format>
    <format dxfId="1154">
      <pivotArea field="0" dataOnly="0" labelOnly="1" grandRow="1" outline="0" axis="axisRow" fieldPosition="0">
        <references count="1">
          <reference field="4294967294" count="1" selected="0">
            <x v="18"/>
          </reference>
        </references>
      </pivotArea>
    </format>
    <format dxfId="1153">
      <pivotArea field="0" dataOnly="0" labelOnly="1" grandRow="1" outline="0" axis="axisRow" fieldPosition="0">
        <references count="1">
          <reference field="4294967294" count="1" selected="0">
            <x v="19"/>
          </reference>
        </references>
      </pivotArea>
    </format>
    <format dxfId="1152">
      <pivotArea field="0" dataOnly="0" labelOnly="1" grandRow="1" outline="0" axis="axisRow" fieldPosition="0">
        <references count="1">
          <reference field="4294967294" count="1" selected="0">
            <x v="20"/>
          </reference>
        </references>
      </pivotArea>
    </format>
    <format dxfId="1151">
      <pivotArea field="0" dataOnly="0" labelOnly="1" grandRow="1" outline="0" axis="axisRow" fieldPosition="0">
        <references count="1">
          <reference field="4294967294" count="1" selected="0">
            <x v="21"/>
          </reference>
        </references>
      </pivotArea>
    </format>
    <format dxfId="1150">
      <pivotArea field="0" dataOnly="0" labelOnly="1" grandRow="1" outline="0" axis="axisRow" fieldPosition="0">
        <references count="1">
          <reference field="4294967294" count="1" selected="0">
            <x v="22"/>
          </reference>
        </references>
      </pivotArea>
    </format>
    <format dxfId="1149">
      <pivotArea field="0" dataOnly="0" labelOnly="1" grandRow="1" outline="0" axis="axisRow" fieldPosition="0">
        <references count="1">
          <reference field="4294967294" count="1" selected="0">
            <x v="23"/>
          </reference>
        </references>
      </pivotArea>
    </format>
    <format dxfId="1148">
      <pivotArea field="0" dataOnly="0" labelOnly="1" grandRow="1" outline="0" axis="axisRow" fieldPosition="0">
        <references count="1">
          <reference field="4294967294" count="1" selected="0">
            <x v="24"/>
          </reference>
        </references>
      </pivotArea>
    </format>
    <format dxfId="1147">
      <pivotArea field="0" dataOnly="0" labelOnly="1" grandRow="1" outline="0" axis="axisRow" fieldPosition="0">
        <references count="1">
          <reference field="4294967294" count="1" selected="0">
            <x v="25"/>
          </reference>
        </references>
      </pivotArea>
    </format>
    <format dxfId="1146">
      <pivotArea field="0" dataOnly="0" labelOnly="1" grandRow="1" outline="0" axis="axisRow" fieldPosition="0">
        <references count="1">
          <reference field="4294967294" count="1" selected="0">
            <x v="26"/>
          </reference>
        </references>
      </pivotArea>
    </format>
    <format dxfId="1145">
      <pivotArea field="0" dataOnly="0" labelOnly="1" grandRow="1" outline="0" axis="axisRow" fieldPosition="0">
        <references count="1">
          <reference field="4294967294" count="1" selected="0">
            <x v="27"/>
          </reference>
        </references>
      </pivotArea>
    </format>
    <format dxfId="1144">
      <pivotArea field="0" dataOnly="0" labelOnly="1" grandRow="1" outline="0" axis="axisRow" fieldPosition="0">
        <references count="1">
          <reference field="4294967294" count="1" selected="0">
            <x v="28"/>
          </reference>
        </references>
      </pivotArea>
    </format>
    <format dxfId="1143">
      <pivotArea field="0" dataOnly="0" labelOnly="1" grandRow="1" outline="0" axis="axisRow" fieldPosition="0">
        <references count="1">
          <reference field="4294967294" count="1" selected="0">
            <x v="29"/>
          </reference>
        </references>
      </pivotArea>
    </format>
    <format dxfId="1142">
      <pivotArea field="0" dataOnly="0" labelOnly="1" grandRow="1" outline="0" axis="axisRow" fieldPosition="0">
        <references count="1">
          <reference field="4294967294" count="1" selected="0">
            <x v="30"/>
          </reference>
        </references>
      </pivotArea>
    </format>
    <format dxfId="1141">
      <pivotArea field="0" dataOnly="0" labelOnly="1" grandRow="1" outline="0" axis="axisRow" fieldPosition="0">
        <references count="1">
          <reference field="4294967294" count="1" selected="0">
            <x v="31"/>
          </reference>
        </references>
      </pivotArea>
    </format>
    <format dxfId="1140">
      <pivotArea field="0" dataOnly="0" labelOnly="1" grandRow="1" outline="0" axis="axisRow" fieldPosition="0">
        <references count="1">
          <reference field="4294967294" count="1" selected="0">
            <x v="32"/>
          </reference>
        </references>
      </pivotArea>
    </format>
    <format dxfId="1139">
      <pivotArea field="0" dataOnly="0" labelOnly="1" grandRow="1" outline="0" axis="axisRow" fieldPosition="0">
        <references count="1">
          <reference field="4294967294" count="1" selected="0">
            <x v="33"/>
          </reference>
        </references>
      </pivotArea>
    </format>
    <format dxfId="1138">
      <pivotArea field="0" dataOnly="0" labelOnly="1" grandRow="1" outline="0" axis="axisRow" fieldPosition="0">
        <references count="1">
          <reference field="4294967294" count="1" selected="0">
            <x v="34"/>
          </reference>
        </references>
      </pivotArea>
    </format>
    <format dxfId="1137">
      <pivotArea field="0" dataOnly="0" labelOnly="1" grandRow="1" outline="0" axis="axisRow" fieldPosition="0">
        <references count="1">
          <reference field="4294967294" count="1" selected="0">
            <x v="35"/>
          </reference>
        </references>
      </pivotArea>
    </format>
    <format dxfId="1136">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0"/>
          </reference>
        </references>
      </pivotArea>
    </format>
    <format dxfId="1135">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
          </reference>
        </references>
      </pivotArea>
    </format>
    <format dxfId="1134">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2"/>
          </reference>
        </references>
      </pivotArea>
    </format>
    <format dxfId="1133">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3"/>
          </reference>
        </references>
      </pivotArea>
    </format>
    <format dxfId="1132">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4"/>
          </reference>
        </references>
      </pivotArea>
    </format>
    <format dxfId="1131">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5"/>
          </reference>
        </references>
      </pivotArea>
    </format>
    <format dxfId="1130">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6"/>
          </reference>
        </references>
      </pivotArea>
    </format>
    <format dxfId="1129">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7"/>
          </reference>
        </references>
      </pivotArea>
    </format>
    <format dxfId="1128">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8"/>
          </reference>
        </references>
      </pivotArea>
    </format>
    <format dxfId="1127">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9"/>
          </reference>
        </references>
      </pivotArea>
    </format>
    <format dxfId="1126">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0"/>
          </reference>
        </references>
      </pivotArea>
    </format>
    <format dxfId="1125">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1"/>
          </reference>
        </references>
      </pivotArea>
    </format>
    <format dxfId="1124">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2"/>
          </reference>
        </references>
      </pivotArea>
    </format>
    <format dxfId="1123">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3"/>
          </reference>
        </references>
      </pivotArea>
    </format>
    <format dxfId="1122">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4"/>
          </reference>
        </references>
      </pivotArea>
    </format>
    <format dxfId="1121">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5"/>
          </reference>
        </references>
      </pivotArea>
    </format>
    <format dxfId="1120">
      <pivotArea dataOnly="0" labelOnly="1" outline="0" fieldPosition="0">
        <references count="1">
          <reference field="70" count="0"/>
        </references>
      </pivotArea>
    </format>
    <format dxfId="1119">
      <pivotArea dataOnly="0" labelOnly="1" outline="0" fieldPosition="0">
        <references count="1">
          <reference field="70" count="0" defaultSubtotal="1"/>
        </references>
      </pivotArea>
    </format>
    <format dxfId="1118">
      <pivotArea dataOnly="0" labelOnly="1" grandCol="1" outline="0" fieldPosition="0"/>
    </format>
    <format dxfId="1117">
      <pivotArea dataOnly="0" labelOnly="1" outline="0" fieldPosition="0">
        <references count="2">
          <reference field="4" count="7">
            <x v="0"/>
            <x v="1"/>
            <x v="2"/>
            <x v="3"/>
            <x v="4"/>
            <x v="5"/>
            <x v="6"/>
          </reference>
          <reference field="70" count="1" selected="0">
            <x v="0"/>
          </reference>
        </references>
      </pivotArea>
    </format>
    <format dxfId="1116">
      <pivotArea dataOnly="0" labelOnly="1" outline="0" fieldPosition="0">
        <references count="2">
          <reference field="4" count="4">
            <x v="7"/>
            <x v="8"/>
            <x v="9"/>
            <x v="10"/>
          </reference>
          <reference field="70" count="1" selected="0">
            <x v="1"/>
          </reference>
        </references>
      </pivotArea>
    </format>
    <format dxfId="1115">
      <pivotArea dataOnly="0" labelOnly="1" outline="0" fieldPosition="0">
        <references count="2">
          <reference field="4" count="2">
            <x v="11"/>
            <x v="12"/>
          </reference>
          <reference field="70" count="1" selected="0">
            <x v="2"/>
          </reference>
        </references>
      </pivotArea>
    </format>
    <format dxfId="1114">
      <pivotArea dataOnly="0" labelOnly="1" outline="0" fieldPosition="0">
        <references count="2">
          <reference field="4" count="1">
            <x v="16"/>
          </reference>
          <reference field="70" count="1" selected="0">
            <x v="6"/>
          </reference>
        </references>
      </pivotArea>
    </format>
    <format dxfId="1113">
      <pivotArea outline="0" fieldPosition="0">
        <references count="4">
          <reference field="4294967294" count="1" selected="0">
            <x v="2"/>
          </reference>
          <reference field="0" count="1" selected="0">
            <x v="0"/>
          </reference>
          <reference field="4" count="1" selected="0">
            <x v="5"/>
          </reference>
          <reference field="70" count="1" selected="0">
            <x v="0"/>
          </reference>
        </references>
      </pivotArea>
    </format>
    <format dxfId="1112">
      <pivotArea outline="0" fieldPosition="0">
        <references count="4">
          <reference field="4294967294" count="1" selected="0">
            <x v="8"/>
          </reference>
          <reference field="0" count="1" selected="0">
            <x v="0"/>
          </reference>
          <reference field="4" count="1" selected="0">
            <x v="5"/>
          </reference>
          <reference field="70" count="1" selected="0">
            <x v="0"/>
          </reference>
        </references>
      </pivotArea>
    </format>
    <format dxfId="1111">
      <pivotArea outline="0" fieldPosition="0">
        <references count="4">
          <reference field="4294967294" count="1" selected="0">
            <x v="20"/>
          </reference>
          <reference field="0" count="1" selected="0">
            <x v="0"/>
          </reference>
          <reference field="4" count="1" selected="0">
            <x v="1"/>
          </reference>
          <reference field="70" count="1" selected="0">
            <x v="0"/>
          </reference>
        </references>
      </pivotArea>
    </format>
    <format dxfId="1110">
      <pivotArea outline="0" fieldPosition="0">
        <references count="4">
          <reference field="4294967294" count="1" selected="0">
            <x v="26"/>
          </reference>
          <reference field="0" count="1" selected="0">
            <x v="0"/>
          </reference>
          <reference field="4" count="1" selected="0">
            <x v="1"/>
          </reference>
          <reference field="70" count="1" selected="0">
            <x v="0"/>
          </reference>
        </references>
      </pivotArea>
    </format>
    <format dxfId="1109">
      <pivotArea outline="0" fieldPosition="0">
        <references count="4">
          <reference field="4294967294" count="1" selected="0">
            <x v="26"/>
          </reference>
          <reference field="0" count="1" selected="0">
            <x v="0"/>
          </reference>
          <reference field="4" count="1" selected="0">
            <x v="3"/>
          </reference>
          <reference field="70" count="1" selected="0">
            <x v="0"/>
          </reference>
        </references>
      </pivotArea>
    </format>
    <format dxfId="1108">
      <pivotArea outline="0" fieldPosition="0">
        <references count="4">
          <reference field="4294967294" count="1" selected="0">
            <x v="14"/>
          </reference>
          <reference field="0" count="1" selected="0">
            <x v="0"/>
          </reference>
          <reference field="4" count="1" selected="0">
            <x v="10"/>
          </reference>
          <reference field="70" count="1" selected="0">
            <x v="1"/>
          </reference>
        </references>
      </pivotArea>
    </format>
    <format dxfId="1107">
      <pivotArea outline="0" fieldPosition="0">
        <references count="4">
          <reference field="4294967294" count="1" selected="0">
            <x v="2"/>
          </reference>
          <reference field="0" count="1" selected="0">
            <x v="0"/>
          </reference>
          <reference field="4" count="1" selected="0">
            <x v="11"/>
          </reference>
          <reference field="70" count="1" selected="0">
            <x v="2"/>
          </reference>
        </references>
      </pivotArea>
    </format>
    <format dxfId="1106">
      <pivotArea outline="0" fieldPosition="0">
        <references count="4">
          <reference field="4294967294" count="1" selected="0">
            <x v="5"/>
          </reference>
          <reference field="0" count="1" selected="0">
            <x v="0"/>
          </reference>
          <reference field="4" count="1" selected="0">
            <x v="11"/>
          </reference>
          <reference field="70" count="1" selected="0">
            <x v="2"/>
          </reference>
        </references>
      </pivotArea>
    </format>
    <format dxfId="1105">
      <pivotArea outline="0" fieldPosition="0">
        <references count="4">
          <reference field="4294967294" count="1" selected="0">
            <x v="20"/>
          </reference>
          <reference field="0" count="1" selected="0">
            <x v="1"/>
          </reference>
          <reference field="4" count="1" selected="0">
            <x v="4"/>
          </reference>
          <reference field="70" count="1" selected="0">
            <x v="0"/>
          </reference>
        </references>
      </pivotArea>
    </format>
    <format dxfId="1104">
      <pivotArea outline="0" fieldPosition="0">
        <references count="4">
          <reference field="4294967294" count="1" selected="0">
            <x v="20"/>
          </reference>
          <reference field="0" count="1" selected="0">
            <x v="1"/>
          </reference>
          <reference field="4" count="1" selected="0">
            <x v="3"/>
          </reference>
          <reference field="70" count="1" selected="0">
            <x v="0"/>
          </reference>
        </references>
      </pivotArea>
    </format>
    <format dxfId="1103">
      <pivotArea outline="0" fieldPosition="0">
        <references count="4">
          <reference field="4294967294" count="1" selected="0">
            <x v="26"/>
          </reference>
          <reference field="0" count="1" selected="0">
            <x v="1"/>
          </reference>
          <reference field="4" count="1" selected="0">
            <x v="4"/>
          </reference>
          <reference field="70" count="1" selected="0">
            <x v="0"/>
          </reference>
        </references>
      </pivotArea>
    </format>
    <format dxfId="1102">
      <pivotArea outline="0" fieldPosition="0">
        <references count="4">
          <reference field="4294967294" count="1" selected="0">
            <x v="20"/>
          </reference>
          <reference field="0" count="1" selected="0">
            <x v="1"/>
          </reference>
          <reference field="4" count="1" selected="0">
            <x v="5"/>
          </reference>
          <reference field="70" count="1" selected="0">
            <x v="0"/>
          </reference>
        </references>
      </pivotArea>
    </format>
    <format dxfId="1101">
      <pivotArea outline="0" fieldPosition="0">
        <references count="4">
          <reference field="4294967294" count="1" selected="0">
            <x v="26"/>
          </reference>
          <reference field="0" count="1" selected="0">
            <x v="1"/>
          </reference>
          <reference field="4" count="1" selected="0">
            <x v="5"/>
          </reference>
          <reference field="70" count="1" selected="0">
            <x v="0"/>
          </reference>
        </references>
      </pivotArea>
    </format>
    <format dxfId="1100">
      <pivotArea outline="0" fieldPosition="0">
        <references count="4">
          <reference field="4294967294" count="1" selected="0">
            <x v="2"/>
          </reference>
          <reference field="0" count="1" selected="0">
            <x v="2"/>
          </reference>
          <reference field="4" count="1" selected="0">
            <x v="2"/>
          </reference>
          <reference field="70" count="1" selected="0">
            <x v="0"/>
          </reference>
        </references>
      </pivotArea>
    </format>
    <format dxfId="1099">
      <pivotArea outline="0" fieldPosition="0">
        <references count="4">
          <reference field="4294967294" count="1" selected="0">
            <x v="8"/>
          </reference>
          <reference field="0" count="1" selected="0">
            <x v="2"/>
          </reference>
          <reference field="4" count="1" selected="0">
            <x v="2"/>
          </reference>
          <reference field="70" count="1" selected="0">
            <x v="0"/>
          </reference>
        </references>
      </pivotArea>
    </format>
    <format dxfId="1098">
      <pivotArea outline="0" fieldPosition="0">
        <references count="4">
          <reference field="4294967294" count="1" selected="0">
            <x v="20"/>
          </reference>
          <reference field="0" count="1" selected="0">
            <x v="2"/>
          </reference>
          <reference field="4" count="1" selected="0">
            <x v="2"/>
          </reference>
          <reference field="70" count="1" selected="0">
            <x v="0"/>
          </reference>
        </references>
      </pivotArea>
    </format>
    <format dxfId="1097">
      <pivotArea outline="0" fieldPosition="0">
        <references count="4">
          <reference field="4294967294" count="1" selected="0">
            <x v="26"/>
          </reference>
          <reference field="0" count="1" selected="0">
            <x v="2"/>
          </reference>
          <reference field="4" count="1" selected="0">
            <x v="2"/>
          </reference>
          <reference field="70" count="1" selected="0">
            <x v="0"/>
          </reference>
        </references>
      </pivotArea>
    </format>
    <format dxfId="1096">
      <pivotArea outline="0" fieldPosition="0">
        <references count="4">
          <reference field="4294967294" count="1" selected="0">
            <x v="2"/>
          </reference>
          <reference field="0" count="1" selected="0">
            <x v="3"/>
          </reference>
          <reference field="4" count="1" selected="0">
            <x v="0"/>
          </reference>
          <reference field="70" count="1" selected="0">
            <x v="0"/>
          </reference>
        </references>
      </pivotArea>
    </format>
    <format dxfId="1095">
      <pivotArea outline="0" fieldPosition="0">
        <references count="4">
          <reference field="4294967294" count="1" selected="0">
            <x v="8"/>
          </reference>
          <reference field="0" count="1" selected="0">
            <x v="3"/>
          </reference>
          <reference field="4" count="1" selected="0">
            <x v="0"/>
          </reference>
          <reference field="70" count="1" selected="0">
            <x v="0"/>
          </reference>
        </references>
      </pivotArea>
    </format>
    <format dxfId="1094">
      <pivotArea outline="0" fieldPosition="0">
        <references count="4">
          <reference field="4294967294" count="1" selected="0">
            <x v="20"/>
          </reference>
          <reference field="0" count="1" selected="0">
            <x v="3"/>
          </reference>
          <reference field="4" count="1" selected="0">
            <x v="0"/>
          </reference>
          <reference field="70" count="1" selected="0">
            <x v="0"/>
          </reference>
        </references>
      </pivotArea>
    </format>
    <format dxfId="1093">
      <pivotArea outline="0" fieldPosition="0">
        <references count="4">
          <reference field="4294967294" count="1" selected="0">
            <x v="26"/>
          </reference>
          <reference field="0" count="1" selected="0">
            <x v="3"/>
          </reference>
          <reference field="4" count="1" selected="0">
            <x v="0"/>
          </reference>
          <reference field="70" count="1" selected="0">
            <x v="0"/>
          </reference>
        </references>
      </pivotArea>
    </format>
    <format dxfId="1092">
      <pivotArea outline="0" fieldPosition="0">
        <references count="4">
          <reference field="4294967294" count="1" selected="0">
            <x v="20"/>
          </reference>
          <reference field="0" count="1" selected="0">
            <x v="3"/>
          </reference>
          <reference field="4" count="1" selected="0">
            <x v="3"/>
          </reference>
          <reference field="70" count="1" selected="0">
            <x v="0"/>
          </reference>
        </references>
      </pivotArea>
    </format>
    <format dxfId="1091">
      <pivotArea outline="0" fieldPosition="0">
        <references count="4">
          <reference field="4294967294" count="1" selected="0">
            <x v="10"/>
          </reference>
          <reference field="0" count="1" selected="0">
            <x v="3"/>
          </reference>
          <reference field="4" count="1" selected="0">
            <x v="10"/>
          </reference>
          <reference field="70" count="1" selected="0">
            <x v="1"/>
          </reference>
        </references>
      </pivotArea>
    </format>
    <format dxfId="1090">
      <pivotArea outline="0" fieldPosition="0">
        <references count="4">
          <reference field="4294967294" count="1" selected="0">
            <x v="13"/>
          </reference>
          <reference field="0" count="1" selected="0">
            <x v="3"/>
          </reference>
          <reference field="4" count="1" selected="0">
            <x v="8"/>
          </reference>
          <reference field="70" count="1" selected="0">
            <x v="1"/>
          </reference>
        </references>
      </pivotArea>
    </format>
    <format dxfId="1089">
      <pivotArea outline="0" fieldPosition="0">
        <references count="4">
          <reference field="4294967294" count="1" selected="0">
            <x v="13"/>
          </reference>
          <reference field="0" count="1" selected="0">
            <x v="3"/>
          </reference>
          <reference field="4" count="1" selected="0">
            <x v="8"/>
          </reference>
          <reference field="70" count="1" selected="0">
            <x v="1"/>
          </reference>
        </references>
      </pivotArea>
    </format>
    <format dxfId="1088">
      <pivotArea outline="0" fieldPosition="0">
        <references count="4">
          <reference field="4294967294" count="1" selected="0">
            <x v="8"/>
          </reference>
          <reference field="0" count="1" selected="0">
            <x v="5"/>
          </reference>
          <reference field="4" count="1" selected="0">
            <x v="3"/>
          </reference>
          <reference field="70" count="1" selected="0">
            <x v="0"/>
          </reference>
        </references>
      </pivotArea>
    </format>
    <format dxfId="1087">
      <pivotArea outline="0" fieldPosition="0">
        <references count="4">
          <reference field="4294967294" count="1" selected="0">
            <x v="11"/>
          </reference>
          <reference field="0" count="1" selected="0">
            <x v="5"/>
          </reference>
          <reference field="4" count="1" selected="0">
            <x v="3"/>
          </reference>
          <reference field="70" count="1" selected="0">
            <x v="0"/>
          </reference>
        </references>
      </pivotArea>
    </format>
    <format dxfId="1086">
      <pivotArea outline="0" fieldPosition="0">
        <references count="4">
          <reference field="4294967294" count="1" selected="0">
            <x v="2"/>
          </reference>
          <reference field="0" count="1" selected="0">
            <x v="5"/>
          </reference>
          <reference field="4" count="1" selected="0">
            <x v="3"/>
          </reference>
          <reference field="70" count="1" selected="0">
            <x v="0"/>
          </reference>
        </references>
      </pivotArea>
    </format>
    <format dxfId="1085">
      <pivotArea outline="0" fieldPosition="0">
        <references count="4">
          <reference field="4294967294" count="1" selected="0">
            <x v="26"/>
          </reference>
          <reference field="0" count="1" selected="0">
            <x v="5"/>
          </reference>
          <reference field="4" count="1" selected="0">
            <x v="3"/>
          </reference>
          <reference field="70" count="1" selected="0">
            <x v="0"/>
          </reference>
        </references>
      </pivotArea>
    </format>
    <format dxfId="1084">
      <pivotArea outline="0" fieldPosition="0">
        <references count="4">
          <reference field="4294967294" count="1" selected="0">
            <x v="20"/>
          </reference>
          <reference field="0" count="1" selected="0">
            <x v="5"/>
          </reference>
          <reference field="4" count="1" selected="0">
            <x v="3"/>
          </reference>
          <reference field="70" count="1" selected="0">
            <x v="0"/>
          </reference>
        </references>
      </pivotArea>
    </format>
    <format dxfId="1083">
      <pivotArea outline="0" fieldPosition="0">
        <references count="4">
          <reference field="4294967294" count="1" selected="0">
            <x v="2"/>
          </reference>
          <reference field="0" count="1" selected="0">
            <x v="5"/>
          </reference>
          <reference field="4" count="1" selected="0">
            <x v="8"/>
          </reference>
          <reference field="70" count="1" selected="0">
            <x v="1"/>
          </reference>
        </references>
      </pivotArea>
    </format>
    <format dxfId="1082">
      <pivotArea outline="0" fieldPosition="0">
        <references count="4">
          <reference field="4294967294" count="1" selected="0">
            <x v="8"/>
          </reference>
          <reference field="0" count="1" selected="0">
            <x v="5"/>
          </reference>
          <reference field="4" count="1" selected="0">
            <x v="10"/>
          </reference>
          <reference field="70" count="1" selected="0">
            <x v="1"/>
          </reference>
        </references>
      </pivotArea>
    </format>
    <format dxfId="1081">
      <pivotArea outline="0" fieldPosition="0">
        <references count="4">
          <reference field="4294967294" count="1" selected="0">
            <x v="5"/>
          </reference>
          <reference field="0" count="1" selected="0">
            <x v="5"/>
          </reference>
          <reference field="4" count="1" selected="0">
            <x v="11"/>
          </reference>
          <reference field="70" count="1" selected="0">
            <x v="2"/>
          </reference>
        </references>
      </pivotArea>
    </format>
    <format dxfId="1080">
      <pivotArea outline="0" fieldPosition="0">
        <references count="4">
          <reference field="4294967294" count="1" selected="0">
            <x v="20"/>
          </reference>
          <reference field="0" count="1" selected="0">
            <x v="7"/>
          </reference>
          <reference field="4" count="1" selected="0">
            <x v="4"/>
          </reference>
          <reference field="70" count="1" selected="0">
            <x v="0"/>
          </reference>
        </references>
      </pivotArea>
    </format>
    <format dxfId="1079">
      <pivotArea outline="0" fieldPosition="0">
        <references count="4">
          <reference field="4294967294" count="1" selected="0">
            <x v="23"/>
          </reference>
          <reference field="0" count="1" selected="0">
            <x v="7"/>
          </reference>
          <reference field="4" count="1" selected="0">
            <x v="4"/>
          </reference>
          <reference field="70" count="1" selected="0">
            <x v="0"/>
          </reference>
        </references>
      </pivotArea>
    </format>
    <format dxfId="1078">
      <pivotArea outline="0" fieldPosition="0">
        <references count="4">
          <reference field="4294967294" count="1" selected="0">
            <x v="20"/>
          </reference>
          <reference field="0" count="1" selected="0">
            <x v="8"/>
          </reference>
          <reference field="4" count="1" selected="0">
            <x v="3"/>
          </reference>
          <reference field="70" count="1" selected="0">
            <x v="0"/>
          </reference>
        </references>
      </pivotArea>
    </format>
    <format dxfId="1077">
      <pivotArea outline="0" fieldPosition="0">
        <references count="4">
          <reference field="4294967294" count="1" selected="0">
            <x v="26"/>
          </reference>
          <reference field="0" count="1" selected="0">
            <x v="8"/>
          </reference>
          <reference field="4" count="1" selected="0">
            <x v="3"/>
          </reference>
          <reference field="70" count="1" selected="0">
            <x v="0"/>
          </reference>
        </references>
      </pivotArea>
    </format>
    <format dxfId="1076">
      <pivotArea outline="0" fieldPosition="0">
        <references count="4">
          <reference field="4294967294" count="1" selected="0">
            <x v="4"/>
          </reference>
          <reference field="0" count="1" selected="0">
            <x v="8"/>
          </reference>
          <reference field="4" count="1" selected="0">
            <x v="4"/>
          </reference>
          <reference field="70" count="1" selected="0">
            <x v="0"/>
          </reference>
        </references>
      </pivotArea>
    </format>
    <format dxfId="1075">
      <pivotArea outline="0" fieldPosition="0">
        <references count="4">
          <reference field="4294967294" count="1" selected="0">
            <x v="16"/>
          </reference>
          <reference field="0" count="1" selected="0">
            <x v="8"/>
          </reference>
          <reference field="4" count="1" selected="0">
            <x v="3"/>
          </reference>
          <reference field="70" count="1" selected="0">
            <x v="0"/>
          </reference>
        </references>
      </pivotArea>
    </format>
    <format dxfId="1074">
      <pivotArea outline="0" fieldPosition="0">
        <references count="4">
          <reference field="4294967294" count="1" selected="0">
            <x v="34"/>
          </reference>
          <reference field="0" count="1" selected="0">
            <x v="8"/>
          </reference>
          <reference field="4" count="1" selected="0">
            <x v="3"/>
          </reference>
          <reference field="70" count="1" selected="0">
            <x v="0"/>
          </reference>
        </references>
      </pivotArea>
    </format>
    <format dxfId="1073">
      <pivotArea outline="0" fieldPosition="0">
        <references count="4">
          <reference field="4294967294" count="1" selected="0">
            <x v="10"/>
          </reference>
          <reference field="0" count="1" selected="0">
            <x v="9"/>
          </reference>
          <reference field="4" count="1" selected="0">
            <x v="3"/>
          </reference>
          <reference field="70" count="1" selected="0">
            <x v="0"/>
          </reference>
        </references>
      </pivotArea>
    </format>
    <format dxfId="1072">
      <pivotArea outline="0" fieldPosition="0">
        <references count="4">
          <reference field="4294967294" count="1" selected="0">
            <x v="20"/>
          </reference>
          <reference field="0" count="1" selected="0">
            <x v="9"/>
          </reference>
          <reference field="4" count="1" selected="0">
            <x v="5"/>
          </reference>
          <reference field="70" count="1" selected="0">
            <x v="0"/>
          </reference>
        </references>
      </pivotArea>
    </format>
    <format dxfId="1071">
      <pivotArea outline="0" fieldPosition="0">
        <references count="4">
          <reference field="4294967294" count="1" selected="0">
            <x v="23"/>
          </reference>
          <reference field="0" count="1" selected="0">
            <x v="9"/>
          </reference>
          <reference field="4" count="1" selected="0">
            <x v="5"/>
          </reference>
          <reference field="70" count="1" selected="0">
            <x v="0"/>
          </reference>
        </references>
      </pivotArea>
    </format>
    <format dxfId="1070">
      <pivotArea outline="0" fieldPosition="0">
        <references count="4">
          <reference field="4294967294" count="1" selected="0">
            <x v="26"/>
          </reference>
          <reference field="0" count="1" selected="0">
            <x v="9"/>
          </reference>
          <reference field="4" count="1" selected="0">
            <x v="5"/>
          </reference>
          <reference field="70" count="1" selected="0">
            <x v="0"/>
          </reference>
        </references>
      </pivotArea>
    </format>
    <format dxfId="1069">
      <pivotArea outline="0" fieldPosition="0">
        <references count="4">
          <reference field="4294967294" count="1" selected="0">
            <x v="26"/>
          </reference>
          <reference field="0" count="1" selected="0">
            <x v="9"/>
          </reference>
          <reference field="4" count="1" selected="0">
            <x v="3"/>
          </reference>
          <reference field="70" count="1" selected="0">
            <x v="0"/>
          </reference>
        </references>
      </pivotArea>
    </format>
    <format dxfId="1068">
      <pivotArea outline="0" fieldPosition="0">
        <references count="4">
          <reference field="4294967294" count="1" selected="0">
            <x v="23"/>
          </reference>
          <reference field="0" count="1" selected="0">
            <x v="9"/>
          </reference>
          <reference field="4" count="1" selected="0">
            <x v="3"/>
          </reference>
          <reference field="70" count="1" selected="0">
            <x v="0"/>
          </reference>
        </references>
      </pivotArea>
    </format>
    <format dxfId="1067">
      <pivotArea outline="0" fieldPosition="0">
        <references count="4">
          <reference field="4294967294" count="1" selected="0">
            <x v="22"/>
          </reference>
          <reference field="0" count="1" selected="0">
            <x v="9"/>
          </reference>
          <reference field="4" count="1" selected="0">
            <x v="5"/>
          </reference>
          <reference field="70" count="1" selected="0">
            <x v="0"/>
          </reference>
        </references>
      </pivotArea>
    </format>
    <format dxfId="1066">
      <pivotArea outline="0" fieldPosition="0">
        <references count="4">
          <reference field="4294967294" count="1" selected="0">
            <x v="13"/>
          </reference>
          <reference field="0" count="1" selected="0">
            <x v="10"/>
          </reference>
          <reference field="4" count="1" selected="0">
            <x v="3"/>
          </reference>
          <reference field="70" count="1" selected="0">
            <x v="0"/>
          </reference>
        </references>
      </pivotArea>
    </format>
    <format dxfId="1065">
      <pivotArea outline="0" fieldPosition="0">
        <references count="4">
          <reference field="4294967294" count="1" selected="0">
            <x v="20"/>
          </reference>
          <reference field="0" count="1" selected="0">
            <x v="10"/>
          </reference>
          <reference field="4" count="1" selected="0">
            <x v="0"/>
          </reference>
          <reference field="70" count="1" selected="0">
            <x v="0"/>
          </reference>
        </references>
      </pivotArea>
    </format>
    <format dxfId="1064">
      <pivotArea outline="0" fieldPosition="0">
        <references count="4">
          <reference field="4294967294" count="1" selected="0">
            <x v="26"/>
          </reference>
          <reference field="0" count="1" selected="0">
            <x v="10"/>
          </reference>
          <reference field="4" count="1" selected="0">
            <x v="0"/>
          </reference>
          <reference field="70" count="1" selected="0">
            <x v="0"/>
          </reference>
        </references>
      </pivotArea>
    </format>
    <format dxfId="1063">
      <pivotArea outline="0" fieldPosition="0">
        <references count="4">
          <reference field="4294967294" count="1" selected="0">
            <x v="23"/>
          </reference>
          <reference field="0" count="1" selected="0">
            <x v="10"/>
          </reference>
          <reference field="4" count="1" selected="0">
            <x v="0"/>
          </reference>
          <reference field="70" count="1" selected="0">
            <x v="0"/>
          </reference>
        </references>
      </pivotArea>
    </format>
    <format dxfId="1062">
      <pivotArea outline="0" fieldPosition="0">
        <references count="4">
          <reference field="4294967294" count="1" selected="0">
            <x v="29"/>
          </reference>
          <reference field="0" count="1" selected="0">
            <x v="10"/>
          </reference>
          <reference field="4" count="1" selected="0">
            <x v="0"/>
          </reference>
          <reference field="70" count="1" selected="0">
            <x v="0"/>
          </reference>
        </references>
      </pivotArea>
    </format>
    <format dxfId="1061">
      <pivotArea outline="0" fieldPosition="0">
        <references count="4">
          <reference field="4294967294" count="1" selected="0">
            <x v="26"/>
          </reference>
          <reference field="0" count="1" selected="0">
            <x v="10"/>
          </reference>
          <reference field="4" count="1" selected="0">
            <x v="4"/>
          </reference>
          <reference field="70" count="1" selected="0">
            <x v="0"/>
          </reference>
        </references>
      </pivotArea>
    </format>
    <format dxfId="1060">
      <pivotArea outline="0" fieldPosition="0">
        <references count="4">
          <reference field="4294967294" count="1" selected="0">
            <x v="2"/>
          </reference>
          <reference field="0" count="1" selected="0">
            <x v="11"/>
          </reference>
          <reference field="4" count="1" selected="0">
            <x v="0"/>
          </reference>
          <reference field="70" count="1" selected="0">
            <x v="0"/>
          </reference>
        </references>
      </pivotArea>
    </format>
    <format dxfId="1059">
      <pivotArea outline="0" fieldPosition="0">
        <references count="4">
          <reference field="4294967294" count="1" selected="0">
            <x v="2"/>
          </reference>
          <reference field="0" count="1" selected="0">
            <x v="11"/>
          </reference>
          <reference field="4" count="1" selected="0">
            <x v="8"/>
          </reference>
          <reference field="70" count="1" selected="0">
            <x v="1"/>
          </reference>
        </references>
      </pivotArea>
    </format>
    <format dxfId="1058">
      <pivotArea outline="0" fieldPosition="0">
        <references count="4">
          <reference field="4294967294" count="1" selected="0">
            <x v="2"/>
          </reference>
          <reference field="0" count="1" selected="0">
            <x v="11"/>
          </reference>
          <reference field="4" count="2" selected="0">
            <x v="9"/>
            <x v="10"/>
          </reference>
          <reference field="70" count="1" selected="0">
            <x v="1"/>
          </reference>
        </references>
      </pivotArea>
    </format>
    <format dxfId="1057">
      <pivotArea outline="0" fieldPosition="0">
        <references count="4">
          <reference field="4294967294" count="1" selected="0">
            <x v="8"/>
          </reference>
          <reference field="0" count="1" selected="0">
            <x v="11"/>
          </reference>
          <reference field="4" count="1" selected="0">
            <x v="8"/>
          </reference>
          <reference field="70" count="1" selected="0">
            <x v="1"/>
          </reference>
        </references>
      </pivotArea>
    </format>
    <format dxfId="1056">
      <pivotArea outline="0" fieldPosition="0">
        <references count="4">
          <reference field="4294967294" count="1" selected="0">
            <x v="20"/>
          </reference>
          <reference field="0" count="1" selected="0">
            <x v="11"/>
          </reference>
          <reference field="4" count="1" selected="0">
            <x v="2"/>
          </reference>
          <reference field="70" count="1" selected="0">
            <x v="0"/>
          </reference>
        </references>
      </pivotArea>
    </format>
    <format dxfId="1055">
      <pivotArea outline="0" fieldPosition="0">
        <references count="4">
          <reference field="4294967294" count="1" selected="0">
            <x v="23"/>
          </reference>
          <reference field="0" count="1" selected="0">
            <x v="11"/>
          </reference>
          <reference field="4" count="1" selected="0">
            <x v="2"/>
          </reference>
          <reference field="70" count="1" selected="0">
            <x v="0"/>
          </reference>
        </references>
      </pivotArea>
    </format>
    <format dxfId="1054">
      <pivotArea outline="0" fieldPosition="0">
        <references count="4">
          <reference field="4294967294" count="1" selected="0">
            <x v="23"/>
          </reference>
          <reference field="0" count="1" selected="0">
            <x v="11"/>
          </reference>
          <reference field="4" count="1" selected="0">
            <x v="4"/>
          </reference>
          <reference field="70" count="1" selected="0">
            <x v="0"/>
          </reference>
        </references>
      </pivotArea>
    </format>
    <format dxfId="1053">
      <pivotArea outline="0" fieldPosition="0">
        <references count="4">
          <reference field="4294967294" count="1" selected="0">
            <x v="20"/>
          </reference>
          <reference field="0" count="1" selected="0">
            <x v="11"/>
          </reference>
          <reference field="4" count="1" selected="0">
            <x v="5"/>
          </reference>
          <reference field="70" count="1" selected="0">
            <x v="0"/>
          </reference>
        </references>
      </pivotArea>
    </format>
    <format dxfId="1052">
      <pivotArea outline="0" fieldPosition="0">
        <references count="4">
          <reference field="4294967294" count="1" selected="0">
            <x v="23"/>
          </reference>
          <reference field="0" count="1" selected="0">
            <x v="11"/>
          </reference>
          <reference field="4" count="1" selected="0">
            <x v="5"/>
          </reference>
          <reference field="70" count="1" selected="0">
            <x v="0"/>
          </reference>
        </references>
      </pivotArea>
    </format>
    <format dxfId="1051">
      <pivotArea outline="0" fieldPosition="0">
        <references count="4">
          <reference field="4294967294" count="1" selected="0">
            <x v="26"/>
          </reference>
          <reference field="0" count="1" selected="0">
            <x v="11"/>
          </reference>
          <reference field="4" count="1" selected="0">
            <x v="5"/>
          </reference>
          <reference field="70" count="1" selected="0">
            <x v="0"/>
          </reference>
        </references>
      </pivotArea>
    </format>
    <format dxfId="1050">
      <pivotArea outline="0" fieldPosition="0">
        <references count="4">
          <reference field="4294967294" count="1" selected="0">
            <x v="20"/>
          </reference>
          <reference field="0" count="1" selected="0">
            <x v="12"/>
          </reference>
          <reference field="4" count="1" selected="0">
            <x v="4"/>
          </reference>
          <reference field="70" count="1" selected="0">
            <x v="0"/>
          </reference>
        </references>
      </pivotArea>
    </format>
    <format dxfId="1049">
      <pivotArea outline="0" fieldPosition="0">
        <references count="4">
          <reference field="4294967294" count="1" selected="0">
            <x v="26"/>
          </reference>
          <reference field="0" count="1" selected="0">
            <x v="12"/>
          </reference>
          <reference field="4" count="1" selected="0">
            <x v="4"/>
          </reference>
          <reference field="70" count="1" selected="0">
            <x v="0"/>
          </reference>
        </references>
      </pivotArea>
    </format>
    <format dxfId="1048">
      <pivotArea outline="0" fieldPosition="0">
        <references count="4">
          <reference field="4294967294" count="1" selected="0">
            <x v="2"/>
          </reference>
          <reference field="0" count="1" selected="0">
            <x v="13"/>
          </reference>
          <reference field="4" count="1" selected="0">
            <x v="3"/>
          </reference>
          <reference field="70" count="1" selected="0">
            <x v="0"/>
          </reference>
        </references>
      </pivotArea>
    </format>
    <format dxfId="1047">
      <pivotArea outline="0" fieldPosition="0">
        <references count="4">
          <reference field="4294967294" count="1" selected="0">
            <x v="20"/>
          </reference>
          <reference field="0" count="1" selected="0">
            <x v="13"/>
          </reference>
          <reference field="4" count="1" selected="0">
            <x v="4"/>
          </reference>
          <reference field="70" count="1" selected="0">
            <x v="0"/>
          </reference>
        </references>
      </pivotArea>
    </format>
    <format dxfId="1046">
      <pivotArea outline="0" fieldPosition="0">
        <references count="4">
          <reference field="4294967294" count="1" selected="0">
            <x v="26"/>
          </reference>
          <reference field="0" count="1" selected="0">
            <x v="13"/>
          </reference>
          <reference field="4" count="1" selected="0">
            <x v="4"/>
          </reference>
          <reference field="70" count="1" selected="0">
            <x v="0"/>
          </reference>
        </references>
      </pivotArea>
    </format>
    <format dxfId="1045">
      <pivotArea outline="0" fieldPosition="0">
        <references count="4">
          <reference field="4294967294" count="1" selected="0">
            <x v="28"/>
          </reference>
          <reference field="0" count="1" selected="0">
            <x v="13"/>
          </reference>
          <reference field="4" count="1" selected="0">
            <x v="5"/>
          </reference>
          <reference field="70" count="1" selected="0">
            <x v="0"/>
          </reference>
        </references>
      </pivotArea>
    </format>
    <format dxfId="1044">
      <pivotArea outline="0" fieldPosition="0">
        <references count="4">
          <reference field="4294967294" count="1" selected="0">
            <x v="31"/>
          </reference>
          <reference field="0" count="1" selected="0">
            <x v="13"/>
          </reference>
          <reference field="4" count="1" selected="0">
            <x v="4"/>
          </reference>
          <reference field="70" count="1" selected="0">
            <x v="0"/>
          </reference>
        </references>
      </pivotArea>
    </format>
    <format dxfId="1043">
      <pivotArea outline="0" fieldPosition="0">
        <references count="4">
          <reference field="4294967294" count="1" selected="0">
            <x v="2"/>
          </reference>
          <reference field="0" count="1" selected="0">
            <x v="14"/>
          </reference>
          <reference field="4" count="1" selected="0">
            <x v="5"/>
          </reference>
          <reference field="70" count="1" selected="0">
            <x v="0"/>
          </reference>
        </references>
      </pivotArea>
    </format>
    <format dxfId="1042">
      <pivotArea outline="0" fieldPosition="0">
        <references count="4">
          <reference field="4294967294" count="1" selected="0">
            <x v="8"/>
          </reference>
          <reference field="0" count="1" selected="0">
            <x v="14"/>
          </reference>
          <reference field="4" count="1" selected="0">
            <x v="5"/>
          </reference>
          <reference field="70" count="1" selected="0">
            <x v="0"/>
          </reference>
        </references>
      </pivotArea>
    </format>
    <format dxfId="1041">
      <pivotArea outline="0" fieldPosition="0">
        <references count="4">
          <reference field="4294967294" count="1" selected="0">
            <x v="20"/>
          </reference>
          <reference field="0" count="1" selected="0">
            <x v="14"/>
          </reference>
          <reference field="4" count="1" selected="0">
            <x v="2"/>
          </reference>
          <reference field="70" count="1" selected="0">
            <x v="0"/>
          </reference>
        </references>
      </pivotArea>
    </format>
    <format dxfId="1040">
      <pivotArea outline="0" fieldPosition="0">
        <references count="4">
          <reference field="4294967294" count="1" selected="0">
            <x v="26"/>
          </reference>
          <reference field="0" count="1" selected="0">
            <x v="14"/>
          </reference>
          <reference field="4" count="1" selected="0">
            <x v="2"/>
          </reference>
          <reference field="70" count="1" selected="0">
            <x v="0"/>
          </reference>
        </references>
      </pivotArea>
    </format>
    <format dxfId="1039">
      <pivotArea outline="0" fieldPosition="0">
        <references count="4">
          <reference field="4294967294" count="1" selected="0">
            <x v="20"/>
          </reference>
          <reference field="0" count="1" selected="0">
            <x v="14"/>
          </reference>
          <reference field="4" count="1" selected="0">
            <x v="2"/>
          </reference>
          <reference field="70" count="1" selected="0">
            <x v="0"/>
          </reference>
        </references>
      </pivotArea>
    </format>
    <format dxfId="1038">
      <pivotArea outline="0" fieldPosition="0">
        <references count="4">
          <reference field="4294967294" count="1" selected="0">
            <x v="2"/>
          </reference>
          <reference field="0" count="1" selected="0">
            <x v="15"/>
          </reference>
          <reference field="4" count="1" selected="0">
            <x v="7"/>
          </reference>
          <reference field="70" count="1" selected="0">
            <x v="1"/>
          </reference>
        </references>
      </pivotArea>
    </format>
    <format dxfId="1037">
      <pivotArea outline="0" fieldPosition="0">
        <references count="4">
          <reference field="4294967294" count="1" selected="0">
            <x v="8"/>
          </reference>
          <reference field="0" count="1" selected="0">
            <x v="15"/>
          </reference>
          <reference field="4" count="1" selected="0">
            <x v="7"/>
          </reference>
          <reference field="70" count="1" selected="0">
            <x v="1"/>
          </reference>
        </references>
      </pivotArea>
    </format>
    <format dxfId="1036">
      <pivotArea outline="0" fieldPosition="0">
        <references count="4">
          <reference field="4294967294" count="1" selected="0">
            <x v="23"/>
          </reference>
          <reference field="0" count="1" selected="0">
            <x v="15"/>
          </reference>
          <reference field="4" count="1" selected="0">
            <x v="2"/>
          </reference>
          <reference field="70" count="1" selected="0">
            <x v="0"/>
          </reference>
        </references>
      </pivotArea>
    </format>
    <format dxfId="1035">
      <pivotArea outline="0" fieldPosition="0">
        <references count="4">
          <reference field="4294967294" count="1" selected="0">
            <x v="20"/>
          </reference>
          <reference field="0" count="1" selected="0">
            <x v="15"/>
          </reference>
          <reference field="4" count="1" selected="0">
            <x v="5"/>
          </reference>
          <reference field="70" count="1" selected="0">
            <x v="0"/>
          </reference>
        </references>
      </pivotArea>
    </format>
    <format dxfId="1034">
      <pivotArea outline="0" fieldPosition="0">
        <references count="4">
          <reference field="4294967294" count="1" selected="0">
            <x v="20"/>
          </reference>
          <reference field="0" count="1" selected="0">
            <x v="15"/>
          </reference>
          <reference field="4" count="1" selected="0">
            <x v="4"/>
          </reference>
          <reference field="70" count="1" selected="0">
            <x v="0"/>
          </reference>
        </references>
      </pivotArea>
    </format>
    <format dxfId="1033">
      <pivotArea outline="0" fieldPosition="0">
        <references count="4">
          <reference field="4294967294" count="1" selected="0">
            <x v="26"/>
          </reference>
          <reference field="0" count="1" selected="0">
            <x v="15"/>
          </reference>
          <reference field="4" count="1" selected="0">
            <x v="4"/>
          </reference>
          <reference field="70" count="1" selected="0">
            <x v="0"/>
          </reference>
        </references>
      </pivotArea>
    </format>
    <format dxfId="1032">
      <pivotArea outline="0" fieldPosition="0">
        <references count="4">
          <reference field="4294967294" count="1" selected="0">
            <x v="20"/>
          </reference>
          <reference field="0" count="1" selected="0">
            <x v="15"/>
          </reference>
          <reference field="4" count="1" selected="0">
            <x v="2"/>
          </reference>
          <reference field="70" count="1" selected="0">
            <x v="0"/>
          </reference>
        </references>
      </pivotArea>
    </format>
    <format dxfId="1031">
      <pivotArea outline="0" fieldPosition="0">
        <references count="4">
          <reference field="4294967294" count="1" selected="0">
            <x v="2"/>
          </reference>
          <reference field="0" count="1" selected="0">
            <x v="2"/>
          </reference>
          <reference field="4" count="1" selected="0">
            <x v="2"/>
          </reference>
          <reference field="70" count="1" selected="0">
            <x v="0"/>
          </reference>
        </references>
      </pivotArea>
    </format>
    <format dxfId="1030">
      <pivotArea outline="0" fieldPosition="0">
        <references count="4">
          <reference field="4294967294" count="1" selected="0">
            <x v="8"/>
          </reference>
          <reference field="0" count="1" selected="0">
            <x v="2"/>
          </reference>
          <reference field="4" count="1" selected="0">
            <x v="2"/>
          </reference>
          <reference field="70" count="1" selected="0">
            <x v="0"/>
          </reference>
        </references>
      </pivotArea>
    </format>
    <format dxfId="1029">
      <pivotArea outline="0" fieldPosition="0">
        <references count="4">
          <reference field="4294967294" count="7" selected="0">
            <x v="20"/>
            <x v="21"/>
            <x v="22"/>
            <x v="23"/>
            <x v="24"/>
            <x v="25"/>
            <x v="26"/>
          </reference>
          <reference field="0" count="1" selected="0">
            <x v="2"/>
          </reference>
          <reference field="4" count="1" selected="0">
            <x v="2"/>
          </reference>
          <reference field="70" count="1" selected="0">
            <x v="0"/>
          </reference>
        </references>
      </pivotArea>
    </format>
    <format dxfId="1028">
      <pivotArea outline="0" fieldPosition="0">
        <references count="4">
          <reference field="4294967294" count="1" selected="0">
            <x v="16"/>
          </reference>
          <reference field="0" count="1" selected="0">
            <x v="8"/>
          </reference>
          <reference field="4" count="1" selected="0">
            <x v="3"/>
          </reference>
          <reference field="70" count="1" selected="0">
            <x v="0"/>
          </reference>
        </references>
      </pivotArea>
    </format>
    <format dxfId="1027">
      <pivotArea outline="0" fieldPosition="0">
        <references count="4">
          <reference field="4294967294" count="1" selected="0">
            <x v="34"/>
          </reference>
          <reference field="0" count="1" selected="0">
            <x v="8"/>
          </reference>
          <reference field="4" count="1" selected="0">
            <x v="3"/>
          </reference>
          <reference field="70" count="1" selected="0">
            <x v="0"/>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2" cacheId="0" dataOnRows="1" applyNumberFormats="0" applyBorderFormats="0" applyFontFormats="0" applyPatternFormats="0" applyAlignmentFormats="0" applyWidthHeightFormats="1" dataCaption="Data" updatedVersion="4" asteriskTotals="1" showMemberPropertyTips="0" useAutoFormatting="1" rowGrandTotals="0" colGrandTotals="0" itemPrintTitles="1" createdVersion="1" indent="0" compact="0" compactData="0" gridDropZones="1">
  <location ref="A3:S133" firstHeaderRow="1" firstDataRow="3" firstDataCol="2"/>
  <pivotFields count="74">
    <pivotField axis="axisRow" compact="0" outline="0" subtotalTop="0" showAll="0" includeNewItemsInFilter="1" sortType="ascending">
      <items count="18">
        <item x="0"/>
        <item x="1"/>
        <item x="2"/>
        <item x="3"/>
        <item x="4"/>
        <item m="1" x="16"/>
        <item x="5"/>
        <item x="6"/>
        <item x="7"/>
        <item x="8"/>
        <item x="9"/>
        <item x="10"/>
        <item x="11"/>
        <item x="12"/>
        <item x="13"/>
        <item x="14"/>
        <item x="15"/>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axis="axisCol" compact="0" outline="0" subtotalTop="0" showAll="0" includeNewItemsInFilter="1" defaultSubtotal="0">
      <items count="16">
        <item x="0"/>
        <item x="1"/>
        <item x="2"/>
        <item x="3"/>
        <item x="4"/>
        <item x="5"/>
        <item x="12"/>
        <item m="1" x="15"/>
        <item m="1" x="14"/>
        <item x="13"/>
        <item x="11"/>
        <item x="6"/>
        <item x="7"/>
        <item x="8"/>
        <item x="9"/>
        <item x="10"/>
      </items>
    </pivotField>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axis="axisCol" compact="0" outline="0" subtotalTop="0" showAll="0" includeNewItemsInFilter="1">
      <items count="6">
        <item n="Four-Year" x="2"/>
        <item x="1"/>
        <item x="0"/>
        <item n="Two-Year" x="3"/>
        <item n="Techncial" x="4"/>
        <item t="default"/>
      </items>
    </pivotField>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2"/>
  </rowFields>
  <rowItems count="128">
    <i>
      <x/>
      <x/>
    </i>
    <i r="1" i="1">
      <x v="1"/>
    </i>
    <i r="1" i="2">
      <x v="2"/>
    </i>
    <i r="1" i="3">
      <x v="3"/>
    </i>
    <i r="1" i="4">
      <x v="4"/>
    </i>
    <i r="1" i="5">
      <x v="5"/>
    </i>
    <i r="1" i="6">
      <x v="6"/>
    </i>
    <i r="1" i="7">
      <x v="7"/>
    </i>
    <i>
      <x v="1"/>
      <x/>
    </i>
    <i r="1" i="1">
      <x v="1"/>
    </i>
    <i r="1" i="2">
      <x v="2"/>
    </i>
    <i r="1" i="3">
      <x v="3"/>
    </i>
    <i r="1" i="4">
      <x v="4"/>
    </i>
    <i r="1" i="5">
      <x v="5"/>
    </i>
    <i r="1" i="6">
      <x v="6"/>
    </i>
    <i r="1" i="7">
      <x v="7"/>
    </i>
    <i>
      <x v="2"/>
      <x/>
    </i>
    <i r="1" i="1">
      <x v="1"/>
    </i>
    <i r="1" i="2">
      <x v="2"/>
    </i>
    <i r="1" i="3">
      <x v="3"/>
    </i>
    <i r="1" i="4">
      <x v="4"/>
    </i>
    <i r="1" i="5">
      <x v="5"/>
    </i>
    <i r="1" i="6">
      <x v="6"/>
    </i>
    <i r="1" i="7">
      <x v="7"/>
    </i>
    <i>
      <x v="3"/>
      <x/>
    </i>
    <i r="1" i="1">
      <x v="1"/>
    </i>
    <i r="1" i="2">
      <x v="2"/>
    </i>
    <i r="1" i="3">
      <x v="3"/>
    </i>
    <i r="1" i="4">
      <x v="4"/>
    </i>
    <i r="1" i="5">
      <x v="5"/>
    </i>
    <i r="1" i="6">
      <x v="6"/>
    </i>
    <i r="1" i="7">
      <x v="7"/>
    </i>
    <i>
      <x v="4"/>
      <x/>
    </i>
    <i r="1" i="1">
      <x v="1"/>
    </i>
    <i r="1" i="2">
      <x v="2"/>
    </i>
    <i r="1" i="3">
      <x v="3"/>
    </i>
    <i r="1" i="4">
      <x v="4"/>
    </i>
    <i r="1" i="5">
      <x v="5"/>
    </i>
    <i r="1" i="6">
      <x v="6"/>
    </i>
    <i r="1" i="7">
      <x v="7"/>
    </i>
    <i>
      <x v="6"/>
      <x/>
    </i>
    <i r="1" i="1">
      <x v="1"/>
    </i>
    <i r="1" i="2">
      <x v="2"/>
    </i>
    <i r="1" i="3">
      <x v="3"/>
    </i>
    <i r="1" i="4">
      <x v="4"/>
    </i>
    <i r="1" i="5">
      <x v="5"/>
    </i>
    <i r="1" i="6">
      <x v="6"/>
    </i>
    <i r="1" i="7">
      <x v="7"/>
    </i>
    <i>
      <x v="7"/>
      <x/>
    </i>
    <i r="1" i="1">
      <x v="1"/>
    </i>
    <i r="1" i="2">
      <x v="2"/>
    </i>
    <i r="1" i="3">
      <x v="3"/>
    </i>
    <i r="1" i="4">
      <x v="4"/>
    </i>
    <i r="1" i="5">
      <x v="5"/>
    </i>
    <i r="1" i="6">
      <x v="6"/>
    </i>
    <i r="1" i="7">
      <x v="7"/>
    </i>
    <i>
      <x v="8"/>
      <x/>
    </i>
    <i r="1" i="1">
      <x v="1"/>
    </i>
    <i r="1" i="2">
      <x v="2"/>
    </i>
    <i r="1" i="3">
      <x v="3"/>
    </i>
    <i r="1" i="4">
      <x v="4"/>
    </i>
    <i r="1" i="5">
      <x v="5"/>
    </i>
    <i r="1" i="6">
      <x v="6"/>
    </i>
    <i r="1" i="7">
      <x v="7"/>
    </i>
    <i>
      <x v="9"/>
      <x/>
    </i>
    <i r="1" i="1">
      <x v="1"/>
    </i>
    <i r="1" i="2">
      <x v="2"/>
    </i>
    <i r="1" i="3">
      <x v="3"/>
    </i>
    <i r="1" i="4">
      <x v="4"/>
    </i>
    <i r="1" i="5">
      <x v="5"/>
    </i>
    <i r="1" i="6">
      <x v="6"/>
    </i>
    <i r="1" i="7">
      <x v="7"/>
    </i>
    <i>
      <x v="10"/>
      <x/>
    </i>
    <i r="1" i="1">
      <x v="1"/>
    </i>
    <i r="1" i="2">
      <x v="2"/>
    </i>
    <i r="1" i="3">
      <x v="3"/>
    </i>
    <i r="1" i="4">
      <x v="4"/>
    </i>
    <i r="1" i="5">
      <x v="5"/>
    </i>
    <i r="1" i="6">
      <x v="6"/>
    </i>
    <i r="1" i="7">
      <x v="7"/>
    </i>
    <i>
      <x v="11"/>
      <x/>
    </i>
    <i r="1" i="1">
      <x v="1"/>
    </i>
    <i r="1" i="2">
      <x v="2"/>
    </i>
    <i r="1" i="3">
      <x v="3"/>
    </i>
    <i r="1" i="4">
      <x v="4"/>
    </i>
    <i r="1" i="5">
      <x v="5"/>
    </i>
    <i r="1" i="6">
      <x v="6"/>
    </i>
    <i r="1" i="7">
      <x v="7"/>
    </i>
    <i>
      <x v="12"/>
      <x/>
    </i>
    <i r="1" i="1">
      <x v="1"/>
    </i>
    <i r="1" i="2">
      <x v="2"/>
    </i>
    <i r="1" i="3">
      <x v="3"/>
    </i>
    <i r="1" i="4">
      <x v="4"/>
    </i>
    <i r="1" i="5">
      <x v="5"/>
    </i>
    <i r="1" i="6">
      <x v="6"/>
    </i>
    <i r="1" i="7">
      <x v="7"/>
    </i>
    <i>
      <x v="13"/>
      <x/>
    </i>
    <i r="1" i="1">
      <x v="1"/>
    </i>
    <i r="1" i="2">
      <x v="2"/>
    </i>
    <i r="1" i="3">
      <x v="3"/>
    </i>
    <i r="1" i="4">
      <x v="4"/>
    </i>
    <i r="1" i="5">
      <x v="5"/>
    </i>
    <i r="1" i="6">
      <x v="6"/>
    </i>
    <i r="1" i="7">
      <x v="7"/>
    </i>
    <i>
      <x v="14"/>
      <x/>
    </i>
    <i r="1" i="1">
      <x v="1"/>
    </i>
    <i r="1" i="2">
      <x v="2"/>
    </i>
    <i r="1" i="3">
      <x v="3"/>
    </i>
    <i r="1" i="4">
      <x v="4"/>
    </i>
    <i r="1" i="5">
      <x v="5"/>
    </i>
    <i r="1" i="6">
      <x v="6"/>
    </i>
    <i r="1" i="7">
      <x v="7"/>
    </i>
    <i>
      <x v="15"/>
      <x/>
    </i>
    <i r="1" i="1">
      <x v="1"/>
    </i>
    <i r="1" i="2">
      <x v="2"/>
    </i>
    <i r="1" i="3">
      <x v="3"/>
    </i>
    <i r="1" i="4">
      <x v="4"/>
    </i>
    <i r="1" i="5">
      <x v="5"/>
    </i>
    <i r="1" i="6">
      <x v="6"/>
    </i>
    <i r="1" i="7">
      <x v="7"/>
    </i>
    <i>
      <x v="16"/>
      <x/>
    </i>
    <i r="1" i="1">
      <x v="1"/>
    </i>
    <i r="1" i="2">
      <x v="2"/>
    </i>
    <i r="1" i="3">
      <x v="3"/>
    </i>
    <i r="1" i="4">
      <x v="4"/>
    </i>
    <i r="1" i="5">
      <x v="5"/>
    </i>
    <i r="1" i="6">
      <x v="6"/>
    </i>
    <i r="1" i="7">
      <x v="7"/>
    </i>
  </rowItems>
  <colFields count="2">
    <field x="70"/>
    <field x="4"/>
  </colFields>
  <colItems count="17">
    <i>
      <x/>
      <x/>
    </i>
    <i r="1">
      <x v="1"/>
    </i>
    <i r="1">
      <x v="2"/>
    </i>
    <i r="1">
      <x v="3"/>
    </i>
    <i r="1">
      <x v="4"/>
    </i>
    <i r="1">
      <x v="5"/>
    </i>
    <i r="1">
      <x v="6"/>
    </i>
    <i r="1">
      <x v="9"/>
    </i>
    <i t="default">
      <x/>
    </i>
    <i>
      <x v="3"/>
      <x v="10"/>
    </i>
    <i r="1">
      <x v="11"/>
    </i>
    <i r="1">
      <x v="12"/>
    </i>
    <i r="1">
      <x v="13"/>
    </i>
    <i t="default">
      <x v="3"/>
    </i>
    <i>
      <x v="4"/>
      <x v="14"/>
    </i>
    <i r="1">
      <x v="15"/>
    </i>
    <i t="default">
      <x v="4"/>
    </i>
  </colItems>
  <dataFields count="8">
    <dataField name="Sum of OLD-Tot UG SCH Calc" fld="5" baseField="0" baseItem="0"/>
    <dataField name="Sum of NEW-Tot UG SCH Calc" fld="6" baseField="0" baseItem="0"/>
    <dataField name="Sum of Old UG E-Learning" fld="66" baseField="0" baseItem="0"/>
    <dataField name="Sum of New UG E-Learning" fld="68" baseField="0" baseItem="0"/>
    <dataField name="Sum of Old-Tot G SCH Calc" fld="19" baseField="0" baseItem="0"/>
    <dataField name="Sum of New-Tot G SCH Calc" fld="20" baseField="0" baseItem="0"/>
    <dataField name="Sum of Old G E-Learning" fld="67" baseField="0" baseItem="0"/>
    <dataField name="Sum of New G E-Learning" fld="69" baseField="0" baseItem="0"/>
  </dataFields>
  <formats count="147">
    <format dxfId="1026">
      <pivotArea field="4" type="button" dataOnly="0" labelOnly="1" outline="0" axis="axisCol" fieldPosition="1"/>
    </format>
    <format dxfId="1025">
      <pivotArea type="topRight" dataOnly="0" labelOnly="1" outline="0" fieldPosition="0"/>
    </format>
    <format dxfId="1024">
      <pivotArea dataOnly="0" labelOnly="1" grandCol="1" outline="0" fieldPosition="0"/>
    </format>
    <format dxfId="1023">
      <pivotArea dataOnly="0" labelOnly="1" outline="0" offset="IV256" fieldPosition="0">
        <references count="1">
          <reference field="0" count="1">
            <x v="3"/>
          </reference>
        </references>
      </pivotArea>
    </format>
    <format dxfId="1022">
      <pivotArea dataOnly="0" labelOnly="1" outline="0" offset="IV256" fieldPosition="0">
        <references count="1">
          <reference field="0" count="1">
            <x v="4"/>
          </reference>
        </references>
      </pivotArea>
    </format>
    <format dxfId="1021">
      <pivotArea dataOnly="0" labelOnly="1" outline="0" offset="IV256" fieldPosition="0">
        <references count="1">
          <reference field="0" count="1">
            <x v="6"/>
          </reference>
        </references>
      </pivotArea>
    </format>
    <format dxfId="1020">
      <pivotArea dataOnly="0" labelOnly="1" outline="0" offset="IV256" fieldPosition="0">
        <references count="1">
          <reference field="0" count="1">
            <x v="8"/>
          </reference>
        </references>
      </pivotArea>
    </format>
    <format dxfId="1019">
      <pivotArea dataOnly="0" labelOnly="1" outline="0" offset="IV256" fieldPosition="0">
        <references count="1">
          <reference field="0" count="1">
            <x v="9"/>
          </reference>
        </references>
      </pivotArea>
    </format>
    <format dxfId="1018">
      <pivotArea dataOnly="0" labelOnly="1" outline="0" offset="IV256" fieldPosition="0">
        <references count="1">
          <reference field="0" count="1">
            <x v="10"/>
          </reference>
        </references>
      </pivotArea>
    </format>
    <format dxfId="1017">
      <pivotArea dataOnly="0" labelOnly="1" outline="0" offset="IV256" fieldPosition="0">
        <references count="1">
          <reference field="0" count="1">
            <x v="11"/>
          </reference>
        </references>
      </pivotArea>
    </format>
    <format dxfId="1016">
      <pivotArea dataOnly="0" labelOnly="1" outline="0" offset="IV256" fieldPosition="0">
        <references count="1">
          <reference field="0" count="1">
            <x v="12"/>
          </reference>
        </references>
      </pivotArea>
    </format>
    <format dxfId="1015">
      <pivotArea dataOnly="0" labelOnly="1" outline="0" offset="IV256" fieldPosition="0">
        <references count="1">
          <reference field="0" count="1">
            <x v="13"/>
          </reference>
        </references>
      </pivotArea>
    </format>
    <format dxfId="1014">
      <pivotArea dataOnly="0" labelOnly="1" outline="0" offset="IV256" fieldPosition="0">
        <references count="1">
          <reference field="0" count="1">
            <x v="14"/>
          </reference>
        </references>
      </pivotArea>
    </format>
    <format dxfId="1013">
      <pivotArea type="origin" dataOnly="0" labelOnly="1" outline="0" offset="A2:B2" fieldPosition="0"/>
    </format>
    <format dxfId="1012">
      <pivotArea dataOnly="0" labelOnly="1" outline="0" fieldPosition="0">
        <references count="1">
          <reference field="0" count="0"/>
        </references>
      </pivotArea>
    </format>
    <format dxfId="1011">
      <pivotArea dataOnly="0" labelOnly="1" outline="0" offset="IV1" fieldPosition="0">
        <references count="1">
          <reference field="0" count="1">
            <x v="0"/>
          </reference>
        </references>
      </pivotArea>
    </format>
    <format dxfId="1010">
      <pivotArea type="origin" dataOnly="0" labelOnly="1" outline="0" fieldPosition="0"/>
    </format>
    <format dxfId="1009">
      <pivotArea field="0" type="button" dataOnly="0" labelOnly="1" outline="0" axis="axisRow" fieldPosition="0"/>
    </format>
    <format dxfId="1008">
      <pivotArea dataOnly="0" labelOnly="1" outline="0" offset="IV5:IV6" fieldPosition="0">
        <references count="1">
          <reference field="0" count="1">
            <x v="1"/>
          </reference>
        </references>
      </pivotArea>
    </format>
    <format dxfId="1007">
      <pivotArea dataOnly="0" labelOnly="1" outline="0" offset="IV7:IV8" fieldPosition="0">
        <references count="1">
          <reference field="0" count="1">
            <x v="1"/>
          </reference>
        </references>
      </pivotArea>
    </format>
    <format dxfId="1006">
      <pivotArea dataOnly="0" labelOnly="1" outline="0" offset="IV9:IV10" fieldPosition="0">
        <references count="1">
          <reference field="0" count="1">
            <x v="1"/>
          </reference>
        </references>
      </pivotArea>
    </format>
    <format dxfId="1005">
      <pivotArea dataOnly="0" labelOnly="1" outline="0" offset="IV11:IV12" fieldPosition="0">
        <references count="1">
          <reference field="0" count="1">
            <x v="1"/>
          </reference>
        </references>
      </pivotArea>
    </format>
    <format dxfId="1004">
      <pivotArea dataOnly="0" labelOnly="1" outline="0" offset="IV256" fieldPosition="0">
        <references count="1">
          <reference field="0" count="1">
            <x v="0"/>
          </reference>
        </references>
      </pivotArea>
    </format>
    <format dxfId="1003">
      <pivotArea dataOnly="0" labelOnly="1" grandCol="1" outline="0" offset="IV256" fieldPosition="0"/>
    </format>
    <format dxfId="1002">
      <pivotArea dataOnly="0" labelOnly="1" outline="0" offset="IV256" fieldPosition="0">
        <references count="1">
          <reference field="0" count="1">
            <x v="1"/>
          </reference>
        </references>
      </pivotArea>
    </format>
    <format dxfId="1001">
      <pivotArea dataOnly="0" labelOnly="1" outline="0" offset="IV1" fieldPosition="0">
        <references count="1">
          <reference field="0" count="1">
            <x v="0"/>
          </reference>
        </references>
      </pivotArea>
    </format>
    <format dxfId="1000">
      <pivotArea dataOnly="0" labelOnly="1" outline="0" offset="IV1" fieldPosition="0">
        <references count="1">
          <reference field="0" count="1">
            <x v="1"/>
          </reference>
        </references>
      </pivotArea>
    </format>
    <format dxfId="999">
      <pivotArea dataOnly="0" labelOnly="1" outline="0" offset="IV1" fieldPosition="0">
        <references count="1">
          <reference field="0" count="1">
            <x v="3"/>
          </reference>
        </references>
      </pivotArea>
    </format>
    <format dxfId="998">
      <pivotArea dataOnly="0" labelOnly="1" outline="0" offset="IV1" fieldPosition="0">
        <references count="1">
          <reference field="0" count="1">
            <x v="4"/>
          </reference>
        </references>
      </pivotArea>
    </format>
    <format dxfId="997">
      <pivotArea dataOnly="0" labelOnly="1" outline="0" offset="IV256" fieldPosition="0">
        <references count="1">
          <reference field="0" count="1">
            <x v="16"/>
          </reference>
        </references>
      </pivotArea>
    </format>
    <format dxfId="996">
      <pivotArea outline="0" fieldPosition="0">
        <references count="1">
          <reference field="0" count="1" selected="0">
            <x v="0"/>
          </reference>
        </references>
      </pivotArea>
    </format>
    <format dxfId="995">
      <pivotArea dataOnly="0" labelOnly="1" outline="0" fieldPosition="0">
        <references count="1">
          <reference field="0" count="1">
            <x v="0"/>
          </reference>
        </references>
      </pivotArea>
    </format>
    <format dxfId="994">
      <pivotArea dataOnly="0" labelOnly="1" outline="0" fieldPosition="0">
        <references count="2">
          <reference field="4294967294" count="0"/>
          <reference field="0" count="1" selected="0">
            <x v="0"/>
          </reference>
        </references>
      </pivotArea>
    </format>
    <format dxfId="993">
      <pivotArea type="all" dataOnly="0" outline="0" fieldPosition="0"/>
    </format>
    <format dxfId="992">
      <pivotArea outline="0" fieldPosition="0"/>
    </format>
    <format dxfId="991">
      <pivotArea outline="0" fieldPosition="0">
        <references count="2">
          <reference field="4294967294" count="1" selected="0">
            <x v="0"/>
          </reference>
          <reference field="0" count="1" selected="0">
            <x v="4"/>
          </reference>
        </references>
      </pivotArea>
    </format>
    <format dxfId="990">
      <pivotArea outline="0" fieldPosition="0">
        <references count="2">
          <reference field="4294967294" count="1" selected="0">
            <x v="0"/>
          </reference>
          <reference field="0" count="1" selected="0">
            <x v="6"/>
          </reference>
        </references>
      </pivotArea>
    </format>
    <format dxfId="989">
      <pivotArea outline="0" fieldPosition="0">
        <references count="2">
          <reference field="4294967294" count="1" selected="0">
            <x v="0"/>
          </reference>
          <reference field="0" count="1" selected="0">
            <x v="8"/>
          </reference>
        </references>
      </pivotArea>
    </format>
    <format dxfId="988">
      <pivotArea outline="0" fieldPosition="0">
        <references count="2">
          <reference field="4294967294" count="1" selected="0">
            <x v="1"/>
          </reference>
          <reference field="0" count="1" selected="0">
            <x v="4"/>
          </reference>
        </references>
      </pivotArea>
    </format>
    <format dxfId="987">
      <pivotArea outline="0" fieldPosition="0">
        <references count="2">
          <reference field="4294967294" count="1" selected="0">
            <x v="1"/>
          </reference>
          <reference field="0" count="1" selected="0">
            <x v="6"/>
          </reference>
        </references>
      </pivotArea>
    </format>
    <format dxfId="986">
      <pivotArea outline="0" fieldPosition="0">
        <references count="2">
          <reference field="4294967294" count="1" selected="0">
            <x v="2"/>
          </reference>
          <reference field="0" count="1" selected="0">
            <x v="4"/>
          </reference>
        </references>
      </pivotArea>
    </format>
    <format dxfId="985">
      <pivotArea outline="0" fieldPosition="0">
        <references count="2">
          <reference field="4294967294" count="1" selected="0">
            <x v="2"/>
          </reference>
          <reference field="0" count="1" selected="0">
            <x v="6"/>
          </reference>
        </references>
      </pivotArea>
    </format>
    <format dxfId="984">
      <pivotArea outline="0" fieldPosition="0">
        <references count="2">
          <reference field="4294967294" count="1" selected="0">
            <x v="2"/>
          </reference>
          <reference field="0" count="1" selected="0">
            <x v="8"/>
          </reference>
        </references>
      </pivotArea>
    </format>
    <format dxfId="983">
      <pivotArea outline="0" fieldPosition="0">
        <references count="2">
          <reference field="4294967294" count="1" selected="0">
            <x v="3"/>
          </reference>
          <reference field="0" count="1" selected="0">
            <x v="6"/>
          </reference>
        </references>
      </pivotArea>
    </format>
    <format dxfId="982">
      <pivotArea outline="0" fieldPosition="0">
        <references count="2">
          <reference field="4294967294" count="1" selected="0">
            <x v="3"/>
          </reference>
          <reference field="0" count="1" selected="0">
            <x v="4"/>
          </reference>
        </references>
      </pivotArea>
    </format>
    <format dxfId="981">
      <pivotArea outline="0" fieldPosition="0">
        <references count="1">
          <reference field="0" count="1" selected="0">
            <x v="0"/>
          </reference>
        </references>
      </pivotArea>
    </format>
    <format dxfId="980">
      <pivotArea dataOnly="0" labelOnly="1" outline="0" fieldPosition="0">
        <references count="1">
          <reference field="0" count="1">
            <x v="0"/>
          </reference>
        </references>
      </pivotArea>
    </format>
    <format dxfId="979">
      <pivotArea dataOnly="0" labelOnly="1" outline="0" fieldPosition="0">
        <references count="2">
          <reference field="4294967294" count="0"/>
          <reference field="0" count="1" selected="0">
            <x v="0"/>
          </reference>
        </references>
      </pivotArea>
    </format>
    <format dxfId="978">
      <pivotArea outline="0" fieldPosition="0">
        <references count="1">
          <reference field="0" count="1" selected="0">
            <x v="16"/>
          </reference>
        </references>
      </pivotArea>
    </format>
    <format dxfId="977">
      <pivotArea dataOnly="0" labelOnly="1" outline="0" fieldPosition="0">
        <references count="1">
          <reference field="0" count="1">
            <x v="16"/>
          </reference>
        </references>
      </pivotArea>
    </format>
    <format dxfId="976">
      <pivotArea dataOnly="0" labelOnly="1" outline="0" fieldPosition="0">
        <references count="2">
          <reference field="4294967294" count="0"/>
          <reference field="0" count="1" selected="0">
            <x v="16"/>
          </reference>
        </references>
      </pivotArea>
    </format>
    <format dxfId="975">
      <pivotArea outline="0" fieldPosition="0">
        <references count="1">
          <reference field="0" count="1" selected="0">
            <x v="13"/>
          </reference>
        </references>
      </pivotArea>
    </format>
    <format dxfId="974">
      <pivotArea dataOnly="0" labelOnly="1" outline="0" fieldPosition="0">
        <references count="1">
          <reference field="0" count="1">
            <x v="13"/>
          </reference>
        </references>
      </pivotArea>
    </format>
    <format dxfId="973">
      <pivotArea dataOnly="0" labelOnly="1" outline="0" fieldPosition="0">
        <references count="2">
          <reference field="4294967294" count="0"/>
          <reference field="0" count="1" selected="0">
            <x v="13"/>
          </reference>
        </references>
      </pivotArea>
    </format>
    <format dxfId="972">
      <pivotArea outline="0" fieldPosition="0"/>
    </format>
    <format dxfId="971">
      <pivotArea field="-2" type="button" dataOnly="0" labelOnly="1" outline="0" axis="axisRow" fieldPosition="1"/>
    </format>
    <format dxfId="970">
      <pivotArea field="4" type="button" dataOnly="0" labelOnly="1" outline="0" axis="axisCol" fieldPosition="1"/>
    </format>
    <format dxfId="969">
      <pivotArea type="topRight" dataOnly="0" labelOnly="1" outline="0" fieldPosition="0"/>
    </format>
    <format dxfId="968">
      <pivotArea dataOnly="0" labelOnly="1" outline="0" fieldPosition="0">
        <references count="2">
          <reference field="4294967294" count="8">
            <x v="0"/>
            <x v="1"/>
            <x v="2"/>
            <x v="3"/>
            <x v="4"/>
            <x v="5"/>
            <x v="6"/>
            <x v="7"/>
          </reference>
          <reference field="0" count="1" selected="0">
            <x v="0"/>
          </reference>
        </references>
      </pivotArea>
    </format>
    <format dxfId="967">
      <pivotArea dataOnly="0" labelOnly="1" outline="0" fieldPosition="0">
        <references count="2">
          <reference field="4294967294" count="8">
            <x v="0"/>
            <x v="1"/>
            <x v="2"/>
            <x v="3"/>
            <x v="4"/>
            <x v="5"/>
            <x v="6"/>
            <x v="7"/>
          </reference>
          <reference field="0" count="1" selected="0">
            <x v="1"/>
          </reference>
        </references>
      </pivotArea>
    </format>
    <format dxfId="966">
      <pivotArea dataOnly="0" labelOnly="1" outline="0" fieldPosition="0">
        <references count="2">
          <reference field="4294967294" count="8">
            <x v="0"/>
            <x v="1"/>
            <x v="2"/>
            <x v="3"/>
            <x v="4"/>
            <x v="5"/>
            <x v="6"/>
            <x v="7"/>
          </reference>
          <reference field="0" count="1" selected="0">
            <x v="3"/>
          </reference>
        </references>
      </pivotArea>
    </format>
    <format dxfId="965">
      <pivotArea dataOnly="0" labelOnly="1" outline="0" fieldPosition="0">
        <references count="2">
          <reference field="4294967294" count="8">
            <x v="0"/>
            <x v="1"/>
            <x v="2"/>
            <x v="3"/>
            <x v="4"/>
            <x v="5"/>
            <x v="6"/>
            <x v="7"/>
          </reference>
          <reference field="0" count="1" selected="0">
            <x v="4"/>
          </reference>
        </references>
      </pivotArea>
    </format>
    <format dxfId="964">
      <pivotArea dataOnly="0" labelOnly="1" outline="0" fieldPosition="0">
        <references count="2">
          <reference field="4294967294" count="8">
            <x v="0"/>
            <x v="1"/>
            <x v="2"/>
            <x v="3"/>
            <x v="4"/>
            <x v="5"/>
            <x v="6"/>
            <x v="7"/>
          </reference>
          <reference field="0" count="1" selected="0">
            <x v="6"/>
          </reference>
        </references>
      </pivotArea>
    </format>
    <format dxfId="963">
      <pivotArea dataOnly="0" labelOnly="1" outline="0" fieldPosition="0">
        <references count="2">
          <reference field="4294967294" count="8">
            <x v="0"/>
            <x v="1"/>
            <x v="2"/>
            <x v="3"/>
            <x v="4"/>
            <x v="5"/>
            <x v="6"/>
            <x v="7"/>
          </reference>
          <reference field="0" count="1" selected="0">
            <x v="8"/>
          </reference>
        </references>
      </pivotArea>
    </format>
    <format dxfId="962">
      <pivotArea dataOnly="0" labelOnly="1" outline="0" fieldPosition="0">
        <references count="2">
          <reference field="4294967294" count="8">
            <x v="0"/>
            <x v="1"/>
            <x v="2"/>
            <x v="3"/>
            <x v="4"/>
            <x v="5"/>
            <x v="6"/>
            <x v="7"/>
          </reference>
          <reference field="0" count="1" selected="0">
            <x v="9"/>
          </reference>
        </references>
      </pivotArea>
    </format>
    <format dxfId="961">
      <pivotArea dataOnly="0" labelOnly="1" outline="0" fieldPosition="0">
        <references count="2">
          <reference field="4294967294" count="8">
            <x v="0"/>
            <x v="1"/>
            <x v="2"/>
            <x v="3"/>
            <x v="4"/>
            <x v="5"/>
            <x v="6"/>
            <x v="7"/>
          </reference>
          <reference field="0" count="1" selected="0">
            <x v="10"/>
          </reference>
        </references>
      </pivotArea>
    </format>
    <format dxfId="960">
      <pivotArea dataOnly="0" labelOnly="1" outline="0" fieldPosition="0">
        <references count="2">
          <reference field="4294967294" count="8">
            <x v="0"/>
            <x v="1"/>
            <x v="2"/>
            <x v="3"/>
            <x v="4"/>
            <x v="5"/>
            <x v="6"/>
            <x v="7"/>
          </reference>
          <reference field="0" count="1" selected="0">
            <x v="11"/>
          </reference>
        </references>
      </pivotArea>
    </format>
    <format dxfId="959">
      <pivotArea dataOnly="0" labelOnly="1" outline="0" fieldPosition="0">
        <references count="2">
          <reference field="4294967294" count="8">
            <x v="0"/>
            <x v="1"/>
            <x v="2"/>
            <x v="3"/>
            <x v="4"/>
            <x v="5"/>
            <x v="6"/>
            <x v="7"/>
          </reference>
          <reference field="0" count="1" selected="0">
            <x v="12"/>
          </reference>
        </references>
      </pivotArea>
    </format>
    <format dxfId="958">
      <pivotArea dataOnly="0" labelOnly="1" outline="0" fieldPosition="0">
        <references count="2">
          <reference field="4294967294" count="8">
            <x v="0"/>
            <x v="1"/>
            <x v="2"/>
            <x v="3"/>
            <x v="4"/>
            <x v="5"/>
            <x v="6"/>
            <x v="7"/>
          </reference>
          <reference field="0" count="1" selected="0">
            <x v="13"/>
          </reference>
        </references>
      </pivotArea>
    </format>
    <format dxfId="957">
      <pivotArea dataOnly="0" labelOnly="1" outline="0" fieldPosition="0">
        <references count="2">
          <reference field="4294967294" count="8">
            <x v="0"/>
            <x v="1"/>
            <x v="2"/>
            <x v="3"/>
            <x v="4"/>
            <x v="5"/>
            <x v="6"/>
            <x v="7"/>
          </reference>
          <reference field="0" count="1" selected="0">
            <x v="14"/>
          </reference>
        </references>
      </pivotArea>
    </format>
    <format dxfId="956">
      <pivotArea dataOnly="0" labelOnly="1" outline="0" fieldPosition="0">
        <references count="2">
          <reference field="4294967294" count="8">
            <x v="0"/>
            <x v="1"/>
            <x v="2"/>
            <x v="3"/>
            <x v="4"/>
            <x v="5"/>
            <x v="6"/>
            <x v="7"/>
          </reference>
          <reference field="0" count="1" selected="0">
            <x v="16"/>
          </reference>
        </references>
      </pivotArea>
    </format>
    <format dxfId="955">
      <pivotArea outline="0" fieldPosition="0"/>
    </format>
    <format dxfId="954">
      <pivotArea field="-2" type="button" dataOnly="0" labelOnly="1" outline="0" axis="axisRow" fieldPosition="1"/>
    </format>
    <format dxfId="953">
      <pivotArea field="4" type="button" dataOnly="0" labelOnly="1" outline="0" axis="axisCol" fieldPosition="1"/>
    </format>
    <format dxfId="952">
      <pivotArea type="topRight" dataOnly="0" labelOnly="1" outline="0" fieldPosition="0"/>
    </format>
    <format dxfId="951">
      <pivotArea dataOnly="0" labelOnly="1" outline="0" fieldPosition="0">
        <references count="2">
          <reference field="4294967294" count="8">
            <x v="0"/>
            <x v="1"/>
            <x v="2"/>
            <x v="3"/>
            <x v="4"/>
            <x v="5"/>
            <x v="6"/>
            <x v="7"/>
          </reference>
          <reference field="0" count="1" selected="0">
            <x v="0"/>
          </reference>
        </references>
      </pivotArea>
    </format>
    <format dxfId="950">
      <pivotArea dataOnly="0" labelOnly="1" outline="0" fieldPosition="0">
        <references count="2">
          <reference field="4294967294" count="8">
            <x v="0"/>
            <x v="1"/>
            <x v="2"/>
            <x v="3"/>
            <x v="4"/>
            <x v="5"/>
            <x v="6"/>
            <x v="7"/>
          </reference>
          <reference field="0" count="1" selected="0">
            <x v="1"/>
          </reference>
        </references>
      </pivotArea>
    </format>
    <format dxfId="949">
      <pivotArea dataOnly="0" labelOnly="1" outline="0" fieldPosition="0">
        <references count="2">
          <reference field="4294967294" count="8">
            <x v="0"/>
            <x v="1"/>
            <x v="2"/>
            <x v="3"/>
            <x v="4"/>
            <x v="5"/>
            <x v="6"/>
            <x v="7"/>
          </reference>
          <reference field="0" count="1" selected="0">
            <x v="3"/>
          </reference>
        </references>
      </pivotArea>
    </format>
    <format dxfId="948">
      <pivotArea dataOnly="0" labelOnly="1" outline="0" fieldPosition="0">
        <references count="2">
          <reference field="4294967294" count="8">
            <x v="0"/>
            <x v="1"/>
            <x v="2"/>
            <x v="3"/>
            <x v="4"/>
            <x v="5"/>
            <x v="6"/>
            <x v="7"/>
          </reference>
          <reference field="0" count="1" selected="0">
            <x v="4"/>
          </reference>
        </references>
      </pivotArea>
    </format>
    <format dxfId="947">
      <pivotArea dataOnly="0" labelOnly="1" outline="0" fieldPosition="0">
        <references count="2">
          <reference field="4294967294" count="8">
            <x v="0"/>
            <x v="1"/>
            <x v="2"/>
            <x v="3"/>
            <x v="4"/>
            <x v="5"/>
            <x v="6"/>
            <x v="7"/>
          </reference>
          <reference field="0" count="1" selected="0">
            <x v="6"/>
          </reference>
        </references>
      </pivotArea>
    </format>
    <format dxfId="946">
      <pivotArea dataOnly="0" labelOnly="1" outline="0" fieldPosition="0">
        <references count="2">
          <reference field="4294967294" count="8">
            <x v="0"/>
            <x v="1"/>
            <x v="2"/>
            <x v="3"/>
            <x v="4"/>
            <x v="5"/>
            <x v="6"/>
            <x v="7"/>
          </reference>
          <reference field="0" count="1" selected="0">
            <x v="8"/>
          </reference>
        </references>
      </pivotArea>
    </format>
    <format dxfId="945">
      <pivotArea dataOnly="0" labelOnly="1" outline="0" fieldPosition="0">
        <references count="2">
          <reference field="4294967294" count="8">
            <x v="0"/>
            <x v="1"/>
            <x v="2"/>
            <x v="3"/>
            <x v="4"/>
            <x v="5"/>
            <x v="6"/>
            <x v="7"/>
          </reference>
          <reference field="0" count="1" selected="0">
            <x v="9"/>
          </reference>
        </references>
      </pivotArea>
    </format>
    <format dxfId="944">
      <pivotArea dataOnly="0" labelOnly="1" outline="0" fieldPosition="0">
        <references count="2">
          <reference field="4294967294" count="8">
            <x v="0"/>
            <x v="1"/>
            <x v="2"/>
            <x v="3"/>
            <x v="4"/>
            <x v="5"/>
            <x v="6"/>
            <x v="7"/>
          </reference>
          <reference field="0" count="1" selected="0">
            <x v="10"/>
          </reference>
        </references>
      </pivotArea>
    </format>
    <format dxfId="943">
      <pivotArea dataOnly="0" labelOnly="1" outline="0" fieldPosition="0">
        <references count="2">
          <reference field="4294967294" count="8">
            <x v="0"/>
            <x v="1"/>
            <x v="2"/>
            <x v="3"/>
            <x v="4"/>
            <x v="5"/>
            <x v="6"/>
            <x v="7"/>
          </reference>
          <reference field="0" count="1" selected="0">
            <x v="11"/>
          </reference>
        </references>
      </pivotArea>
    </format>
    <format dxfId="942">
      <pivotArea dataOnly="0" labelOnly="1" outline="0" fieldPosition="0">
        <references count="2">
          <reference field="4294967294" count="8">
            <x v="0"/>
            <x v="1"/>
            <x v="2"/>
            <x v="3"/>
            <x v="4"/>
            <x v="5"/>
            <x v="6"/>
            <x v="7"/>
          </reference>
          <reference field="0" count="1" selected="0">
            <x v="12"/>
          </reference>
        </references>
      </pivotArea>
    </format>
    <format dxfId="941">
      <pivotArea dataOnly="0" labelOnly="1" outline="0" fieldPosition="0">
        <references count="2">
          <reference field="4294967294" count="8">
            <x v="0"/>
            <x v="1"/>
            <x v="2"/>
            <x v="3"/>
            <x v="4"/>
            <x v="5"/>
            <x v="6"/>
            <x v="7"/>
          </reference>
          <reference field="0" count="1" selected="0">
            <x v="13"/>
          </reference>
        </references>
      </pivotArea>
    </format>
    <format dxfId="940">
      <pivotArea dataOnly="0" labelOnly="1" outline="0" fieldPosition="0">
        <references count="2">
          <reference field="4294967294" count="8">
            <x v="0"/>
            <x v="1"/>
            <x v="2"/>
            <x v="3"/>
            <x v="4"/>
            <x v="5"/>
            <x v="6"/>
            <x v="7"/>
          </reference>
          <reference field="0" count="1" selected="0">
            <x v="14"/>
          </reference>
        </references>
      </pivotArea>
    </format>
    <format dxfId="939">
      <pivotArea dataOnly="0" labelOnly="1" outline="0" fieldPosition="0">
        <references count="2">
          <reference field="4294967294" count="8">
            <x v="0"/>
            <x v="1"/>
            <x v="2"/>
            <x v="3"/>
            <x v="4"/>
            <x v="5"/>
            <x v="6"/>
            <x v="7"/>
          </reference>
          <reference field="0" count="1" selected="0">
            <x v="16"/>
          </reference>
        </references>
      </pivotArea>
    </format>
    <format dxfId="938">
      <pivotArea type="all" dataOnly="0" outline="0" fieldPosition="0"/>
    </format>
    <format dxfId="937">
      <pivotArea type="all" dataOnly="0" outline="0" fieldPosition="0"/>
    </format>
    <format dxfId="936">
      <pivotArea outline="0" fieldPosition="0"/>
    </format>
    <format dxfId="935">
      <pivotArea dataOnly="0" labelOnly="1" outline="0" fieldPosition="0">
        <references count="1">
          <reference field="0" count="0"/>
        </references>
      </pivotArea>
    </format>
    <format dxfId="934">
      <pivotArea dataOnly="0" labelOnly="1" outline="0" fieldPosition="0">
        <references count="2">
          <reference field="4294967294" count="8">
            <x v="0"/>
            <x v="1"/>
            <x v="2"/>
            <x v="3"/>
            <x v="4"/>
            <x v="5"/>
            <x v="6"/>
            <x v="7"/>
          </reference>
          <reference field="0" count="1" selected="0">
            <x v="0"/>
          </reference>
        </references>
      </pivotArea>
    </format>
    <format dxfId="933">
      <pivotArea dataOnly="0" labelOnly="1" outline="0" fieldPosition="0">
        <references count="2">
          <reference field="4294967294" count="8">
            <x v="0"/>
            <x v="1"/>
            <x v="2"/>
            <x v="3"/>
            <x v="4"/>
            <x v="5"/>
            <x v="6"/>
            <x v="7"/>
          </reference>
          <reference field="0" count="1" selected="0">
            <x v="1"/>
          </reference>
        </references>
      </pivotArea>
    </format>
    <format dxfId="932">
      <pivotArea dataOnly="0" labelOnly="1" outline="0" fieldPosition="0">
        <references count="2">
          <reference field="4294967294" count="8">
            <x v="0"/>
            <x v="1"/>
            <x v="2"/>
            <x v="3"/>
            <x v="4"/>
            <x v="5"/>
            <x v="6"/>
            <x v="7"/>
          </reference>
          <reference field="0" count="1" selected="0">
            <x v="2"/>
          </reference>
        </references>
      </pivotArea>
    </format>
    <format dxfId="931">
      <pivotArea dataOnly="0" labelOnly="1" outline="0" fieldPosition="0">
        <references count="2">
          <reference field="4294967294" count="8">
            <x v="0"/>
            <x v="1"/>
            <x v="2"/>
            <x v="3"/>
            <x v="4"/>
            <x v="5"/>
            <x v="6"/>
            <x v="7"/>
          </reference>
          <reference field="0" count="1" selected="0">
            <x v="3"/>
          </reference>
        </references>
      </pivotArea>
    </format>
    <format dxfId="930">
      <pivotArea dataOnly="0" labelOnly="1" outline="0" fieldPosition="0">
        <references count="2">
          <reference field="4294967294" count="8">
            <x v="0"/>
            <x v="1"/>
            <x v="2"/>
            <x v="3"/>
            <x v="4"/>
            <x v="5"/>
            <x v="6"/>
            <x v="7"/>
          </reference>
          <reference field="0" count="1" selected="0">
            <x v="4"/>
          </reference>
        </references>
      </pivotArea>
    </format>
    <format dxfId="929">
      <pivotArea dataOnly="0" labelOnly="1" outline="0" fieldPosition="0">
        <references count="2">
          <reference field="4294967294" count="8">
            <x v="0"/>
            <x v="1"/>
            <x v="2"/>
            <x v="3"/>
            <x v="4"/>
            <x v="5"/>
            <x v="6"/>
            <x v="7"/>
          </reference>
          <reference field="0" count="1" selected="0">
            <x v="6"/>
          </reference>
        </references>
      </pivotArea>
    </format>
    <format dxfId="928">
      <pivotArea dataOnly="0" labelOnly="1" outline="0" fieldPosition="0">
        <references count="2">
          <reference field="4294967294" count="8">
            <x v="0"/>
            <x v="1"/>
            <x v="2"/>
            <x v="3"/>
            <x v="4"/>
            <x v="5"/>
            <x v="6"/>
            <x v="7"/>
          </reference>
          <reference field="0" count="1" selected="0">
            <x v="7"/>
          </reference>
        </references>
      </pivotArea>
    </format>
    <format dxfId="927">
      <pivotArea dataOnly="0" labelOnly="1" outline="0" fieldPosition="0">
        <references count="2">
          <reference field="4294967294" count="8">
            <x v="0"/>
            <x v="1"/>
            <x v="2"/>
            <x v="3"/>
            <x v="4"/>
            <x v="5"/>
            <x v="6"/>
            <x v="7"/>
          </reference>
          <reference field="0" count="1" selected="0">
            <x v="8"/>
          </reference>
        </references>
      </pivotArea>
    </format>
    <format dxfId="926">
      <pivotArea dataOnly="0" labelOnly="1" outline="0" fieldPosition="0">
        <references count="2">
          <reference field="4294967294" count="8">
            <x v="0"/>
            <x v="1"/>
            <x v="2"/>
            <x v="3"/>
            <x v="4"/>
            <x v="5"/>
            <x v="6"/>
            <x v="7"/>
          </reference>
          <reference field="0" count="1" selected="0">
            <x v="9"/>
          </reference>
        </references>
      </pivotArea>
    </format>
    <format dxfId="925">
      <pivotArea dataOnly="0" labelOnly="1" outline="0" fieldPosition="0">
        <references count="2">
          <reference field="4294967294" count="8">
            <x v="0"/>
            <x v="1"/>
            <x v="2"/>
            <x v="3"/>
            <x v="4"/>
            <x v="5"/>
            <x v="6"/>
            <x v="7"/>
          </reference>
          <reference field="0" count="1" selected="0">
            <x v="10"/>
          </reference>
        </references>
      </pivotArea>
    </format>
    <format dxfId="924">
      <pivotArea dataOnly="0" labelOnly="1" outline="0" fieldPosition="0">
        <references count="2">
          <reference field="4294967294" count="8">
            <x v="0"/>
            <x v="1"/>
            <x v="2"/>
            <x v="3"/>
            <x v="4"/>
            <x v="5"/>
            <x v="6"/>
            <x v="7"/>
          </reference>
          <reference field="0" count="1" selected="0">
            <x v="11"/>
          </reference>
        </references>
      </pivotArea>
    </format>
    <format dxfId="923">
      <pivotArea dataOnly="0" labelOnly="1" outline="0" fieldPosition="0">
        <references count="2">
          <reference field="4294967294" count="8">
            <x v="0"/>
            <x v="1"/>
            <x v="2"/>
            <x v="3"/>
            <x v="4"/>
            <x v="5"/>
            <x v="6"/>
            <x v="7"/>
          </reference>
          <reference field="0" count="1" selected="0">
            <x v="12"/>
          </reference>
        </references>
      </pivotArea>
    </format>
    <format dxfId="922">
      <pivotArea dataOnly="0" labelOnly="1" outline="0" fieldPosition="0">
        <references count="2">
          <reference field="4294967294" count="8">
            <x v="0"/>
            <x v="1"/>
            <x v="2"/>
            <x v="3"/>
            <x v="4"/>
            <x v="5"/>
            <x v="6"/>
            <x v="7"/>
          </reference>
          <reference field="0" count="1" selected="0">
            <x v="13"/>
          </reference>
        </references>
      </pivotArea>
    </format>
    <format dxfId="921">
      <pivotArea dataOnly="0" labelOnly="1" outline="0" fieldPosition="0">
        <references count="2">
          <reference field="4294967294" count="8">
            <x v="0"/>
            <x v="1"/>
            <x v="2"/>
            <x v="3"/>
            <x v="4"/>
            <x v="5"/>
            <x v="6"/>
            <x v="7"/>
          </reference>
          <reference field="0" count="1" selected="0">
            <x v="14"/>
          </reference>
        </references>
      </pivotArea>
    </format>
    <format dxfId="920">
      <pivotArea dataOnly="0" labelOnly="1" outline="0" fieldPosition="0">
        <references count="2">
          <reference field="4294967294" count="8">
            <x v="0"/>
            <x v="1"/>
            <x v="2"/>
            <x v="3"/>
            <x v="4"/>
            <x v="5"/>
            <x v="6"/>
            <x v="7"/>
          </reference>
          <reference field="0" count="1" selected="0">
            <x v="15"/>
          </reference>
        </references>
      </pivotArea>
    </format>
    <format dxfId="919">
      <pivotArea dataOnly="0" labelOnly="1" outline="0" fieldPosition="0">
        <references count="2">
          <reference field="4294967294" count="8">
            <x v="0"/>
            <x v="1"/>
            <x v="2"/>
            <x v="3"/>
            <x v="4"/>
            <x v="5"/>
            <x v="6"/>
            <x v="7"/>
          </reference>
          <reference field="0" count="1" selected="0">
            <x v="16"/>
          </reference>
        </references>
      </pivotArea>
    </format>
    <format dxfId="918">
      <pivotArea outline="0" fieldPosition="0"/>
    </format>
    <format dxfId="917">
      <pivotArea dataOnly="0" labelOnly="1" outline="0" fieldPosition="0">
        <references count="1">
          <reference field="0" count="0"/>
        </references>
      </pivotArea>
    </format>
    <format dxfId="916">
      <pivotArea dataOnly="0" labelOnly="1" outline="0" fieldPosition="0">
        <references count="2">
          <reference field="4294967294" count="8">
            <x v="0"/>
            <x v="1"/>
            <x v="2"/>
            <x v="3"/>
            <x v="4"/>
            <x v="5"/>
            <x v="6"/>
            <x v="7"/>
          </reference>
          <reference field="0" count="1" selected="0">
            <x v="0"/>
          </reference>
        </references>
      </pivotArea>
    </format>
    <format dxfId="915">
      <pivotArea dataOnly="0" labelOnly="1" outline="0" fieldPosition="0">
        <references count="2">
          <reference field="4294967294" count="8">
            <x v="0"/>
            <x v="1"/>
            <x v="2"/>
            <x v="3"/>
            <x v="4"/>
            <x v="5"/>
            <x v="6"/>
            <x v="7"/>
          </reference>
          <reference field="0" count="1" selected="0">
            <x v="1"/>
          </reference>
        </references>
      </pivotArea>
    </format>
    <format dxfId="914">
      <pivotArea dataOnly="0" labelOnly="1" outline="0" fieldPosition="0">
        <references count="2">
          <reference field="4294967294" count="8">
            <x v="0"/>
            <x v="1"/>
            <x v="2"/>
            <x v="3"/>
            <x v="4"/>
            <x v="5"/>
            <x v="6"/>
            <x v="7"/>
          </reference>
          <reference field="0" count="1" selected="0">
            <x v="2"/>
          </reference>
        </references>
      </pivotArea>
    </format>
    <format dxfId="913">
      <pivotArea dataOnly="0" labelOnly="1" outline="0" fieldPosition="0">
        <references count="2">
          <reference field="4294967294" count="8">
            <x v="0"/>
            <x v="1"/>
            <x v="2"/>
            <x v="3"/>
            <x v="4"/>
            <x v="5"/>
            <x v="6"/>
            <x v="7"/>
          </reference>
          <reference field="0" count="1" selected="0">
            <x v="3"/>
          </reference>
        </references>
      </pivotArea>
    </format>
    <format dxfId="912">
      <pivotArea dataOnly="0" labelOnly="1" outline="0" fieldPosition="0">
        <references count="2">
          <reference field="4294967294" count="8">
            <x v="0"/>
            <x v="1"/>
            <x v="2"/>
            <x v="3"/>
            <x v="4"/>
            <x v="5"/>
            <x v="6"/>
            <x v="7"/>
          </reference>
          <reference field="0" count="1" selected="0">
            <x v="4"/>
          </reference>
        </references>
      </pivotArea>
    </format>
    <format dxfId="911">
      <pivotArea dataOnly="0" labelOnly="1" outline="0" fieldPosition="0">
        <references count="2">
          <reference field="4294967294" count="8">
            <x v="0"/>
            <x v="1"/>
            <x v="2"/>
            <x v="3"/>
            <x v="4"/>
            <x v="5"/>
            <x v="6"/>
            <x v="7"/>
          </reference>
          <reference field="0" count="1" selected="0">
            <x v="6"/>
          </reference>
        </references>
      </pivotArea>
    </format>
    <format dxfId="910">
      <pivotArea dataOnly="0" labelOnly="1" outline="0" fieldPosition="0">
        <references count="2">
          <reference field="4294967294" count="8">
            <x v="0"/>
            <x v="1"/>
            <x v="2"/>
            <x v="3"/>
            <x v="4"/>
            <x v="5"/>
            <x v="6"/>
            <x v="7"/>
          </reference>
          <reference field="0" count="1" selected="0">
            <x v="7"/>
          </reference>
        </references>
      </pivotArea>
    </format>
    <format dxfId="909">
      <pivotArea dataOnly="0" labelOnly="1" outline="0" fieldPosition="0">
        <references count="2">
          <reference field="4294967294" count="8">
            <x v="0"/>
            <x v="1"/>
            <x v="2"/>
            <x v="3"/>
            <x v="4"/>
            <x v="5"/>
            <x v="6"/>
            <x v="7"/>
          </reference>
          <reference field="0" count="1" selected="0">
            <x v="8"/>
          </reference>
        </references>
      </pivotArea>
    </format>
    <format dxfId="908">
      <pivotArea dataOnly="0" labelOnly="1" outline="0" fieldPosition="0">
        <references count="2">
          <reference field="4294967294" count="8">
            <x v="0"/>
            <x v="1"/>
            <x v="2"/>
            <x v="3"/>
            <x v="4"/>
            <x v="5"/>
            <x v="6"/>
            <x v="7"/>
          </reference>
          <reference field="0" count="1" selected="0">
            <x v="9"/>
          </reference>
        </references>
      </pivotArea>
    </format>
    <format dxfId="907">
      <pivotArea dataOnly="0" labelOnly="1" outline="0" fieldPosition="0">
        <references count="2">
          <reference field="4294967294" count="8">
            <x v="0"/>
            <x v="1"/>
            <x v="2"/>
            <x v="3"/>
            <x v="4"/>
            <x v="5"/>
            <x v="6"/>
            <x v="7"/>
          </reference>
          <reference field="0" count="1" selected="0">
            <x v="10"/>
          </reference>
        </references>
      </pivotArea>
    </format>
    <format dxfId="906">
      <pivotArea dataOnly="0" labelOnly="1" outline="0" fieldPosition="0">
        <references count="2">
          <reference field="4294967294" count="8">
            <x v="0"/>
            <x v="1"/>
            <x v="2"/>
            <x v="3"/>
            <x v="4"/>
            <x v="5"/>
            <x v="6"/>
            <x v="7"/>
          </reference>
          <reference field="0" count="1" selected="0">
            <x v="11"/>
          </reference>
        </references>
      </pivotArea>
    </format>
    <format dxfId="905">
      <pivotArea dataOnly="0" labelOnly="1" outline="0" fieldPosition="0">
        <references count="2">
          <reference field="4294967294" count="8">
            <x v="0"/>
            <x v="1"/>
            <x v="2"/>
            <x v="3"/>
            <x v="4"/>
            <x v="5"/>
            <x v="6"/>
            <x v="7"/>
          </reference>
          <reference field="0" count="1" selected="0">
            <x v="12"/>
          </reference>
        </references>
      </pivotArea>
    </format>
    <format dxfId="904">
      <pivotArea dataOnly="0" labelOnly="1" outline="0" fieldPosition="0">
        <references count="2">
          <reference field="4294967294" count="8">
            <x v="0"/>
            <x v="1"/>
            <x v="2"/>
            <x v="3"/>
            <x v="4"/>
            <x v="5"/>
            <x v="6"/>
            <x v="7"/>
          </reference>
          <reference field="0" count="1" selected="0">
            <x v="13"/>
          </reference>
        </references>
      </pivotArea>
    </format>
    <format dxfId="903">
      <pivotArea dataOnly="0" labelOnly="1" outline="0" fieldPosition="0">
        <references count="2">
          <reference field="4294967294" count="8">
            <x v="0"/>
            <x v="1"/>
            <x v="2"/>
            <x v="3"/>
            <x v="4"/>
            <x v="5"/>
            <x v="6"/>
            <x v="7"/>
          </reference>
          <reference field="0" count="1" selected="0">
            <x v="14"/>
          </reference>
        </references>
      </pivotArea>
    </format>
    <format dxfId="902">
      <pivotArea dataOnly="0" labelOnly="1" outline="0" fieldPosition="0">
        <references count="2">
          <reference field="4294967294" count="8">
            <x v="0"/>
            <x v="1"/>
            <x v="2"/>
            <x v="3"/>
            <x v="4"/>
            <x v="5"/>
            <x v="6"/>
            <x v="7"/>
          </reference>
          <reference field="0" count="1" selected="0">
            <x v="15"/>
          </reference>
        </references>
      </pivotArea>
    </format>
    <format dxfId="901">
      <pivotArea dataOnly="0" labelOnly="1" outline="0" fieldPosition="0">
        <references count="2">
          <reference field="4294967294" count="8">
            <x v="0"/>
            <x v="1"/>
            <x v="2"/>
            <x v="3"/>
            <x v="4"/>
            <x v="5"/>
            <x v="6"/>
            <x v="7"/>
          </reference>
          <reference field="0" count="1" selected="0">
            <x v="16"/>
          </reference>
        </references>
      </pivotArea>
    </format>
    <format dxfId="900">
      <pivotArea field="0" type="button" dataOnly="0" labelOnly="1" outline="0" axis="axisRow" fieldPosition="0"/>
    </format>
    <format dxfId="899">
      <pivotArea field="-2" type="button" dataOnly="0" labelOnly="1" outline="0" axis="axisRow" fieldPosition="1"/>
    </format>
    <format dxfId="898">
      <pivotArea outline="0" fieldPosition="0">
        <references count="2">
          <reference field="4294967294" count="1" selected="0">
            <x v="7"/>
          </reference>
          <reference field="0" count="1" selected="0">
            <x v="0"/>
          </reference>
        </references>
      </pivotArea>
    </format>
    <format dxfId="897">
      <pivotArea dataOnly="0" labelOnly="1" outline="0" offset="IV256" fieldPosition="0">
        <references count="1">
          <reference field="0" count="1">
            <x v="0"/>
          </reference>
        </references>
      </pivotArea>
    </format>
    <format dxfId="896">
      <pivotArea dataOnly="0" labelOnly="1" outline="0" fieldPosition="0">
        <references count="2">
          <reference field="4294967294" count="1">
            <x v="7"/>
          </reference>
          <reference field="0" count="1" selected="0">
            <x v="0"/>
          </reference>
        </references>
      </pivotArea>
    </format>
    <format dxfId="895">
      <pivotArea outline="0" fieldPosition="0">
        <references count="2">
          <reference field="4294967294" count="1" selected="0">
            <x v="1"/>
          </reference>
          <reference field="0" count="1" selected="0">
            <x v="0"/>
          </reference>
        </references>
      </pivotArea>
    </format>
    <format dxfId="894">
      <pivotArea dataOnly="0" labelOnly="1" outline="0" fieldPosition="0">
        <references count="2">
          <reference field="4294967294" count="1">
            <x v="1"/>
          </reference>
          <reference field="0" count="1" selected="0">
            <x v="0"/>
          </reference>
        </references>
      </pivotArea>
    </format>
    <format dxfId="893">
      <pivotArea outline="0" fieldPosition="0">
        <references count="2">
          <reference field="4294967294" count="1" selected="0">
            <x v="3"/>
          </reference>
          <reference field="0" count="1" selected="0">
            <x v="0"/>
          </reference>
        </references>
      </pivotArea>
    </format>
    <format dxfId="892">
      <pivotArea dataOnly="0" labelOnly="1" outline="0" fieldPosition="0">
        <references count="2">
          <reference field="4294967294" count="1">
            <x v="3"/>
          </reference>
          <reference field="0" count="1" selected="0">
            <x v="0"/>
          </reference>
        </references>
      </pivotArea>
    </format>
    <format dxfId="891">
      <pivotArea outline="0" fieldPosition="0">
        <references count="2">
          <reference field="4294967294" count="1" selected="0">
            <x v="5"/>
          </reference>
          <reference field="0" count="1" selected="0">
            <x v="0"/>
          </reference>
        </references>
      </pivotArea>
    </format>
    <format dxfId="890">
      <pivotArea dataOnly="0" labelOnly="1" outline="0" fieldPosition="0">
        <references count="2">
          <reference field="4294967294" count="1">
            <x v="5"/>
          </reference>
          <reference field="0" count="1" selected="0">
            <x v="0"/>
          </reference>
        </references>
      </pivotArea>
    </format>
    <format dxfId="889">
      <pivotArea type="topRight" dataOnly="0" labelOnly="1" outline="0" offset="F1" fieldPosition="0"/>
    </format>
    <format dxfId="888">
      <pivotArea outline="0" fieldPosition="0">
        <references count="2">
          <reference field="4" count="1" selected="0">
            <x v="13"/>
          </reference>
          <reference field="70" count="1" selected="0">
            <x v="3"/>
          </reference>
        </references>
      </pivotArea>
    </format>
    <format dxfId="887">
      <pivotArea type="topRight" dataOnly="0" labelOnly="1" outline="0" offset="K1" fieldPosition="0"/>
    </format>
    <format dxfId="886">
      <pivotArea dataOnly="0" labelOnly="1" outline="0" offset="IV256" fieldPosition="0">
        <references count="1">
          <reference field="70" count="1">
            <x v="3"/>
          </reference>
        </references>
      </pivotArea>
    </format>
    <format dxfId="885">
      <pivotArea dataOnly="0" labelOnly="1" outline="0" fieldPosition="0">
        <references count="2">
          <reference field="4" count="1">
            <x v="13"/>
          </reference>
          <reference field="70" count="1" selected="0">
            <x v="3"/>
          </reference>
        </references>
      </pivotArea>
    </format>
    <format dxfId="884">
      <pivotArea outline="0" fieldPosition="0">
        <references count="2">
          <reference field="4" count="1" selected="0">
            <x v="15"/>
          </reference>
          <reference field="70" count="1" selected="0">
            <x v="4"/>
          </reference>
        </references>
      </pivotArea>
    </format>
    <format dxfId="883">
      <pivotArea type="topRight" dataOnly="0" labelOnly="1" outline="0" offset="N1" fieldPosition="0"/>
    </format>
    <format dxfId="882">
      <pivotArea dataOnly="0" labelOnly="1" outline="0" offset="IV256" fieldPosition="0">
        <references count="1">
          <reference field="70" count="1">
            <x v="4"/>
          </reference>
        </references>
      </pivotArea>
    </format>
    <format dxfId="881">
      <pivotArea dataOnly="0" labelOnly="1" outline="0" fieldPosition="0">
        <references count="2">
          <reference field="4" count="1">
            <x v="15"/>
          </reference>
          <reference field="70" count="1" selected="0">
            <x v="4"/>
          </reference>
        </references>
      </pivotArea>
    </format>
    <format dxfId="880">
      <pivotArea outline="0" fieldPosition="0">
        <references count="4">
          <reference field="4294967294" count="1" selected="0">
            <x v="2"/>
          </reference>
          <reference field="0" count="1" selected="0">
            <x v="12"/>
          </reference>
          <reference field="4" count="1" selected="0">
            <x v="2"/>
          </reference>
          <reference field="70" count="1" selected="0">
            <x v="0"/>
          </reference>
        </references>
      </pivotArea>
    </format>
  </formats>
  <pivotTableStyleInfo showRowHeaders="1" showColHeaders="1" showRowStripes="0" showColStripes="0" showLastColumn="1"/>
</pivotTableDefinition>
</file>

<file path=xl/queryTables/queryTable1.xml><?xml version="1.0" encoding="utf-8"?>
<queryTable xmlns="http://schemas.openxmlformats.org/spreadsheetml/2006/main" name="Type13gr5_1" connectionId="16"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Type14gr1" connectionId="22"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Type13ug4" connectionId="20" autoFormatId="16" applyNumberFormats="0" applyBorderFormats="0" applyFontFormats="0" applyPatternFormats="0" applyAlignmentFormats="0" applyWidthHeightFormats="0"/>
</file>

<file path=xl/queryTables/queryTable4.xml><?xml version="1.0" encoding="utf-8"?>
<queryTable xmlns="http://schemas.openxmlformats.org/spreadsheetml/2006/main" name="Type13gr3" connectionId="14" autoFormatId="16" applyNumberFormats="0" applyBorderFormats="0" applyFontFormats="0" applyPatternFormats="0" applyAlignmentFormats="0" applyWidthHeightFormats="0"/>
</file>

<file path=xl/queryTables/queryTable5.xml><?xml version="1.0" encoding="utf-8"?>
<queryTable xmlns="http://schemas.openxmlformats.org/spreadsheetml/2006/main" name="Type13ug2" connectionId="18" autoFormatId="16" applyNumberFormats="0" applyBorderFormats="0" applyFontFormats="0" applyPatternFormats="0" applyAlignmentFormats="0" applyWidthHeightFormats="0"/>
</file>

<file path=xl/queryTables/queryTable6.xml><?xml version="1.0" encoding="utf-8"?>
<queryTable xmlns="http://schemas.openxmlformats.org/spreadsheetml/2006/main" name="Type13gr2" connectionId="13" autoFormatId="16" applyNumberFormats="0" applyBorderFormats="0" applyFontFormats="0" applyPatternFormats="0" applyAlignmentFormats="0" applyWidthHeightFormats="0"/>
</file>

<file path=xl/queryTables/queryTable7.xml><?xml version="1.0" encoding="utf-8"?>
<queryTable xmlns="http://schemas.openxmlformats.org/spreadsheetml/2006/main" name="Type13gr4" connectionId="15" autoFormatId="16" applyNumberFormats="0" applyBorderFormats="0" applyFontFormats="0" applyPatternFormats="0" applyAlignmentFormats="0" applyWidthHeightFormats="0"/>
</file>

<file path=xl/queryTables/queryTable8.xml><?xml version="1.0" encoding="utf-8"?>
<queryTable xmlns="http://schemas.openxmlformats.org/spreadsheetml/2006/main" name="Type13ug3" connectionId="19" autoFormatId="16" applyNumberFormats="0" applyBorderFormats="0" applyFontFormats="0" applyPatternFormats="0" applyAlignmentFormats="0" applyWidthHeightFormats="0"/>
</file>

<file path=xl/queryTables/queryTable9.xml><?xml version="1.0" encoding="utf-8"?>
<queryTable xmlns="http://schemas.openxmlformats.org/spreadsheetml/2006/main" name="Type13ug1" connectionId="17" autoFormatId="16" applyNumberFormats="0" applyBorderFormats="0" applyFontFormats="0" applyPatternFormats="0" applyAlignmentFormats="0" applyWidthHeightFormats="0"/>
</file>

<file path=xl/queryTables/queryTable10.xml><?xml version="1.0" encoding="utf-8"?>
<queryTable xmlns="http://schemas.openxmlformats.org/spreadsheetml/2006/main" name="Type13gr1" connectionId="12" autoFormatId="16" applyNumberFormats="0" applyBorderFormats="0" applyFontFormats="0" applyPatternFormats="0" applyAlignmentFormats="0" applyWidthHeightFormats="0"/>
</file>

<file path=xl/queryTables/queryTable11.xml><?xml version="1.0" encoding="utf-8"?>
<queryTable xmlns="http://schemas.openxmlformats.org/spreadsheetml/2006/main" name="Type13ug5" connectionId="2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6.xml"/><Relationship Id="rId13" Type="http://schemas.openxmlformats.org/officeDocument/2006/relationships/queryTable" Target="../queryTables/queryTable11.xml"/><Relationship Id="rId3" Type="http://schemas.openxmlformats.org/officeDocument/2006/relationships/queryTable" Target="../queryTables/queryTable1.xml"/><Relationship Id="rId7" Type="http://schemas.openxmlformats.org/officeDocument/2006/relationships/queryTable" Target="../queryTables/queryTable5.xml"/><Relationship Id="rId12" Type="http://schemas.openxmlformats.org/officeDocument/2006/relationships/queryTable" Target="../queryTables/queryTable10.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6" Type="http://schemas.openxmlformats.org/officeDocument/2006/relationships/queryTable" Target="../queryTables/queryTable4.xml"/><Relationship Id="rId11" Type="http://schemas.openxmlformats.org/officeDocument/2006/relationships/queryTable" Target="../queryTables/queryTable9.xml"/><Relationship Id="rId5" Type="http://schemas.openxmlformats.org/officeDocument/2006/relationships/queryTable" Target="../queryTables/queryTable3.xml"/><Relationship Id="rId10" Type="http://schemas.openxmlformats.org/officeDocument/2006/relationships/queryTable" Target="../queryTables/queryTable8.xml"/><Relationship Id="rId4" Type="http://schemas.openxmlformats.org/officeDocument/2006/relationships/queryTable" Target="../queryTables/queryTable2.xml"/><Relationship Id="rId9" Type="http://schemas.openxmlformats.org/officeDocument/2006/relationships/queryTable" Target="../queryTables/queryTable7.xml"/><Relationship Id="rId1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N116"/>
  <sheetViews>
    <sheetView showZeros="0" tabSelected="1" view="pageBreakPreview" zoomScaleNormal="100" zoomScaleSheetLayoutView="100" workbookViewId="0"/>
  </sheetViews>
  <sheetFormatPr defaultRowHeight="15"/>
  <cols>
    <col min="1" max="1" width="12.7109375" style="148" customWidth="1"/>
    <col min="2" max="12" width="7.140625" style="148" customWidth="1"/>
    <col min="13" max="13" width="7.140625" style="156" customWidth="1"/>
    <col min="14" max="16" width="7.140625" style="148" customWidth="1"/>
    <col min="17" max="23" width="9.140625" style="148"/>
    <col min="24" max="24" width="13.28515625" style="148" customWidth="1"/>
    <col min="25" max="16384" width="9.140625" style="148"/>
  </cols>
  <sheetData>
    <row r="1" spans="1:33" ht="18">
      <c r="A1" s="16" t="s">
        <v>138</v>
      </c>
      <c r="B1" s="34"/>
      <c r="C1" s="34"/>
      <c r="D1" s="34"/>
      <c r="E1" s="34"/>
      <c r="F1" s="34"/>
      <c r="G1" s="146"/>
      <c r="H1" s="146"/>
      <c r="I1" s="146"/>
      <c r="J1" s="146"/>
      <c r="K1" s="146"/>
      <c r="L1" s="146"/>
      <c r="M1" s="322"/>
      <c r="N1" s="146"/>
      <c r="O1" s="19"/>
      <c r="P1" s="19"/>
    </row>
    <row r="2" spans="1:33" s="28" customFormat="1" ht="12.75">
      <c r="A2" s="18"/>
      <c r="B2" s="19"/>
      <c r="C2" s="19"/>
      <c r="D2" s="19"/>
      <c r="E2" s="19"/>
      <c r="F2" s="19"/>
      <c r="G2" s="19"/>
      <c r="H2" s="19"/>
      <c r="I2" s="19"/>
      <c r="J2" s="19"/>
      <c r="K2" s="19"/>
      <c r="L2" s="19"/>
      <c r="M2" s="36"/>
      <c r="N2" s="19"/>
      <c r="O2" s="19"/>
      <c r="P2" s="19"/>
    </row>
    <row r="3" spans="1:33" ht="15.75">
      <c r="A3" s="37" t="s">
        <v>916</v>
      </c>
      <c r="B3" s="19"/>
      <c r="C3" s="19"/>
      <c r="D3" s="19"/>
      <c r="E3" s="19"/>
      <c r="F3" s="19"/>
      <c r="G3" s="146"/>
      <c r="H3" s="146"/>
      <c r="I3" s="146"/>
      <c r="J3" s="146"/>
      <c r="K3" s="146"/>
      <c r="L3" s="146"/>
      <c r="M3" s="322"/>
      <c r="N3" s="146"/>
      <c r="O3" s="146"/>
      <c r="P3" s="146"/>
    </row>
    <row r="4" spans="1:33">
      <c r="A4" s="323"/>
      <c r="B4" s="147"/>
      <c r="C4" s="147"/>
      <c r="D4" s="147"/>
      <c r="E4" s="147"/>
      <c r="F4" s="147"/>
      <c r="G4" s="147"/>
      <c r="H4" s="147"/>
      <c r="I4" s="147"/>
      <c r="J4" s="147"/>
      <c r="K4" s="147"/>
      <c r="L4" s="147"/>
    </row>
    <row r="5" spans="1:33" s="31" customFormat="1">
      <c r="A5" s="324"/>
      <c r="B5" s="668" t="s">
        <v>55</v>
      </c>
      <c r="C5" s="668"/>
      <c r="D5" s="668"/>
      <c r="E5" s="668"/>
      <c r="F5" s="668"/>
      <c r="G5" s="668"/>
      <c r="H5" s="669"/>
      <c r="I5" s="670" t="s">
        <v>56</v>
      </c>
      <c r="J5" s="668"/>
      <c r="K5" s="668"/>
      <c r="L5" s="668"/>
      <c r="M5" s="668"/>
      <c r="N5" s="53" t="s">
        <v>57</v>
      </c>
      <c r="O5" s="44"/>
      <c r="P5" s="44"/>
      <c r="R5" s="148"/>
      <c r="S5" s="148"/>
      <c r="T5" s="148"/>
      <c r="U5" s="148"/>
      <c r="V5" s="148"/>
      <c r="W5" s="148"/>
      <c r="X5" s="148"/>
      <c r="Y5" s="148"/>
      <c r="Z5" s="148"/>
      <c r="AA5" s="148"/>
      <c r="AB5" s="148"/>
      <c r="AC5" s="148"/>
      <c r="AD5" s="148"/>
      <c r="AE5" s="148"/>
      <c r="AF5" s="148"/>
      <c r="AG5" s="148"/>
    </row>
    <row r="6" spans="1:33" s="32" customFormat="1" ht="24.75">
      <c r="A6" s="325"/>
      <c r="B6" s="317">
        <v>1</v>
      </c>
      <c r="C6" s="317">
        <v>2</v>
      </c>
      <c r="D6" s="317">
        <v>3</v>
      </c>
      <c r="E6" s="317">
        <v>4</v>
      </c>
      <c r="F6" s="317">
        <v>5</v>
      </c>
      <c r="G6" s="317">
        <v>6</v>
      </c>
      <c r="H6" s="174" t="s">
        <v>242</v>
      </c>
      <c r="I6" s="326" t="s">
        <v>140</v>
      </c>
      <c r="J6" s="317">
        <v>1</v>
      </c>
      <c r="K6" s="317">
        <v>2</v>
      </c>
      <c r="L6" s="317">
        <v>3</v>
      </c>
      <c r="M6" s="316" t="s">
        <v>139</v>
      </c>
      <c r="N6" s="316">
        <v>1</v>
      </c>
      <c r="O6" s="317">
        <v>2</v>
      </c>
      <c r="P6" s="316" t="s">
        <v>139</v>
      </c>
      <c r="R6" s="148"/>
      <c r="S6" s="148"/>
      <c r="T6" s="148"/>
      <c r="U6" s="148"/>
      <c r="V6" s="148"/>
      <c r="W6" s="148"/>
      <c r="X6" s="148"/>
      <c r="Y6" s="148"/>
      <c r="Z6" s="148"/>
      <c r="AA6" s="148"/>
      <c r="AB6" s="148"/>
      <c r="AC6" s="148"/>
      <c r="AD6" s="148"/>
      <c r="AE6" s="148"/>
      <c r="AF6" s="148"/>
      <c r="AG6" s="148"/>
    </row>
    <row r="7" spans="1:33">
      <c r="A7" s="28" t="s">
        <v>141</v>
      </c>
      <c r="B7" s="122">
        <f>+'NEW...Tables 91-112'!B41+'NEW...Tables 91-112'!C41</f>
        <v>93.581846617599098</v>
      </c>
      <c r="C7" s="122">
        <f>+'NEW...Tables 91-112'!B72+'NEW...Tables 91-112'!C72</f>
        <v>85.956728981276456</v>
      </c>
      <c r="D7" s="122">
        <f>+'NEW...Tables 91-112'!B102+'NEW...Tables 91-112'!C102</f>
        <v>84.326819173805873</v>
      </c>
      <c r="E7" s="122">
        <f>+'NEW...Tables 91-112'!B133+'NEW...Tables 91-112'!C133</f>
        <v>85.717770102831281</v>
      </c>
      <c r="F7" s="122">
        <f>+'NEW...Tables 91-112'!B164+'NEW...Tables 91-112'!C164</f>
        <v>95.258446066710619</v>
      </c>
      <c r="G7" s="122">
        <f>+'NEW...Tables 91-112'!B194+'NEW...Tables 91-112'!C194</f>
        <v>28.346349375093702</v>
      </c>
      <c r="H7" s="116">
        <f>+'NEW...Tables 91-112'!B9+'NEW...Tables 91-112'!C9</f>
        <v>87.959743021641017</v>
      </c>
      <c r="I7" s="119">
        <f>+'NEW...Tables 91-112'!B256+'NEW...Tables 91-112'!C256</f>
        <v>0</v>
      </c>
      <c r="J7" s="122">
        <f>+'NEW...Tables 91-112'!B287+'NEW...Tables 91-112'!C287</f>
        <v>74.810028334439906</v>
      </c>
      <c r="K7" s="122">
        <f>+'NEW...Tables 91-112'!B318+'NEW...Tables 91-112'!C318</f>
        <v>83.319599868002527</v>
      </c>
      <c r="L7" s="122">
        <f>+'NEW...Tables 91-112'!B349+'NEW...Tables 91-112'!C349</f>
        <v>76.633949788201249</v>
      </c>
      <c r="M7" s="119">
        <f>+'NEW...Tables 91-112'!B225+'NEW...Tables 91-112'!C225</f>
        <v>79.80951886561364</v>
      </c>
      <c r="N7" s="327">
        <f>+'NEW...Tables 91-112'!B410+'NEW...Tables 91-112'!C410</f>
        <v>93.119503362648743</v>
      </c>
      <c r="O7" s="63">
        <f>+'NEW...Tables 91-112'!B440+'NEW...Tables 91-112'!C440</f>
        <v>94.081682562973825</v>
      </c>
      <c r="P7" s="119">
        <f>+'NEW...Tables 91-112'!B380+'NEW...Tables 91-112'!C380</f>
        <v>93.717948717948715</v>
      </c>
      <c r="Q7" s="28"/>
      <c r="R7" s="28"/>
      <c r="V7" s="28"/>
    </row>
    <row r="8" spans="1:33">
      <c r="A8" s="28" t="s">
        <v>142</v>
      </c>
      <c r="B8" s="122">
        <f>+'NEW...Tables 91-112'!B42+'NEW...Tables 91-112'!C42</f>
        <v>90.347405842185992</v>
      </c>
      <c r="C8" s="122">
        <f>+'NEW...Tables 91-112'!B73+'NEW...Tables 91-112'!C73</f>
        <v>69.501887316768162</v>
      </c>
      <c r="D8" s="122">
        <f>+'NEW...Tables 91-112'!B103+'NEW...Tables 91-112'!C103</f>
        <v>81.008922131174174</v>
      </c>
      <c r="E8" s="122">
        <f>+'NEW...Tables 91-112'!B134+'NEW...Tables 91-112'!C134</f>
        <v>85.467722103545384</v>
      </c>
      <c r="F8" s="122">
        <f>+'NEW...Tables 91-112'!B165+'NEW...Tables 91-112'!C165</f>
        <v>79.88510711817554</v>
      </c>
      <c r="G8" s="122">
        <f>+'NEW...Tables 91-112'!B195+'NEW...Tables 91-112'!C195</f>
        <v>83.61638486145155</v>
      </c>
      <c r="H8" s="116">
        <f>+'NEW...Tables 91-112'!B10+'NEW...Tables 91-112'!C10</f>
        <v>83.390911770843346</v>
      </c>
      <c r="I8" s="119">
        <f>+'NEW...Tables 91-112'!B257+'NEW...Tables 91-112'!C257</f>
        <v>0</v>
      </c>
      <c r="J8" s="122">
        <f>+'NEW...Tables 91-112'!B288+'NEW...Tables 91-112'!C288</f>
        <v>70.505519790603017</v>
      </c>
      <c r="K8" s="122">
        <f>+'NEW...Tables 91-112'!B319+'NEW...Tables 91-112'!C319</f>
        <v>79.644053300602607</v>
      </c>
      <c r="L8" s="122">
        <f>+'NEW...Tables 91-112'!B350+'NEW...Tables 91-112'!C350</f>
        <v>76.649349033780851</v>
      </c>
      <c r="M8" s="119">
        <f>+'NEW...Tables 91-112'!B226+'NEW...Tables 91-112'!C226</f>
        <v>75.076279274388966</v>
      </c>
      <c r="N8" s="327">
        <f>+'NEW...Tables 91-112'!B411+'NEW...Tables 91-112'!C411</f>
        <v>0</v>
      </c>
      <c r="O8" s="63">
        <f>+'NEW...Tables 91-112'!B441+'NEW...Tables 91-112'!C441</f>
        <v>0</v>
      </c>
      <c r="P8" s="119">
        <f>+'NEW...Tables 91-112'!B381+'NEW...Tables 91-112'!C381</f>
        <v>0</v>
      </c>
    </row>
    <row r="9" spans="1:33">
      <c r="A9" s="28" t="s">
        <v>143</v>
      </c>
      <c r="B9" s="122">
        <f>+'NEW...Tables 91-112'!B43+'NEW...Tables 91-112'!C43</f>
        <v>97.167301032749194</v>
      </c>
      <c r="C9" s="122">
        <f>+'NEW...Tables 91-112'!B74+'NEW...Tables 91-112'!C74</f>
        <v>0</v>
      </c>
      <c r="D9" s="122">
        <f>+'NEW...Tables 91-112'!B104+'NEW...Tables 91-112'!C104</f>
        <v>98.163081661965492</v>
      </c>
      <c r="E9" s="122">
        <f>+'NEW...Tables 91-112'!B135+'NEW...Tables 91-112'!C135</f>
        <v>0</v>
      </c>
      <c r="F9" s="122">
        <f>+'NEW...Tables 91-112'!B166+'NEW...Tables 91-112'!C166</f>
        <v>0</v>
      </c>
      <c r="G9" s="122">
        <f>+'NEW...Tables 91-112'!B196+'NEW...Tables 91-112'!C196</f>
        <v>0</v>
      </c>
      <c r="H9" s="116">
        <f>+'NEW...Tables 91-112'!B11+'NEW...Tables 91-112'!C11</f>
        <v>97.33929118501969</v>
      </c>
      <c r="I9" s="119">
        <f>+'NEW...Tables 91-112'!B258+'NEW...Tables 91-112'!C258</f>
        <v>0</v>
      </c>
      <c r="J9" s="122">
        <f>+'NEW...Tables 91-112'!B289+'NEW...Tables 91-112'!C289</f>
        <v>91.623062775346099</v>
      </c>
      <c r="K9" s="122">
        <f>+'NEW...Tables 91-112'!B320+'NEW...Tables 91-112'!C320</f>
        <v>87.404616588917378</v>
      </c>
      <c r="L9" s="122">
        <f>+'NEW...Tables 91-112'!B351+'NEW...Tables 91-112'!C351</f>
        <v>0</v>
      </c>
      <c r="M9" s="119">
        <f>+'NEW...Tables 91-112'!B227+'NEW...Tables 91-112'!C227</f>
        <v>89.394331673430685</v>
      </c>
      <c r="N9" s="327">
        <f>+'NEW...Tables 91-112'!B412+'NEW...Tables 91-112'!C412</f>
        <v>0</v>
      </c>
      <c r="O9" s="63">
        <f>+'NEW...Tables 91-112'!B442+'NEW...Tables 91-112'!C442</f>
        <v>0</v>
      </c>
      <c r="P9" s="119">
        <f>+'NEW...Tables 91-112'!B382+'NEW...Tables 91-112'!C382</f>
        <v>0</v>
      </c>
    </row>
    <row r="10" spans="1:33">
      <c r="A10" s="28" t="s">
        <v>144</v>
      </c>
      <c r="B10" s="122">
        <f>+'NEW...Tables 91-112'!B44+'NEW...Tables 91-112'!C44</f>
        <v>81.885200845100783</v>
      </c>
      <c r="C10" s="122">
        <f>+'NEW...Tables 91-112'!B75+'NEW...Tables 91-112'!C75</f>
        <v>0</v>
      </c>
      <c r="D10" s="122">
        <f>+'NEW...Tables 91-112'!B105+'NEW...Tables 91-112'!C105</f>
        <v>87.230859510838073</v>
      </c>
      <c r="E10" s="122">
        <f>+'NEW...Tables 91-112'!B136+'NEW...Tables 91-112'!C136</f>
        <v>81.836957264652469</v>
      </c>
      <c r="F10" s="122">
        <f>+'NEW...Tables 91-112'!B167+'NEW...Tables 91-112'!C167</f>
        <v>0</v>
      </c>
      <c r="G10" s="122">
        <f>+'NEW...Tables 91-112'!B197+'NEW...Tables 91-112'!C197</f>
        <v>100</v>
      </c>
      <c r="H10" s="116">
        <f>+'NEW...Tables 91-112'!B12+'NEW...Tables 91-112'!C12</f>
        <v>82.627561405607509</v>
      </c>
      <c r="I10" s="119">
        <f>+'NEW...Tables 91-112'!B259+'NEW...Tables 91-112'!C259</f>
        <v>78.616864888106718</v>
      </c>
      <c r="J10" s="122">
        <f>+'NEW...Tables 91-112'!B290+'NEW...Tables 91-112'!C290</f>
        <v>78.80610794052015</v>
      </c>
      <c r="K10" s="122">
        <f>+'NEW...Tables 91-112'!B321+'NEW...Tables 91-112'!C321</f>
        <v>73.995642701525057</v>
      </c>
      <c r="L10" s="122">
        <f>+'NEW...Tables 91-112'!B352+'NEW...Tables 91-112'!C352</f>
        <v>76.92835185623079</v>
      </c>
      <c r="M10" s="119">
        <f>+'NEW...Tables 91-112'!B228+'NEW...Tables 91-112'!C228</f>
        <v>78.568521956193052</v>
      </c>
      <c r="N10" s="327">
        <f>+'NEW...Tables 91-112'!B413+'NEW...Tables 91-112'!C413</f>
        <v>0</v>
      </c>
      <c r="O10" s="63">
        <f>+'NEW...Tables 91-112'!B443+'NEW...Tables 91-112'!C443</f>
        <v>0</v>
      </c>
      <c r="P10" s="119">
        <f>+'NEW...Tables 91-112'!B383+'NEW...Tables 91-112'!C383</f>
        <v>0</v>
      </c>
    </row>
    <row r="11" spans="1:33">
      <c r="A11" s="28"/>
      <c r="B11" s="122"/>
      <c r="C11" s="122"/>
      <c r="D11" s="122"/>
      <c r="E11" s="122"/>
      <c r="F11" s="122"/>
      <c r="G11" s="122"/>
      <c r="H11" s="116"/>
      <c r="I11" s="119"/>
      <c r="J11" s="122"/>
      <c r="K11" s="122"/>
      <c r="L11" s="122"/>
      <c r="M11" s="119"/>
      <c r="N11" s="327"/>
      <c r="O11" s="63"/>
      <c r="P11" s="119"/>
    </row>
    <row r="12" spans="1:33">
      <c r="A12" s="28" t="s">
        <v>145</v>
      </c>
      <c r="B12" s="122">
        <f>+'NEW...Tables 91-112'!B46+'NEW...Tables 91-112'!C46</f>
        <v>96.544159269547237</v>
      </c>
      <c r="C12" s="122">
        <f>+'NEW...Tables 91-112'!B77+'NEW...Tables 91-112'!C77</f>
        <v>99.828844983455795</v>
      </c>
      <c r="D12" s="122">
        <f>+'NEW...Tables 91-112'!B107+'NEW...Tables 91-112'!C107</f>
        <v>84.02579034992111</v>
      </c>
      <c r="E12" s="122">
        <f>+'NEW...Tables 91-112'!B138+'NEW...Tables 91-112'!C138</f>
        <v>88.765325521094738</v>
      </c>
      <c r="F12" s="122">
        <f>+'NEW...Tables 91-112'!B169+'NEW...Tables 91-112'!C169</f>
        <v>85.739433982051622</v>
      </c>
      <c r="G12" s="122">
        <f>+'NEW...Tables 91-112'!B199+'NEW...Tables 91-112'!C199</f>
        <v>92.346388218865044</v>
      </c>
      <c r="H12" s="116">
        <f>+'NEW...Tables 91-112'!B14+'NEW...Tables 91-112'!C14</f>
        <v>90.183377613367313</v>
      </c>
      <c r="I12" s="119">
        <f>+'NEW...Tables 91-112'!B261+'NEW...Tables 91-112'!C261</f>
        <v>93.144391717169299</v>
      </c>
      <c r="J12" s="122">
        <f>+'NEW...Tables 91-112'!B292+'NEW...Tables 91-112'!C292</f>
        <v>78.417049427646802</v>
      </c>
      <c r="K12" s="122">
        <f>+'NEW...Tables 91-112'!B323+'NEW...Tables 91-112'!C323</f>
        <v>75.658152801827555</v>
      </c>
      <c r="L12" s="122">
        <f>+'NEW...Tables 91-112'!B354+'NEW...Tables 91-112'!C354</f>
        <v>0</v>
      </c>
      <c r="M12" s="119">
        <f>+'NEW...Tables 91-112'!B230+'NEW...Tables 91-112'!C230</f>
        <v>80.275927715078865</v>
      </c>
      <c r="N12" s="327">
        <f>+'NEW...Tables 91-112'!B415+'NEW...Tables 91-112'!C415</f>
        <v>69.083958373390061</v>
      </c>
      <c r="O12" s="63">
        <f>+'NEW...Tables 91-112'!B445+'NEW...Tables 91-112'!C445</f>
        <v>0</v>
      </c>
      <c r="P12" s="119">
        <f>+'NEW...Tables 91-112'!B385+'NEW...Tables 91-112'!C385</f>
        <v>69.083958373390061</v>
      </c>
    </row>
    <row r="13" spans="1:33">
      <c r="A13" s="28" t="s">
        <v>146</v>
      </c>
      <c r="B13" s="122">
        <f>+'NEW...Tables 91-112'!B47+'NEW...Tables 91-112'!C47</f>
        <v>92.613366495665176</v>
      </c>
      <c r="C13" s="122">
        <f>+'NEW...Tables 91-112'!B78+'NEW...Tables 91-112'!C78</f>
        <v>0</v>
      </c>
      <c r="D13" s="122">
        <f>+'NEW...Tables 91-112'!B108+'NEW...Tables 91-112'!C108</f>
        <v>82.643215041103929</v>
      </c>
      <c r="E13" s="122">
        <f>+'NEW...Tables 91-112'!B139+'NEW...Tables 91-112'!C139</f>
        <v>74.150987421250235</v>
      </c>
      <c r="F13" s="122">
        <f>+'NEW...Tables 91-112'!B170+'NEW...Tables 91-112'!C170</f>
        <v>0</v>
      </c>
      <c r="G13" s="122">
        <f>+'NEW...Tables 91-112'!B200+'NEW...Tables 91-112'!C200</f>
        <v>0</v>
      </c>
      <c r="H13" s="116">
        <f>+'NEW...Tables 91-112'!B15+'NEW...Tables 91-112'!C15</f>
        <v>86.353774319779333</v>
      </c>
      <c r="I13" s="119">
        <f>+'NEW...Tables 91-112'!B262+'NEW...Tables 91-112'!C262</f>
        <v>0</v>
      </c>
      <c r="J13" s="122">
        <f>+'NEW...Tables 91-112'!B293+'NEW...Tables 91-112'!C293</f>
        <v>72.516465639925698</v>
      </c>
      <c r="K13" s="122">
        <f>+'NEW...Tables 91-112'!B324+'NEW...Tables 91-112'!C324</f>
        <v>61.030026522882807</v>
      </c>
      <c r="L13" s="122">
        <f>+'NEW...Tables 91-112'!B355+'NEW...Tables 91-112'!C355</f>
        <v>57.936390750967128</v>
      </c>
      <c r="M13" s="119">
        <f>+'NEW...Tables 91-112'!B231+'NEW...Tables 91-112'!C231</f>
        <v>64.601798519289048</v>
      </c>
      <c r="N13" s="327">
        <f>+'NEW...Tables 91-112'!B416+'NEW...Tables 91-112'!C416</f>
        <v>71.632951562561217</v>
      </c>
      <c r="O13" s="63">
        <f>+'NEW...Tables 91-112'!B446+'NEW...Tables 91-112'!C446</f>
        <v>0</v>
      </c>
      <c r="P13" s="119">
        <f>+'NEW...Tables 91-112'!B386+'NEW...Tables 91-112'!C386</f>
        <v>71.632951562561217</v>
      </c>
    </row>
    <row r="14" spans="1:33">
      <c r="A14" s="28" t="s">
        <v>147</v>
      </c>
      <c r="B14" s="122">
        <f>+'NEW...Tables 91-112'!B48+'NEW...Tables 91-112'!C48</f>
        <v>0</v>
      </c>
      <c r="C14" s="122">
        <f>+'NEW...Tables 91-112'!B79+'NEW...Tables 91-112'!C79</f>
        <v>0</v>
      </c>
      <c r="D14" s="122">
        <f>+'NEW...Tables 91-112'!B109+'NEW...Tables 91-112'!C109</f>
        <v>0</v>
      </c>
      <c r="E14" s="122">
        <f>+'NEW...Tables 91-112'!B140+'NEW...Tables 91-112'!C140</f>
        <v>0</v>
      </c>
      <c r="F14" s="122">
        <f>+'NEW...Tables 91-112'!B171+'NEW...Tables 91-112'!C171</f>
        <v>0</v>
      </c>
      <c r="G14" s="122">
        <f>+'NEW...Tables 91-112'!B201+'NEW...Tables 91-112'!C201</f>
        <v>0</v>
      </c>
      <c r="H14" s="116">
        <f>+'NEW...Tables 91-112'!B16+'NEW...Tables 91-112'!C16</f>
        <v>0</v>
      </c>
      <c r="I14" s="119">
        <f>+'NEW...Tables 91-112'!B263+'NEW...Tables 91-112'!C263</f>
        <v>0</v>
      </c>
      <c r="J14" s="122">
        <f>+'NEW...Tables 91-112'!B294+'NEW...Tables 91-112'!C294</f>
        <v>0</v>
      </c>
      <c r="K14" s="122">
        <f>+'NEW...Tables 91-112'!B325+'NEW...Tables 91-112'!C325</f>
        <v>0</v>
      </c>
      <c r="L14" s="122">
        <f>+'NEW...Tables 91-112'!B356+'NEW...Tables 91-112'!C356</f>
        <v>0</v>
      </c>
      <c r="M14" s="119">
        <f>+'NEW...Tables 91-112'!B232+'NEW...Tables 91-112'!C232</f>
        <v>0</v>
      </c>
      <c r="N14" s="327">
        <f>+'NEW...Tables 91-112'!B417+'NEW...Tables 91-112'!C417</f>
        <v>0</v>
      </c>
      <c r="O14" s="63">
        <f>+'NEW...Tables 91-112'!B447+'NEW...Tables 91-112'!C447</f>
        <v>0</v>
      </c>
      <c r="P14" s="119">
        <f>+'NEW...Tables 91-112'!B387+'NEW...Tables 91-112'!C387</f>
        <v>0</v>
      </c>
    </row>
    <row r="15" spans="1:33">
      <c r="A15" s="28" t="s">
        <v>177</v>
      </c>
      <c r="B15" s="122">
        <f>+'NEW...Tables 91-112'!B49+'NEW...Tables 91-112'!C49</f>
        <v>97.304460786087674</v>
      </c>
      <c r="C15" s="122">
        <f>+'NEW...Tables 91-112'!B80+'NEW...Tables 91-112'!C80</f>
        <v>91.803242354515163</v>
      </c>
      <c r="D15" s="122">
        <f>+'NEW...Tables 91-112'!B110+'NEW...Tables 91-112'!C110</f>
        <v>91.71171773693149</v>
      </c>
      <c r="E15" s="122">
        <f>+'NEW...Tables 91-112'!B141+'NEW...Tables 91-112'!C141</f>
        <v>86.492948956463337</v>
      </c>
      <c r="F15" s="122">
        <f>+'NEW...Tables 91-112'!B172+'NEW...Tables 91-112'!C172</f>
        <v>84.452379963736519</v>
      </c>
      <c r="G15" s="122">
        <f>+'NEW...Tables 91-112'!B202+'NEW...Tables 91-112'!C202</f>
        <v>100</v>
      </c>
      <c r="H15" s="116">
        <f>+'NEW...Tables 91-112'!B17+'NEW...Tables 91-112'!C17</f>
        <v>76.03968234564789</v>
      </c>
      <c r="I15" s="119">
        <f>+'NEW...Tables 91-112'!B264+'NEW...Tables 91-112'!C264</f>
        <v>0</v>
      </c>
      <c r="J15" s="122">
        <f>+'NEW...Tables 91-112'!B295+'NEW...Tables 91-112'!C295</f>
        <v>85.000343723157627</v>
      </c>
      <c r="K15" s="122">
        <f>+'NEW...Tables 91-112'!B326+'NEW...Tables 91-112'!C326</f>
        <v>80.140167732565331</v>
      </c>
      <c r="L15" s="122">
        <f>+'NEW...Tables 91-112'!B357+'NEW...Tables 91-112'!C357</f>
        <v>79.084450743122943</v>
      </c>
      <c r="M15" s="119">
        <f>+'NEW...Tables 91-112'!B233+'NEW...Tables 91-112'!C233</f>
        <v>83.710518058848137</v>
      </c>
      <c r="N15" s="327">
        <f>+'NEW...Tables 91-112'!B418+'NEW...Tables 91-112'!C418</f>
        <v>0</v>
      </c>
      <c r="O15" s="63">
        <f>+'NEW...Tables 91-112'!B448+'NEW...Tables 91-112'!C448</f>
        <v>0</v>
      </c>
      <c r="P15" s="119">
        <f>+'NEW...Tables 91-112'!B388+'NEW...Tables 91-112'!C388</f>
        <v>0</v>
      </c>
    </row>
    <row r="16" spans="1:33">
      <c r="A16" s="28"/>
      <c r="B16" s="122"/>
      <c r="C16" s="122"/>
      <c r="D16" s="122"/>
      <c r="E16" s="122"/>
      <c r="F16" s="122"/>
      <c r="G16" s="122"/>
      <c r="H16" s="116"/>
      <c r="I16" s="119"/>
      <c r="J16" s="122"/>
      <c r="K16" s="122"/>
      <c r="L16" s="122"/>
      <c r="M16" s="119"/>
      <c r="N16" s="327"/>
      <c r="O16" s="63"/>
      <c r="P16" s="119"/>
    </row>
    <row r="17" spans="1:40" ht="15.75" customHeight="1">
      <c r="A17" s="28" t="s">
        <v>148</v>
      </c>
      <c r="B17" s="122">
        <f>+'NEW...Tables 91-112'!B51+'NEW...Tables 91-112'!C51</f>
        <v>90.154490931784281</v>
      </c>
      <c r="C17" s="122">
        <f>+'NEW...Tables 91-112'!B82+'NEW...Tables 91-112'!C82</f>
        <v>91.441894486605094</v>
      </c>
      <c r="D17" s="122">
        <f>+'NEW...Tables 91-112'!B112+'NEW...Tables 91-112'!C112</f>
        <v>0</v>
      </c>
      <c r="E17" s="122">
        <f>+'NEW...Tables 91-112'!B143+'NEW...Tables 91-112'!C143</f>
        <v>82.601088741708935</v>
      </c>
      <c r="F17" s="122">
        <f>+'NEW...Tables 91-112'!B174+'NEW...Tables 91-112'!C174</f>
        <v>49.872964545559533</v>
      </c>
      <c r="G17" s="122">
        <f>+'NEW...Tables 91-112'!B204+'NEW...Tables 91-112'!C204</f>
        <v>0</v>
      </c>
      <c r="H17" s="116">
        <f>+'NEW...Tables 91-112'!B19+'NEW...Tables 91-112'!C19</f>
        <v>88.182824687713065</v>
      </c>
      <c r="I17" s="119">
        <f>+'NEW...Tables 91-112'!B266+'NEW...Tables 91-112'!C266</f>
        <v>0</v>
      </c>
      <c r="J17" s="122">
        <f>+'NEW...Tables 91-112'!B297+'NEW...Tables 91-112'!C297</f>
        <v>77.212659518518478</v>
      </c>
      <c r="K17" s="122">
        <f>+'NEW...Tables 91-112'!B328+'NEW...Tables 91-112'!C328</f>
        <v>78.337833546896434</v>
      </c>
      <c r="L17" s="122">
        <f>+'NEW...Tables 91-112'!B359+'NEW...Tables 91-112'!C359</f>
        <v>83.816835120746859</v>
      </c>
      <c r="M17" s="119">
        <f>+'NEW...Tables 91-112'!B235+'NEW...Tables 91-112'!C235</f>
        <v>78.117702824203533</v>
      </c>
      <c r="N17" s="327">
        <f>+'NEW...Tables 91-112'!B420+'NEW...Tables 91-112'!C420</f>
        <v>0</v>
      </c>
      <c r="O17" s="63">
        <f>+'NEW...Tables 91-112'!B450+'NEW...Tables 91-112'!C450</f>
        <v>0</v>
      </c>
      <c r="P17" s="119">
        <f>+'NEW...Tables 91-112'!B390+'NEW...Tables 91-112'!C390</f>
        <v>0</v>
      </c>
    </row>
    <row r="18" spans="1:40" ht="15.75" customHeight="1">
      <c r="A18" s="28" t="s">
        <v>149</v>
      </c>
      <c r="B18" s="122">
        <f>+'NEW...Tables 91-112'!B52+'NEW...Tables 91-112'!C52</f>
        <v>89.509064349355711</v>
      </c>
      <c r="C18" s="122">
        <f>+'NEW...Tables 91-112'!B83+'NEW...Tables 91-112'!C83</f>
        <v>82.343145582142611</v>
      </c>
      <c r="D18" s="122">
        <f>+'NEW...Tables 91-112'!B113+'NEW...Tables 91-112'!C113</f>
        <v>90.502012790184267</v>
      </c>
      <c r="E18" s="122">
        <f>+'NEW...Tables 91-112'!B144+'NEW...Tables 91-112'!C144</f>
        <v>78.235353501362852</v>
      </c>
      <c r="F18" s="122">
        <f>+'NEW...Tables 91-112'!B175+'NEW...Tables 91-112'!C175</f>
        <v>81.400421624823608</v>
      </c>
      <c r="G18" s="122">
        <f>+'NEW...Tables 91-112'!B205+'NEW...Tables 91-112'!C205</f>
        <v>89.702518577133745</v>
      </c>
      <c r="H18" s="116">
        <f>+'NEW...Tables 91-112'!B20+'NEW...Tables 91-112'!C20</f>
        <v>88.154840526149457</v>
      </c>
      <c r="I18" s="119">
        <f>+'NEW...Tables 91-112'!B267+'NEW...Tables 91-112'!C267</f>
        <v>0</v>
      </c>
      <c r="J18" s="122">
        <f>+'NEW...Tables 91-112'!B298+'NEW...Tables 91-112'!C298</f>
        <v>62.755456479782424</v>
      </c>
      <c r="K18" s="122">
        <f>+'NEW...Tables 91-112'!B329+'NEW...Tables 91-112'!C329</f>
        <v>60.091835057559209</v>
      </c>
      <c r="L18" s="122">
        <f>+'NEW...Tables 91-112'!B360+'NEW...Tables 91-112'!C360</f>
        <v>57.935810233791813</v>
      </c>
      <c r="M18" s="119">
        <f>+'NEW...Tables 91-112'!B236+'NEW...Tables 91-112'!C236</f>
        <v>60.980026388646344</v>
      </c>
      <c r="N18" s="327">
        <f>+'NEW...Tables 91-112'!B421+'NEW...Tables 91-112'!C421</f>
        <v>0</v>
      </c>
      <c r="O18" s="63">
        <f>+'NEW...Tables 91-112'!B451+'NEW...Tables 91-112'!C451</f>
        <v>0</v>
      </c>
      <c r="P18" s="119">
        <f>+'NEW...Tables 91-112'!B391+'NEW...Tables 91-112'!C391</f>
        <v>0</v>
      </c>
    </row>
    <row r="19" spans="1:40" ht="15.75" customHeight="1">
      <c r="A19" s="28" t="s">
        <v>150</v>
      </c>
      <c r="B19" s="122">
        <f>+'NEW...Tables 91-112'!B53+'NEW...Tables 91-112'!C53</f>
        <v>87.836017832611518</v>
      </c>
      <c r="C19" s="122">
        <f>+'NEW...Tables 91-112'!B84+'NEW...Tables 91-112'!C84</f>
        <v>0</v>
      </c>
      <c r="D19" s="122">
        <f>+'NEW...Tables 91-112'!B114+'NEW...Tables 91-112'!C114</f>
        <v>81.308717739408038</v>
      </c>
      <c r="E19" s="122">
        <f>+'NEW...Tables 91-112'!B145+'NEW...Tables 91-112'!C145</f>
        <v>66.040674547593696</v>
      </c>
      <c r="F19" s="122">
        <f>+'NEW...Tables 91-112'!B176+'NEW...Tables 91-112'!C176</f>
        <v>82.225941118979762</v>
      </c>
      <c r="G19" s="122">
        <f>+'NEW...Tables 91-112'!B206+'NEW...Tables 91-112'!C206</f>
        <v>77.942865488922976</v>
      </c>
      <c r="H19" s="116">
        <f>+'NEW...Tables 91-112'!B21+'NEW...Tables 91-112'!C21</f>
        <v>84.136226675450118</v>
      </c>
      <c r="I19" s="119">
        <f>+'NEW...Tables 91-112'!B268+'NEW...Tables 91-112'!C268</f>
        <v>71.690361375913923</v>
      </c>
      <c r="J19" s="122">
        <f>+'NEW...Tables 91-112'!B299+'NEW...Tables 91-112'!C299</f>
        <v>73.809207411775461</v>
      </c>
      <c r="K19" s="122">
        <f>+'NEW...Tables 91-112'!B330+'NEW...Tables 91-112'!C330</f>
        <v>83.283373572416778</v>
      </c>
      <c r="L19" s="122">
        <f>+'NEW...Tables 91-112'!B361+'NEW...Tables 91-112'!C361</f>
        <v>73.276265720522574</v>
      </c>
      <c r="M19" s="119">
        <f>+'NEW...Tables 91-112'!B237+'NEW...Tables 91-112'!C237</f>
        <v>74.353381182517509</v>
      </c>
      <c r="N19" s="327">
        <f>+'NEW...Tables 91-112'!B422+'NEW...Tables 91-112'!C422</f>
        <v>0</v>
      </c>
      <c r="O19" s="63">
        <f>+'NEW...Tables 91-112'!B452+'NEW...Tables 91-112'!C452</f>
        <v>0</v>
      </c>
      <c r="P19" s="119">
        <f>+'NEW...Tables 91-112'!B392+'NEW...Tables 91-112'!C392</f>
        <v>0</v>
      </c>
    </row>
    <row r="20" spans="1:40" ht="15.75" customHeight="1">
      <c r="A20" s="28" t="s">
        <v>151</v>
      </c>
      <c r="B20" s="122">
        <f>+'NEW...Tables 91-112'!B54+'NEW...Tables 91-112'!C54</f>
        <v>91.927440794853723</v>
      </c>
      <c r="C20" s="122">
        <f>+'NEW...Tables 91-112'!B85+'NEW...Tables 91-112'!C85</f>
        <v>0</v>
      </c>
      <c r="D20" s="122">
        <f>+'NEW...Tables 91-112'!B115+'NEW...Tables 91-112'!C115</f>
        <v>97.003077152229338</v>
      </c>
      <c r="E20" s="122">
        <f>+'NEW...Tables 91-112'!B146+'NEW...Tables 91-112'!C146</f>
        <v>0</v>
      </c>
      <c r="F20" s="122">
        <f>+'NEW...Tables 91-112'!B177+'NEW...Tables 91-112'!C177</f>
        <v>92.500971129333209</v>
      </c>
      <c r="G20" s="122">
        <f>+'NEW...Tables 91-112'!B207+'NEW...Tables 91-112'!C207</f>
        <v>89.873002509334825</v>
      </c>
      <c r="H20" s="116">
        <f>+'NEW...Tables 91-112'!B22+'NEW...Tables 91-112'!C22</f>
        <v>92.78426906325349</v>
      </c>
      <c r="I20" s="119">
        <f>+'NEW...Tables 91-112'!B269+'NEW...Tables 91-112'!C269</f>
        <v>0</v>
      </c>
      <c r="J20" s="122">
        <f>+'NEW...Tables 91-112'!B300+'NEW...Tables 91-112'!C300</f>
        <v>73.509074729023652</v>
      </c>
      <c r="K20" s="122">
        <f>+'NEW...Tables 91-112'!B331+'NEW...Tables 91-112'!C331</f>
        <v>79.678348767955555</v>
      </c>
      <c r="L20" s="122">
        <f>+'NEW...Tables 91-112'!B362+'NEW...Tables 91-112'!C362</f>
        <v>86.238351292872608</v>
      </c>
      <c r="M20" s="119">
        <f>+'NEW...Tables 91-112'!B238+'NEW...Tables 91-112'!C238</f>
        <v>76.13297008191735</v>
      </c>
      <c r="N20" s="327">
        <f>+'NEW...Tables 91-112'!B423+'NEW...Tables 91-112'!C423</f>
        <v>0</v>
      </c>
      <c r="O20" s="63">
        <f>+'NEW...Tables 91-112'!B453+'NEW...Tables 91-112'!C453</f>
        <v>0</v>
      </c>
      <c r="P20" s="119">
        <f>+'NEW...Tables 91-112'!B393+'NEW...Tables 91-112'!C393</f>
        <v>0</v>
      </c>
    </row>
    <row r="21" spans="1:40" ht="15.75" customHeight="1">
      <c r="A21" s="28"/>
      <c r="B21" s="122"/>
      <c r="C21" s="122"/>
      <c r="D21" s="122"/>
      <c r="E21" s="122"/>
      <c r="F21" s="122"/>
      <c r="G21" s="122"/>
      <c r="H21" s="116"/>
      <c r="I21" s="119"/>
      <c r="J21" s="122"/>
      <c r="K21" s="122"/>
      <c r="L21" s="122"/>
      <c r="M21" s="119"/>
      <c r="N21" s="327"/>
      <c r="O21" s="63"/>
      <c r="P21" s="119"/>
    </row>
    <row r="22" spans="1:40" ht="15.75" customHeight="1">
      <c r="A22" s="28" t="s">
        <v>152</v>
      </c>
      <c r="B22" s="122">
        <f>+'NEW...Tables 91-112'!B56+'NEW...Tables 91-112'!C56</f>
        <v>89.199888268492003</v>
      </c>
      <c r="C22" s="122">
        <f>+'NEW...Tables 91-112'!B87+'NEW...Tables 91-112'!C87</f>
        <v>91.341904160588712</v>
      </c>
      <c r="D22" s="122">
        <f>+'NEW...Tables 91-112'!B117+'NEW...Tables 91-112'!C117</f>
        <v>77.218887498074139</v>
      </c>
      <c r="E22" s="122">
        <f>+'NEW...Tables 91-112'!B148+'NEW...Tables 91-112'!C148</f>
        <v>0</v>
      </c>
      <c r="F22" s="122">
        <f>+'NEW...Tables 91-112'!B179+'NEW...Tables 91-112'!C179</f>
        <v>89.724011088888062</v>
      </c>
      <c r="G22" s="122">
        <f>+'NEW...Tables 91-112'!B209+'NEW...Tables 91-112'!C209</f>
        <v>0</v>
      </c>
      <c r="H22" s="116">
        <f>+'NEW...Tables 91-112'!B24+'NEW...Tables 91-112'!C24</f>
        <v>82.878059385655689</v>
      </c>
      <c r="I22" s="119">
        <f>+'NEW...Tables 91-112'!B271+'NEW...Tables 91-112'!C271</f>
        <v>0</v>
      </c>
      <c r="J22" s="122">
        <f>+'NEW...Tables 91-112'!B302+'NEW...Tables 91-112'!C302</f>
        <v>75.037874948290082</v>
      </c>
      <c r="K22" s="122">
        <f>+'NEW...Tables 91-112'!B333+'NEW...Tables 91-112'!C333</f>
        <v>72.469997231877315</v>
      </c>
      <c r="L22" s="122">
        <f>+'NEW...Tables 91-112'!B364+'NEW...Tables 91-112'!C364</f>
        <v>0</v>
      </c>
      <c r="M22" s="119">
        <f>+'NEW...Tables 91-112'!B240+'NEW...Tables 91-112'!C240</f>
        <v>73.893722642106113</v>
      </c>
      <c r="N22" s="327">
        <f>+'NEW...Tables 91-112'!B425+'NEW...Tables 91-112'!C425</f>
        <v>0</v>
      </c>
      <c r="O22" s="63">
        <f>+'NEW...Tables 91-112'!B455+'NEW...Tables 91-112'!C455</f>
        <v>0</v>
      </c>
      <c r="P22" s="119">
        <f>+'NEW...Tables 91-112'!B395+'NEW...Tables 91-112'!C395</f>
        <v>0</v>
      </c>
    </row>
    <row r="23" spans="1:40" ht="15.75" customHeight="1">
      <c r="A23" s="28" t="s">
        <v>153</v>
      </c>
      <c r="B23" s="122">
        <f>+'NEW...Tables 91-112'!B57+'NEW...Tables 91-112'!C57</f>
        <v>88.307465710886689</v>
      </c>
      <c r="C23" s="122">
        <f>+'NEW...Tables 91-112'!B88+'NEW...Tables 91-112'!C88</f>
        <v>86.751428129247884</v>
      </c>
      <c r="D23" s="122">
        <f>+'NEW...Tables 91-112'!B118+'NEW...Tables 91-112'!C118</f>
        <v>86.712254877825771</v>
      </c>
      <c r="E23" s="122">
        <f>+'NEW...Tables 91-112'!B149+'NEW...Tables 91-112'!C149</f>
        <v>54.181109026014639</v>
      </c>
      <c r="F23" s="122">
        <f>+'NEW...Tables 91-112'!B180+'NEW...Tables 91-112'!C180</f>
        <v>61.378005140453382</v>
      </c>
      <c r="G23" s="122">
        <f>+'NEW...Tables 91-112'!B210+'NEW...Tables 91-112'!C210</f>
        <v>98.904494382022463</v>
      </c>
      <c r="H23" s="116">
        <f>+'NEW...Tables 91-112'!B25+'NEW...Tables 91-112'!C25</f>
        <v>86.376920162849032</v>
      </c>
      <c r="I23" s="119">
        <f>+'NEW...Tables 91-112'!B272+'NEW...Tables 91-112'!C272</f>
        <v>79.42197529389118</v>
      </c>
      <c r="J23" s="122">
        <f>+'NEW...Tables 91-112'!B303+'NEW...Tables 91-112'!C303</f>
        <v>76.219345610494102</v>
      </c>
      <c r="K23" s="122">
        <f>+'NEW...Tables 91-112'!B334+'NEW...Tables 91-112'!C334</f>
        <v>74.589467493383552</v>
      </c>
      <c r="L23" s="122">
        <f>+'NEW...Tables 91-112'!B365+'NEW...Tables 91-112'!C365</f>
        <v>68.275043445451516</v>
      </c>
      <c r="M23" s="119">
        <f>+'NEW...Tables 91-112'!B241+'NEW...Tables 91-112'!C241</f>
        <v>75.901539492163067</v>
      </c>
      <c r="N23" s="327">
        <f>+'NEW...Tables 91-112'!B426+'NEW...Tables 91-112'!C426</f>
        <v>0</v>
      </c>
      <c r="O23" s="63">
        <f>+'NEW...Tables 91-112'!B456+'NEW...Tables 91-112'!C456</f>
        <v>0</v>
      </c>
      <c r="P23" s="119">
        <f>+'NEW...Tables 91-112'!B396+'NEW...Tables 91-112'!C396</f>
        <v>0</v>
      </c>
    </row>
    <row r="24" spans="1:40" ht="15.75" customHeight="1">
      <c r="A24" s="28" t="s">
        <v>154</v>
      </c>
      <c r="B24" s="122">
        <f>+'NEW...Tables 91-112'!B58+'NEW...Tables 91-112'!C58</f>
        <v>93.491891493717134</v>
      </c>
      <c r="C24" s="122">
        <f>+'NEW...Tables 91-112'!B89+'NEW...Tables 91-112'!C89</f>
        <v>94.532550946170772</v>
      </c>
      <c r="D24" s="122">
        <f>+'NEW...Tables 91-112'!B119+'NEW...Tables 91-112'!C119</f>
        <v>93.692511286712445</v>
      </c>
      <c r="E24" s="122">
        <f>+'NEW...Tables 91-112'!B150+'NEW...Tables 91-112'!C150</f>
        <v>0</v>
      </c>
      <c r="F24" s="122">
        <f>+'NEW...Tables 91-112'!B181+'NEW...Tables 91-112'!C181</f>
        <v>100</v>
      </c>
      <c r="G24" s="122">
        <f>+'NEW...Tables 91-112'!B211+'NEW...Tables 91-112'!C211</f>
        <v>80.375818544177662</v>
      </c>
      <c r="H24" s="116">
        <f>+'NEW...Tables 91-112'!B26+'NEW...Tables 91-112'!C26</f>
        <v>93.788424208755174</v>
      </c>
      <c r="I24" s="119">
        <f>+'NEW...Tables 91-112'!B273+'NEW...Tables 91-112'!C273</f>
        <v>0</v>
      </c>
      <c r="J24" s="122">
        <f>+'NEW...Tables 91-112'!B304+'NEW...Tables 91-112'!C304</f>
        <v>73.148938645058209</v>
      </c>
      <c r="K24" s="122">
        <f>+'NEW...Tables 91-112'!B335+'NEW...Tables 91-112'!C335</f>
        <v>70.798099620521697</v>
      </c>
      <c r="L24" s="122">
        <f>+'NEW...Tables 91-112'!B366+'NEW...Tables 91-112'!C366</f>
        <v>65.265417984528227</v>
      </c>
      <c r="M24" s="119">
        <f>+'NEW...Tables 91-112'!B242+'NEW...Tables 91-112'!C242</f>
        <v>71.880789378863057</v>
      </c>
      <c r="N24" s="327">
        <f>+'NEW...Tables 91-112'!B427+'NEW...Tables 91-112'!C427</f>
        <v>0</v>
      </c>
      <c r="O24" s="63">
        <f>+'NEW...Tables 91-112'!B457+'NEW...Tables 91-112'!C457</f>
        <v>0</v>
      </c>
      <c r="P24" s="119">
        <f>+'NEW...Tables 91-112'!B397+'NEW...Tables 91-112'!C397</f>
        <v>0</v>
      </c>
    </row>
    <row r="25" spans="1:40" ht="15.75" customHeight="1">
      <c r="A25" s="220" t="s">
        <v>155</v>
      </c>
      <c r="B25" s="328">
        <f>+'NEW...Tables 91-112'!B59+'NEW...Tables 91-112'!C59</f>
        <v>90.969670427241709</v>
      </c>
      <c r="C25" s="328">
        <f>+'NEW...Tables 91-112'!B90+'NEW...Tables 91-112'!C90</f>
        <v>0</v>
      </c>
      <c r="D25" s="328">
        <f>+'NEW...Tables 91-112'!B120+'NEW...Tables 91-112'!C120</f>
        <v>85.708143112995543</v>
      </c>
      <c r="E25" s="328">
        <f>+'NEW...Tables 91-112'!B151+'NEW...Tables 91-112'!C151</f>
        <v>0</v>
      </c>
      <c r="F25" s="328">
        <f>+'NEW...Tables 91-112'!B182+'NEW...Tables 91-112'!C182</f>
        <v>91.499032230107744</v>
      </c>
      <c r="G25" s="328">
        <f>+'NEW...Tables 91-112'!B212+'NEW...Tables 91-112'!C212</f>
        <v>81.960108686475792</v>
      </c>
      <c r="H25" s="117">
        <f>+'NEW...Tables 91-112'!B27+'NEW...Tables 91-112'!C27</f>
        <v>88.110894925662308</v>
      </c>
      <c r="I25" s="120">
        <f>+'NEW...Tables 91-112'!B274+'NEW...Tables 91-112'!C274</f>
        <v>94.088611195214369</v>
      </c>
      <c r="J25" s="328">
        <f>+'NEW...Tables 91-112'!B305+'NEW...Tables 91-112'!C305</f>
        <v>0</v>
      </c>
      <c r="K25" s="328">
        <f>+'NEW...Tables 91-112'!B336+'NEW...Tables 91-112'!C336</f>
        <v>77.826008319768491</v>
      </c>
      <c r="L25" s="328">
        <f>+'NEW...Tables 91-112'!B367+'NEW...Tables 91-112'!C367</f>
        <v>78.0096245335547</v>
      </c>
      <c r="M25" s="120">
        <f>+'NEW...Tables 91-112'!B243+'NEW...Tables 91-112'!C243</f>
        <v>81.701755096041396</v>
      </c>
      <c r="N25" s="329">
        <f>+'NEW...Tables 91-112'!B428+'NEW...Tables 91-112'!C428</f>
        <v>0</v>
      </c>
      <c r="O25" s="230">
        <f>+'NEW...Tables 91-112'!B458+'NEW...Tables 91-112'!C458</f>
        <v>0</v>
      </c>
      <c r="P25" s="120">
        <f>+'NEW...Tables 91-112'!B398+'NEW...Tables 91-112'!C398</f>
        <v>0</v>
      </c>
      <c r="R25" s="151"/>
      <c r="S25" s="151"/>
      <c r="T25" s="151"/>
      <c r="U25" s="152"/>
      <c r="V25" s="152"/>
      <c r="W25" s="152"/>
    </row>
    <row r="26" spans="1:40" s="25" customFormat="1" ht="29.25" customHeight="1">
      <c r="A26" s="665" t="s">
        <v>919</v>
      </c>
      <c r="B26" s="665"/>
      <c r="C26" s="665"/>
      <c r="D26" s="665"/>
      <c r="E26" s="665"/>
      <c r="F26" s="665"/>
      <c r="G26" s="665"/>
      <c r="H26" s="665"/>
      <c r="I26" s="665"/>
      <c r="J26" s="665"/>
      <c r="K26" s="665"/>
      <c r="L26" s="665"/>
      <c r="M26" s="665"/>
      <c r="N26" s="665"/>
      <c r="O26" s="665"/>
      <c r="P26" s="665"/>
    </row>
    <row r="27" spans="1:40" s="25" customFormat="1" ht="11.25">
      <c r="A27" s="26"/>
      <c r="J27" s="26"/>
      <c r="M27" s="26"/>
    </row>
    <row r="28" spans="1:40" s="25" customFormat="1" ht="11.25">
      <c r="M28" s="330"/>
      <c r="P28" s="27" t="s">
        <v>899</v>
      </c>
    </row>
    <row r="29" spans="1:40" ht="18">
      <c r="A29" s="671" t="s">
        <v>156</v>
      </c>
      <c r="B29" s="671"/>
      <c r="C29" s="671"/>
      <c r="D29" s="671"/>
      <c r="E29" s="671"/>
      <c r="F29" s="671"/>
      <c r="G29" s="671"/>
      <c r="H29" s="671"/>
      <c r="I29" s="671"/>
      <c r="J29" s="671"/>
      <c r="K29" s="671"/>
      <c r="L29" s="671"/>
      <c r="M29" s="671"/>
      <c r="N29" s="671"/>
      <c r="O29" s="671"/>
      <c r="P29" s="671"/>
    </row>
    <row r="30" spans="1:40" s="28" customFormat="1" ht="12.75">
      <c r="A30" s="18"/>
      <c r="B30" s="19"/>
      <c r="C30" s="19"/>
      <c r="D30" s="19"/>
      <c r="E30" s="19"/>
      <c r="F30" s="19"/>
      <c r="G30" s="19"/>
      <c r="H30" s="19"/>
      <c r="I30" s="19"/>
      <c r="J30" s="19"/>
      <c r="K30" s="19"/>
      <c r="L30" s="19"/>
      <c r="M30" s="36"/>
    </row>
    <row r="31" spans="1:40" ht="15.75">
      <c r="A31" s="672" t="s">
        <v>917</v>
      </c>
      <c r="B31" s="672"/>
      <c r="C31" s="672"/>
      <c r="D31" s="672"/>
      <c r="E31" s="672"/>
      <c r="F31" s="672"/>
      <c r="G31" s="672"/>
      <c r="H31" s="672"/>
      <c r="I31" s="672"/>
      <c r="J31" s="672"/>
      <c r="K31" s="672"/>
      <c r="L31" s="672"/>
      <c r="M31" s="672"/>
      <c r="N31" s="672"/>
      <c r="O31" s="672"/>
      <c r="P31" s="672"/>
      <c r="Q31" s="222"/>
      <c r="R31" s="153"/>
      <c r="S31" s="222"/>
      <c r="T31" s="222"/>
      <c r="U31" s="222"/>
      <c r="V31" s="222"/>
      <c r="W31" s="222"/>
      <c r="X31" s="222"/>
      <c r="Y31" s="222"/>
      <c r="Z31" s="156"/>
      <c r="AA31" s="156"/>
      <c r="AB31" s="156"/>
    </row>
    <row r="32" spans="1:40" s="28" customFormat="1" ht="9.75" customHeight="1">
      <c r="A32" s="18"/>
      <c r="B32" s="19"/>
      <c r="C32" s="19"/>
      <c r="D32" s="19"/>
      <c r="E32" s="19"/>
      <c r="F32" s="19"/>
      <c r="G32" s="19"/>
      <c r="H32" s="19"/>
      <c r="I32" s="19"/>
      <c r="J32" s="19"/>
      <c r="K32" s="19"/>
      <c r="L32" s="19"/>
      <c r="M32" s="36"/>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row>
    <row r="33" spans="1:40" s="31" customFormat="1" ht="18" customHeight="1">
      <c r="A33" s="324"/>
      <c r="B33" s="44" t="s">
        <v>55</v>
      </c>
      <c r="C33" s="44"/>
      <c r="D33" s="44"/>
      <c r="E33" s="44"/>
      <c r="F33" s="44"/>
      <c r="G33" s="44"/>
      <c r="H33" s="54"/>
      <c r="I33" s="53" t="s">
        <v>56</v>
      </c>
      <c r="J33" s="44"/>
      <c r="K33" s="44"/>
      <c r="L33" s="44"/>
      <c r="M33" s="44"/>
      <c r="N33" s="53" t="s">
        <v>57</v>
      </c>
      <c r="O33" s="44"/>
      <c r="P33" s="44"/>
      <c r="Q33" s="331" t="s">
        <v>189</v>
      </c>
      <c r="R33" s="332"/>
      <c r="S33" s="332"/>
      <c r="T33" s="153"/>
      <c r="U33" s="153"/>
      <c r="V33" s="153"/>
      <c r="W33" s="153"/>
      <c r="X33" s="153"/>
      <c r="Y33" s="153"/>
      <c r="Z33" s="153"/>
      <c r="AA33" s="153"/>
      <c r="AB33" s="153"/>
      <c r="AC33" s="153"/>
      <c r="AD33" s="153"/>
      <c r="AE33" s="153"/>
      <c r="AF33" s="153"/>
      <c r="AG33" s="153"/>
      <c r="AH33" s="153"/>
      <c r="AI33" s="153"/>
      <c r="AJ33" s="153"/>
      <c r="AK33" s="153"/>
      <c r="AL33" s="153"/>
      <c r="AM33" s="153"/>
      <c r="AN33" s="153"/>
    </row>
    <row r="34" spans="1:40" s="32" customFormat="1" ht="26.25" customHeight="1">
      <c r="A34" s="325"/>
      <c r="B34" s="317">
        <v>1</v>
      </c>
      <c r="C34" s="317">
        <v>2</v>
      </c>
      <c r="D34" s="317">
        <v>3</v>
      </c>
      <c r="E34" s="317">
        <v>4</v>
      </c>
      <c r="F34" s="317">
        <v>5</v>
      </c>
      <c r="G34" s="317">
        <v>6</v>
      </c>
      <c r="H34" s="174" t="s">
        <v>242</v>
      </c>
      <c r="I34" s="326" t="s">
        <v>140</v>
      </c>
      <c r="J34" s="317">
        <v>1</v>
      </c>
      <c r="K34" s="317">
        <v>2</v>
      </c>
      <c r="L34" s="317">
        <v>3</v>
      </c>
      <c r="M34" s="316" t="s">
        <v>139</v>
      </c>
      <c r="N34" s="316">
        <v>1</v>
      </c>
      <c r="O34" s="317">
        <v>2</v>
      </c>
      <c r="P34" s="316" t="s">
        <v>139</v>
      </c>
      <c r="Q34" s="331" t="s">
        <v>190</v>
      </c>
      <c r="R34" s="331" t="s">
        <v>191</v>
      </c>
      <c r="S34" s="331" t="s">
        <v>184</v>
      </c>
      <c r="T34" s="154"/>
      <c r="U34" s="154"/>
      <c r="V34" s="154"/>
      <c r="W34" s="154"/>
      <c r="X34" s="154"/>
      <c r="Y34" s="154"/>
      <c r="Z34" s="154"/>
      <c r="AA34" s="154"/>
      <c r="AB34" s="154"/>
      <c r="AC34" s="154"/>
      <c r="AD34" s="154"/>
      <c r="AE34" s="154"/>
      <c r="AF34" s="154"/>
      <c r="AG34" s="154"/>
      <c r="AH34" s="154"/>
      <c r="AI34" s="154"/>
      <c r="AJ34" s="154"/>
      <c r="AK34" s="154"/>
      <c r="AL34" s="154"/>
      <c r="AM34" s="154"/>
      <c r="AN34" s="154"/>
    </row>
    <row r="35" spans="1:40" ht="15.75" customHeight="1">
      <c r="A35" s="28" t="s">
        <v>141</v>
      </c>
      <c r="B35" s="122">
        <f>+'NEW...Tables 91-112'!D41</f>
        <v>6.4181533824008952</v>
      </c>
      <c r="C35" s="122">
        <f>+'NEW...Tables 91-112'!D72</f>
        <v>14.043271018723551</v>
      </c>
      <c r="D35" s="122">
        <f>+'NEW...Tables 91-112'!D102</f>
        <v>15.673180826194123</v>
      </c>
      <c r="E35" s="122">
        <f>+'NEW...Tables 91-112'!D133</f>
        <v>14.282229897168724</v>
      </c>
      <c r="F35" s="122">
        <f>+'NEW...Tables 91-112'!D164</f>
        <v>4.7415539332893788</v>
      </c>
      <c r="G35" s="122">
        <f>+'NEW...Tables 91-112'!D194</f>
        <v>71.653650624906291</v>
      </c>
      <c r="H35" s="116">
        <f>+'NEW...Tables 91-112'!D9</f>
        <v>12.04025697835899</v>
      </c>
      <c r="I35" s="119">
        <f>+'NEW...Tables 91-112'!D256</f>
        <v>0</v>
      </c>
      <c r="J35" s="122">
        <f>+'NEW...Tables 91-112'!D287</f>
        <v>25.189971665560094</v>
      </c>
      <c r="K35" s="122">
        <f>+'NEW...Tables 91-112'!D318</f>
        <v>16.68040013199748</v>
      </c>
      <c r="L35" s="122">
        <f>+'NEW...Tables 91-112'!D349</f>
        <v>23.36605021179874</v>
      </c>
      <c r="M35" s="119">
        <f>+'NEW...Tables 91-112'!D225</f>
        <v>20.190481134386374</v>
      </c>
      <c r="N35" s="327">
        <f>+'NEW...Tables 91-112'!D410</f>
        <v>6.8804966373512677</v>
      </c>
      <c r="O35" s="63">
        <f>+'NEW...Tables 91-112'!D440</f>
        <v>5.9183174370261682</v>
      </c>
      <c r="P35" s="119">
        <f>+'NEW...Tables 91-112'!D380</f>
        <v>6.2820512820512819</v>
      </c>
      <c r="Q35" s="333">
        <f>+'NEW...Tables 87-90'!H35-OLD...Tables!H34</f>
        <v>0.83360093410561653</v>
      </c>
      <c r="R35" s="333">
        <f>+'NEW...Tables 87-90'!M35-OLD...Tables!M34</f>
        <v>1.4791587761125875</v>
      </c>
      <c r="S35" s="333">
        <f>+'NEW...Tables 87-90'!P35-OLD...Tables!P34</f>
        <v>-1.175972119320523</v>
      </c>
      <c r="T35" s="87"/>
      <c r="U35" s="155"/>
      <c r="V35" s="155"/>
      <c r="W35" s="155"/>
      <c r="X35" s="222"/>
      <c r="Y35" s="87"/>
      <c r="Z35" s="87"/>
      <c r="AA35" s="87"/>
      <c r="AB35" s="156"/>
      <c r="AC35" s="222"/>
      <c r="AD35" s="87"/>
      <c r="AE35" s="87"/>
      <c r="AF35" s="87"/>
      <c r="AG35" s="155"/>
      <c r="AH35" s="155"/>
      <c r="AI35" s="155"/>
      <c r="AJ35" s="222"/>
      <c r="AK35" s="87"/>
      <c r="AL35" s="87"/>
      <c r="AM35" s="87"/>
      <c r="AN35" s="156"/>
    </row>
    <row r="36" spans="1:40" ht="15.75" customHeight="1">
      <c r="A36" s="28" t="s">
        <v>142</v>
      </c>
      <c r="B36" s="122">
        <f>+'NEW...Tables 91-112'!D42</f>
        <v>9.073235732896455</v>
      </c>
      <c r="C36" s="122">
        <f>+'NEW...Tables 91-112'!D73</f>
        <v>30.498112683231827</v>
      </c>
      <c r="D36" s="122">
        <f>+'NEW...Tables 91-112'!D103</f>
        <v>18.969633562289214</v>
      </c>
      <c r="E36" s="122">
        <f>+'NEW...Tables 91-112'!D134</f>
        <v>14.532277896454614</v>
      </c>
      <c r="F36" s="122">
        <f>+'NEW...Tables 91-112'!D165</f>
        <v>20.114892881824463</v>
      </c>
      <c r="G36" s="122">
        <f>+'NEW...Tables 91-112'!D195</f>
        <v>16.383615138548461</v>
      </c>
      <c r="H36" s="116">
        <f>+'NEW...Tables 91-112'!D10</f>
        <v>16.430934975718635</v>
      </c>
      <c r="I36" s="119">
        <f>+'NEW...Tables 91-112'!D257</f>
        <v>0</v>
      </c>
      <c r="J36" s="122">
        <f>+'NEW...Tables 91-112'!D288</f>
        <v>29.494480209396993</v>
      </c>
      <c r="K36" s="122">
        <f>+'NEW...Tables 91-112'!D319</f>
        <v>20.3559466993974</v>
      </c>
      <c r="L36" s="122">
        <f>+'NEW...Tables 91-112'!D350</f>
        <v>23.346722580687402</v>
      </c>
      <c r="M36" s="119">
        <f>+'NEW...Tables 91-112'!D226</f>
        <v>24.921592001674597</v>
      </c>
      <c r="N36" s="327">
        <f>+'NEW...Tables 91-112'!D411</f>
        <v>0</v>
      </c>
      <c r="O36" s="63">
        <f>+'NEW...Tables 91-112'!D441</f>
        <v>0</v>
      </c>
      <c r="P36" s="119">
        <f>+'NEW...Tables 91-112'!D381</f>
        <v>0</v>
      </c>
      <c r="Q36" s="333">
        <f>+'NEW...Tables 87-90'!H36-OLD...Tables!H35</f>
        <v>1.5504319616352991</v>
      </c>
      <c r="R36" s="333">
        <f>+'NEW...Tables 87-90'!M36-OLD...Tables!M35</f>
        <v>0.78060535321507274</v>
      </c>
      <c r="S36" s="333">
        <f>+'NEW...Tables 87-90'!P36-OLD...Tables!P35</f>
        <v>0</v>
      </c>
      <c r="T36" s="87"/>
      <c r="U36" s="155"/>
      <c r="V36" s="155"/>
      <c r="W36" s="155"/>
      <c r="X36" s="222"/>
      <c r="Y36" s="87"/>
      <c r="Z36" s="87"/>
      <c r="AA36" s="87"/>
      <c r="AB36" s="156"/>
      <c r="AC36" s="222"/>
      <c r="AD36" s="87"/>
      <c r="AE36" s="87"/>
      <c r="AF36" s="87"/>
      <c r="AG36" s="155"/>
      <c r="AH36" s="155"/>
      <c r="AI36" s="155"/>
      <c r="AJ36" s="222"/>
      <c r="AK36" s="87"/>
      <c r="AL36" s="87"/>
      <c r="AM36" s="87"/>
      <c r="AN36" s="156"/>
    </row>
    <row r="37" spans="1:40" ht="15.75" customHeight="1">
      <c r="A37" s="28" t="s">
        <v>143</v>
      </c>
      <c r="B37" s="122">
        <f>+'NEW...Tables 91-112'!D43</f>
        <v>2.8326989672508134</v>
      </c>
      <c r="C37" s="122">
        <f>+'NEW...Tables 91-112'!D74</f>
        <v>0</v>
      </c>
      <c r="D37" s="122">
        <f>+'NEW...Tables 91-112'!D104</f>
        <v>1.8369183380345062</v>
      </c>
      <c r="E37" s="122">
        <f>+'NEW...Tables 91-112'!D135</f>
        <v>0</v>
      </c>
      <c r="F37" s="122">
        <f>+'NEW...Tables 91-112'!D166</f>
        <v>0</v>
      </c>
      <c r="G37" s="122">
        <f>+'NEW...Tables 91-112'!D196</f>
        <v>0</v>
      </c>
      <c r="H37" s="116">
        <f>+'NEW...Tables 91-112'!D11</f>
        <v>2.6607088149803109</v>
      </c>
      <c r="I37" s="119">
        <f>+'NEW...Tables 91-112'!D258</f>
        <v>0</v>
      </c>
      <c r="J37" s="122">
        <f>+'NEW...Tables 91-112'!D289</f>
        <v>8.3769372246539024</v>
      </c>
      <c r="K37" s="122">
        <f>+'NEW...Tables 91-112'!D320</f>
        <v>12.595383411082615</v>
      </c>
      <c r="L37" s="122">
        <f>+'NEW...Tables 91-112'!D351</f>
        <v>0</v>
      </c>
      <c r="M37" s="119">
        <f>+'NEW...Tables 91-112'!D227</f>
        <v>10.605668326569315</v>
      </c>
      <c r="N37" s="327">
        <f>+'NEW...Tables 91-112'!D412</f>
        <v>0</v>
      </c>
      <c r="O37" s="63">
        <f>+'NEW...Tables 91-112'!D442</f>
        <v>0</v>
      </c>
      <c r="P37" s="119">
        <f>+'NEW...Tables 91-112'!D382</f>
        <v>0</v>
      </c>
      <c r="Q37" s="333">
        <f>+'NEW...Tables 87-90'!H37-OLD...Tables!H36</f>
        <v>0.22678256106779848</v>
      </c>
      <c r="R37" s="333">
        <f>+'NEW...Tables 87-90'!M37-OLD...Tables!M36</f>
        <v>0.62673567474492131</v>
      </c>
      <c r="S37" s="333">
        <f>+'NEW...Tables 87-90'!P37-OLD...Tables!P36</f>
        <v>0</v>
      </c>
      <c r="T37" s="87"/>
      <c r="U37" s="155"/>
      <c r="V37" s="157"/>
      <c r="W37" s="155"/>
      <c r="X37" s="222"/>
      <c r="Y37" s="87"/>
      <c r="Z37" s="87"/>
      <c r="AA37" s="87"/>
      <c r="AB37" s="156"/>
      <c r="AC37" s="222"/>
      <c r="AD37" s="87"/>
      <c r="AE37" s="87"/>
      <c r="AF37" s="87"/>
      <c r="AG37" s="155"/>
      <c r="AH37" s="155"/>
      <c r="AI37" s="155"/>
      <c r="AJ37" s="222"/>
      <c r="AK37" s="87"/>
      <c r="AL37" s="87"/>
      <c r="AM37" s="87"/>
      <c r="AN37" s="156"/>
    </row>
    <row r="38" spans="1:40" ht="15.75" customHeight="1">
      <c r="A38" s="28" t="s">
        <v>174</v>
      </c>
      <c r="B38" s="122">
        <f>+'NEW...Tables 91-112'!D44</f>
        <v>17.994315416839164</v>
      </c>
      <c r="C38" s="122">
        <f>+'NEW...Tables 91-112'!D75</f>
        <v>0</v>
      </c>
      <c r="D38" s="122">
        <f>+'NEW...Tables 91-112'!D105</f>
        <v>12.769140489161932</v>
      </c>
      <c r="E38" s="122">
        <f>+'NEW...Tables 91-112'!D136</f>
        <v>18.163042735347521</v>
      </c>
      <c r="F38" s="122">
        <f>+'NEW...Tables 91-112'!D167</f>
        <v>0</v>
      </c>
      <c r="G38" s="122">
        <f>+'NEW...Tables 91-112'!D197</f>
        <v>0</v>
      </c>
      <c r="H38" s="116">
        <f>+'NEW...Tables 91-112'!D12</f>
        <v>17.273667579385407</v>
      </c>
      <c r="I38" s="119">
        <f>+'NEW...Tables 91-112'!D259</f>
        <v>21.37686343541143</v>
      </c>
      <c r="J38" s="122">
        <f>+'NEW...Tables 91-112'!D290</f>
        <v>21.193892059479847</v>
      </c>
      <c r="K38" s="122">
        <f>+'NEW...Tables 91-112'!D321</f>
        <v>26.004357298474947</v>
      </c>
      <c r="L38" s="122">
        <f>+'NEW...Tables 91-112'!D352</f>
        <v>23.071648143769213</v>
      </c>
      <c r="M38" s="119">
        <f>+'NEW...Tables 91-112'!D228</f>
        <v>21.426957810348451</v>
      </c>
      <c r="N38" s="327">
        <f>+'NEW...Tables 91-112'!D413</f>
        <v>0</v>
      </c>
      <c r="O38" s="63">
        <f>+'NEW...Tables 91-112'!D443</f>
        <v>0</v>
      </c>
      <c r="P38" s="119">
        <f>+'NEW...Tables 91-112'!D383</f>
        <v>0</v>
      </c>
      <c r="Q38" s="333">
        <f>+'NEW...Tables 87-90'!H38-OLD...Tables!H37</f>
        <v>5.9164450257053307</v>
      </c>
      <c r="R38" s="333">
        <f>+'NEW...Tables 87-90'!M38-OLD...Tables!M37</f>
        <v>1.7849490823439851</v>
      </c>
      <c r="S38" s="333">
        <f>+'NEW...Tables 87-90'!P38-OLD...Tables!P37</f>
        <v>0</v>
      </c>
      <c r="T38" s="87"/>
      <c r="U38" s="155"/>
      <c r="V38" s="155"/>
      <c r="W38" s="155"/>
      <c r="X38" s="222"/>
      <c r="Y38" s="87"/>
      <c r="Z38" s="87"/>
      <c r="AA38" s="87"/>
      <c r="AB38" s="156"/>
      <c r="AC38" s="222"/>
      <c r="AD38" s="87"/>
      <c r="AE38" s="87"/>
      <c r="AF38" s="87"/>
      <c r="AG38" s="155"/>
      <c r="AH38" s="155"/>
      <c r="AI38" s="155"/>
      <c r="AJ38" s="222"/>
      <c r="AK38" s="87"/>
      <c r="AL38" s="87"/>
      <c r="AM38" s="87"/>
      <c r="AN38" s="156"/>
    </row>
    <row r="39" spans="1:40" ht="15.75" customHeight="1">
      <c r="A39" s="28"/>
      <c r="B39" s="122"/>
      <c r="C39" s="122"/>
      <c r="D39" s="122"/>
      <c r="E39" s="122"/>
      <c r="F39" s="122"/>
      <c r="G39" s="122"/>
      <c r="H39" s="116"/>
      <c r="I39" s="119"/>
      <c r="J39" s="122"/>
      <c r="K39" s="122"/>
      <c r="L39" s="122"/>
      <c r="M39" s="119"/>
      <c r="N39" s="327"/>
      <c r="O39" s="63"/>
      <c r="P39" s="119"/>
      <c r="Q39" s="333"/>
      <c r="R39" s="333"/>
      <c r="S39" s="333"/>
      <c r="T39" s="87"/>
      <c r="U39" s="155"/>
      <c r="V39" s="155"/>
      <c r="W39" s="155"/>
      <c r="X39" s="222"/>
      <c r="Y39" s="87"/>
      <c r="Z39" s="87"/>
      <c r="AA39" s="87"/>
      <c r="AB39" s="156"/>
      <c r="AC39" s="222"/>
      <c r="AD39" s="87"/>
      <c r="AE39" s="87"/>
      <c r="AF39" s="87"/>
      <c r="AG39" s="155"/>
      <c r="AH39" s="155"/>
      <c r="AI39" s="155"/>
      <c r="AJ39" s="222"/>
      <c r="AK39" s="87"/>
      <c r="AL39" s="87"/>
      <c r="AM39" s="87"/>
      <c r="AN39" s="156"/>
    </row>
    <row r="40" spans="1:40" ht="15.75" customHeight="1">
      <c r="A40" s="28" t="s">
        <v>145</v>
      </c>
      <c r="B40" s="122">
        <f>+'NEW...Tables 91-112'!D46</f>
        <v>3.4558407304527652</v>
      </c>
      <c r="C40" s="122">
        <f>+'NEW...Tables 91-112'!D77</f>
        <v>0.17115501654420764</v>
      </c>
      <c r="D40" s="122">
        <f>+'NEW...Tables 91-112'!D107</f>
        <v>15.974209650078887</v>
      </c>
      <c r="E40" s="122">
        <f>+'NEW...Tables 91-112'!D138</f>
        <v>11.231199741788425</v>
      </c>
      <c r="F40" s="122">
        <f>+'NEW...Tables 91-112'!D169</f>
        <v>13.756798058339701</v>
      </c>
      <c r="G40" s="122">
        <f>+'NEW...Tables 91-112'!D199</f>
        <v>7.6536117811349502</v>
      </c>
      <c r="H40" s="116">
        <f>+'NEW...Tables 91-112'!D14</f>
        <v>9.7925708822266202</v>
      </c>
      <c r="I40" s="119">
        <f>+'NEW...Tables 91-112'!D261</f>
        <v>6.8317017097184207</v>
      </c>
      <c r="J40" s="122">
        <f>+'NEW...Tables 91-112'!D292</f>
        <v>21.582950572353205</v>
      </c>
      <c r="K40" s="122">
        <f>+'NEW...Tables 91-112'!D323</f>
        <v>24.248405901207242</v>
      </c>
      <c r="L40" s="122">
        <f>+'NEW...Tables 91-112'!D354</f>
        <v>0</v>
      </c>
      <c r="M40" s="119">
        <f>+'NEW...Tables 91-112'!D230</f>
        <v>19.680026949220213</v>
      </c>
      <c r="N40" s="327">
        <f>+'NEW...Tables 91-112'!D415</f>
        <v>30.916041626609935</v>
      </c>
      <c r="O40" s="63">
        <f>+'NEW...Tables 91-112'!D445</f>
        <v>0</v>
      </c>
      <c r="P40" s="119">
        <f>+'NEW...Tables 91-112'!D385</f>
        <v>30.916041626609935</v>
      </c>
      <c r="Q40" s="333">
        <f>+'NEW...Tables 87-90'!H40-OLD...Tables!H39</f>
        <v>9.7925708822266202</v>
      </c>
      <c r="R40" s="333">
        <f>+'NEW...Tables 87-90'!M40-OLD...Tables!M39</f>
        <v>19.680026949220213</v>
      </c>
      <c r="S40" s="333">
        <f>+'NEW...Tables 87-90'!P40-OLD...Tables!P39</f>
        <v>-0.1118865283417918</v>
      </c>
      <c r="T40" s="87"/>
      <c r="U40" s="155"/>
      <c r="V40" s="155"/>
      <c r="W40" s="155"/>
      <c r="X40" s="222"/>
      <c r="Y40" s="87"/>
      <c r="Z40" s="87"/>
      <c r="AA40" s="87"/>
      <c r="AB40" s="156"/>
      <c r="AC40" s="222"/>
      <c r="AD40" s="87"/>
      <c r="AE40" s="87"/>
      <c r="AF40" s="87"/>
      <c r="AG40" s="155"/>
      <c r="AH40" s="155"/>
      <c r="AI40" s="155"/>
      <c r="AJ40" s="222"/>
      <c r="AK40" s="87"/>
      <c r="AL40" s="87"/>
      <c r="AM40" s="87"/>
      <c r="AN40" s="156"/>
    </row>
    <row r="41" spans="1:40" ht="15.75" customHeight="1">
      <c r="A41" s="28" t="s">
        <v>146</v>
      </c>
      <c r="B41" s="122">
        <f>+'NEW...Tables 91-112'!D47</f>
        <v>7.386633504334819</v>
      </c>
      <c r="C41" s="122">
        <f>+'NEW...Tables 91-112'!D78</f>
        <v>0</v>
      </c>
      <c r="D41" s="122">
        <f>+'NEW...Tables 91-112'!D108</f>
        <v>17.356784958896068</v>
      </c>
      <c r="E41" s="122">
        <f>+'NEW...Tables 91-112'!D139</f>
        <v>25.849012578749765</v>
      </c>
      <c r="F41" s="122">
        <f>+'NEW...Tables 91-112'!D170</f>
        <v>0</v>
      </c>
      <c r="G41" s="122">
        <f>+'NEW...Tables 91-112'!D200</f>
        <v>0</v>
      </c>
      <c r="H41" s="116">
        <f>+'NEW...Tables 91-112'!D15</f>
        <v>13.646225680220676</v>
      </c>
      <c r="I41" s="119">
        <f>+'NEW...Tables 91-112'!D262</f>
        <v>0</v>
      </c>
      <c r="J41" s="122">
        <f>+'NEW...Tables 91-112'!D293</f>
        <v>27.483534360074302</v>
      </c>
      <c r="K41" s="122">
        <f>+'NEW...Tables 91-112'!D324</f>
        <v>38.969973477117193</v>
      </c>
      <c r="L41" s="122">
        <f>+'NEW...Tables 91-112'!D355</f>
        <v>42.063609249032865</v>
      </c>
      <c r="M41" s="119">
        <f>+'NEW...Tables 91-112'!D231</f>
        <v>35.398201480710959</v>
      </c>
      <c r="N41" s="327">
        <f>+'NEW...Tables 91-112'!D416</f>
        <v>28.367048437438786</v>
      </c>
      <c r="O41" s="63">
        <f>+'NEW...Tables 91-112'!D446</f>
        <v>0</v>
      </c>
      <c r="P41" s="119">
        <f>+'NEW...Tables 91-112'!D386</f>
        <v>28.367048437438786</v>
      </c>
      <c r="Q41" s="333">
        <f>+'NEW...Tables 87-90'!H41-OLD...Tables!H40</f>
        <v>0.83167669321067983</v>
      </c>
      <c r="R41" s="333">
        <f>+'NEW...Tables 87-90'!M41-OLD...Tables!M40</f>
        <v>1.8205679174078497</v>
      </c>
      <c r="S41" s="333">
        <f>+'NEW...Tables 87-90'!P41-OLD...Tables!P40</f>
        <v>-0.84095497458116597</v>
      </c>
      <c r="T41" s="87"/>
      <c r="U41" s="155"/>
      <c r="V41" s="155"/>
      <c r="W41" s="155"/>
      <c r="X41" s="222"/>
      <c r="Y41" s="87"/>
      <c r="Z41" s="87"/>
      <c r="AA41" s="87"/>
      <c r="AB41" s="156"/>
      <c r="AC41" s="222"/>
      <c r="AD41" s="87"/>
      <c r="AE41" s="87"/>
      <c r="AF41" s="87"/>
      <c r="AG41" s="155"/>
      <c r="AH41" s="155"/>
      <c r="AI41" s="155"/>
      <c r="AJ41" s="222"/>
      <c r="AK41" s="87"/>
      <c r="AL41" s="87"/>
      <c r="AM41" s="87"/>
      <c r="AN41" s="156"/>
    </row>
    <row r="42" spans="1:40" ht="15.75" customHeight="1">
      <c r="A42" s="28" t="s">
        <v>147</v>
      </c>
      <c r="B42" s="122">
        <f>+'NEW...Tables 91-112'!D48</f>
        <v>0</v>
      </c>
      <c r="C42" s="122">
        <f>+'NEW...Tables 91-112'!D79</f>
        <v>0</v>
      </c>
      <c r="D42" s="122">
        <f>+'NEW...Tables 91-112'!D109</f>
        <v>0</v>
      </c>
      <c r="E42" s="122">
        <f>+'NEW...Tables 91-112'!D140</f>
        <v>0</v>
      </c>
      <c r="F42" s="122">
        <f>+'NEW...Tables 91-112'!D171</f>
        <v>0</v>
      </c>
      <c r="G42" s="122">
        <f>+'NEW...Tables 91-112'!D201</f>
        <v>0</v>
      </c>
      <c r="H42" s="116">
        <f>+'NEW...Tables 91-112'!D16</f>
        <v>0</v>
      </c>
      <c r="I42" s="119">
        <f>+'NEW...Tables 91-112'!D263</f>
        <v>0</v>
      </c>
      <c r="J42" s="122">
        <f>+'NEW...Tables 91-112'!D294</f>
        <v>0</v>
      </c>
      <c r="K42" s="122">
        <f>+'NEW...Tables 91-112'!D325</f>
        <v>0</v>
      </c>
      <c r="L42" s="122">
        <f>+'NEW...Tables 91-112'!D356</f>
        <v>0</v>
      </c>
      <c r="M42" s="119">
        <f>+'NEW...Tables 91-112'!D232</f>
        <v>0</v>
      </c>
      <c r="N42" s="327">
        <f>+'NEW...Tables 91-112'!D417</f>
        <v>0</v>
      </c>
      <c r="O42" s="63">
        <f>+'NEW...Tables 91-112'!D447</f>
        <v>0</v>
      </c>
      <c r="P42" s="119">
        <f>+'NEW...Tables 91-112'!D387</f>
        <v>0</v>
      </c>
      <c r="Q42" s="333">
        <f>+'NEW...Tables 87-90'!H42-OLD...Tables!H41</f>
        <v>0</v>
      </c>
      <c r="R42" s="333">
        <f>+'NEW...Tables 87-90'!M42-OLD...Tables!M41</f>
        <v>0</v>
      </c>
      <c r="S42" s="333">
        <f>+'NEW...Tables 87-90'!P42-OLD...Tables!P41</f>
        <v>0</v>
      </c>
      <c r="T42" s="87"/>
      <c r="U42" s="155"/>
      <c r="V42" s="155"/>
      <c r="W42" s="155"/>
      <c r="X42" s="222"/>
      <c r="Y42" s="87"/>
      <c r="Z42" s="87"/>
      <c r="AA42" s="87"/>
      <c r="AB42" s="156"/>
      <c r="AC42" s="222"/>
      <c r="AD42" s="87"/>
      <c r="AE42" s="87"/>
      <c r="AF42" s="87"/>
      <c r="AG42" s="155"/>
      <c r="AH42" s="155"/>
      <c r="AI42" s="155"/>
      <c r="AJ42" s="222"/>
      <c r="AK42" s="87"/>
      <c r="AL42" s="87"/>
      <c r="AM42" s="87"/>
      <c r="AN42" s="156"/>
    </row>
    <row r="43" spans="1:40" ht="15.75" customHeight="1">
      <c r="A43" s="28" t="s">
        <v>177</v>
      </c>
      <c r="B43" s="122">
        <f>+'NEW...Tables 91-112'!D49</f>
        <v>2.6955392139123315</v>
      </c>
      <c r="C43" s="122">
        <f>+'NEW...Tables 91-112'!D80</f>
        <v>8.1967576454848423</v>
      </c>
      <c r="D43" s="122">
        <f>+'NEW...Tables 91-112'!D110</f>
        <v>8.2882822630685258</v>
      </c>
      <c r="E43" s="122">
        <f>+'NEW...Tables 91-112'!D141</f>
        <v>13.507051043536654</v>
      </c>
      <c r="F43" s="122">
        <f>+'NEW...Tables 91-112'!D172</f>
        <v>15.547620036263476</v>
      </c>
      <c r="G43" s="122">
        <f>+'NEW...Tables 91-112'!D202</f>
        <v>0</v>
      </c>
      <c r="H43" s="116">
        <f>+'NEW...Tables 91-112'!D17</f>
        <v>23.960286509936548</v>
      </c>
      <c r="I43" s="119">
        <f>+'NEW...Tables 91-112'!D264</f>
        <v>0</v>
      </c>
      <c r="J43" s="122">
        <f>+'NEW...Tables 91-112'!D295</f>
        <v>14.999656276842375</v>
      </c>
      <c r="K43" s="122">
        <f>+'NEW...Tables 91-112'!D326</f>
        <v>19.846918725194243</v>
      </c>
      <c r="L43" s="122">
        <f>+'NEW...Tables 91-112'!D357</f>
        <v>20.915549256877068</v>
      </c>
      <c r="M43" s="119">
        <f>+'NEW...Tables 91-112'!D233</f>
        <v>16.286658067215171</v>
      </c>
      <c r="N43" s="327">
        <f>+'NEW...Tables 91-112'!D418</f>
        <v>0</v>
      </c>
      <c r="O43" s="63">
        <f>+'NEW...Tables 91-112'!D448</f>
        <v>0</v>
      </c>
      <c r="P43" s="119">
        <f>+'NEW...Tables 91-112'!D388</f>
        <v>0</v>
      </c>
      <c r="Q43" s="333">
        <f>+'NEW...Tables 87-90'!H43-OLD...Tables!H42</f>
        <v>1.6196213803767634</v>
      </c>
      <c r="R43" s="333">
        <f>+'NEW...Tables 87-90'!M43-OLD...Tables!M42</f>
        <v>-0.33597052450051734</v>
      </c>
      <c r="S43" s="333">
        <f>+'NEW...Tables 87-90'!P43-OLD...Tables!P42</f>
        <v>0</v>
      </c>
      <c r="T43" s="87"/>
      <c r="U43" s="157"/>
      <c r="V43" s="155"/>
      <c r="W43" s="155"/>
      <c r="X43" s="222"/>
      <c r="Y43" s="87"/>
      <c r="Z43" s="87"/>
      <c r="AA43" s="87"/>
      <c r="AB43" s="156"/>
      <c r="AC43" s="222"/>
      <c r="AD43" s="87"/>
      <c r="AE43" s="87"/>
      <c r="AF43" s="87"/>
      <c r="AG43" s="155"/>
      <c r="AH43" s="155"/>
      <c r="AI43" s="155"/>
      <c r="AJ43" s="222"/>
      <c r="AK43" s="87"/>
      <c r="AL43" s="87"/>
      <c r="AM43" s="87"/>
      <c r="AN43" s="156"/>
    </row>
    <row r="44" spans="1:40" ht="15.75" customHeight="1">
      <c r="A44" s="28"/>
      <c r="B44" s="122"/>
      <c r="C44" s="122"/>
      <c r="D44" s="122"/>
      <c r="E44" s="122"/>
      <c r="F44" s="122"/>
      <c r="G44" s="122"/>
      <c r="H44" s="116"/>
      <c r="I44" s="119"/>
      <c r="J44" s="122"/>
      <c r="K44" s="122"/>
      <c r="L44" s="122"/>
      <c r="M44" s="119"/>
      <c r="N44" s="327"/>
      <c r="O44" s="63"/>
      <c r="P44" s="119"/>
      <c r="Q44" s="333"/>
      <c r="R44" s="333"/>
      <c r="S44" s="333"/>
      <c r="T44" s="87"/>
      <c r="U44" s="157"/>
      <c r="V44" s="155"/>
      <c r="W44" s="155"/>
      <c r="X44" s="222"/>
      <c r="Y44" s="87"/>
      <c r="Z44" s="87"/>
      <c r="AA44" s="87"/>
      <c r="AB44" s="156"/>
      <c r="AC44" s="222"/>
      <c r="AD44" s="87"/>
      <c r="AE44" s="87"/>
      <c r="AF44" s="87"/>
      <c r="AG44" s="155"/>
      <c r="AH44" s="155"/>
      <c r="AI44" s="155"/>
      <c r="AJ44" s="222"/>
      <c r="AK44" s="87"/>
      <c r="AL44" s="87"/>
      <c r="AM44" s="87"/>
      <c r="AN44" s="156"/>
    </row>
    <row r="45" spans="1:40" ht="15.75" customHeight="1">
      <c r="A45" s="28" t="s">
        <v>179</v>
      </c>
      <c r="B45" s="122">
        <f>+'NEW...Tables 91-112'!D51</f>
        <v>9.845509068215712</v>
      </c>
      <c r="C45" s="122">
        <f>+'NEW...Tables 91-112'!D82</f>
        <v>8.4784705365332833</v>
      </c>
      <c r="D45" s="122">
        <f>+'NEW...Tables 91-112'!D112</f>
        <v>0</v>
      </c>
      <c r="E45" s="122">
        <f>+'NEW...Tables 91-112'!D143</f>
        <v>16.881344698354216</v>
      </c>
      <c r="F45" s="122">
        <f>+'NEW...Tables 91-112'!D174</f>
        <v>50.127035454440474</v>
      </c>
      <c r="G45" s="122">
        <f>+'NEW...Tables 91-112'!D204</f>
        <v>0</v>
      </c>
      <c r="H45" s="116">
        <f>+'NEW...Tables 91-112'!D19</f>
        <v>11.726077999089027</v>
      </c>
      <c r="I45" s="119">
        <f>+'NEW...Tables 91-112'!D266</f>
        <v>0</v>
      </c>
      <c r="J45" s="122">
        <f>+'NEW...Tables 91-112'!D297</f>
        <v>22.787340481481525</v>
      </c>
      <c r="K45" s="122">
        <f>+'NEW...Tables 91-112'!D328</f>
        <v>21.66216645310357</v>
      </c>
      <c r="L45" s="122">
        <f>+'NEW...Tables 91-112'!D359</f>
        <v>16.183164879253145</v>
      </c>
      <c r="M45" s="119">
        <f>+'NEW...Tables 91-112'!D235</f>
        <v>21.882297175796474</v>
      </c>
      <c r="N45" s="327">
        <f>+'NEW...Tables 91-112'!D420</f>
        <v>0</v>
      </c>
      <c r="O45" s="63">
        <f>+'NEW...Tables 91-112'!D450</f>
        <v>0</v>
      </c>
      <c r="P45" s="119">
        <f>+'NEW...Tables 91-112'!D390</f>
        <v>0</v>
      </c>
      <c r="Q45" s="333">
        <f>+'NEW...Tables 87-90'!H45-OLD...Tables!H44</f>
        <v>0.52934878953198172</v>
      </c>
      <c r="R45" s="333">
        <f>+'NEW...Tables 87-90'!M45-OLD...Tables!M44</f>
        <v>1.8068225172486443</v>
      </c>
      <c r="S45" s="333">
        <f>+'NEW...Tables 87-90'!P45-OLD...Tables!P44</f>
        <v>0</v>
      </c>
      <c r="T45" s="87"/>
      <c r="U45" s="155"/>
      <c r="V45" s="155"/>
      <c r="W45" s="155"/>
      <c r="X45" s="222"/>
      <c r="Y45" s="87"/>
      <c r="Z45" s="87"/>
      <c r="AA45" s="87"/>
      <c r="AB45" s="156"/>
      <c r="AC45" s="222"/>
      <c r="AD45" s="87"/>
      <c r="AE45" s="87"/>
      <c r="AF45" s="87"/>
      <c r="AG45" s="155"/>
      <c r="AH45" s="155"/>
      <c r="AI45" s="155"/>
      <c r="AJ45" s="222"/>
      <c r="AK45" s="87"/>
      <c r="AL45" s="87"/>
      <c r="AM45" s="87"/>
      <c r="AN45" s="156"/>
    </row>
    <row r="46" spans="1:40" ht="15.75" customHeight="1">
      <c r="A46" s="28" t="s">
        <v>149</v>
      </c>
      <c r="B46" s="122">
        <f>+'NEW...Tables 91-112'!D52</f>
        <v>10.490935650644287</v>
      </c>
      <c r="C46" s="122">
        <f>+'NEW...Tables 91-112'!D83</f>
        <v>17.656854417857389</v>
      </c>
      <c r="D46" s="122">
        <f>+'NEW...Tables 91-112'!D113</f>
        <v>9.4979872098157347</v>
      </c>
      <c r="E46" s="122">
        <f>+'NEW...Tables 91-112'!D144</f>
        <v>21.764646498637145</v>
      </c>
      <c r="F46" s="122">
        <f>+'NEW...Tables 91-112'!D175</f>
        <v>18.599578375176403</v>
      </c>
      <c r="G46" s="122">
        <f>+'NEW...Tables 91-112'!D205</f>
        <v>10.297481422866259</v>
      </c>
      <c r="H46" s="116">
        <f>+'NEW...Tables 91-112'!D20</f>
        <v>11.845159473850549</v>
      </c>
      <c r="I46" s="119">
        <f>+'NEW...Tables 91-112'!D267</f>
        <v>0</v>
      </c>
      <c r="J46" s="122">
        <f>+'NEW...Tables 91-112'!D298</f>
        <v>37.244543520217576</v>
      </c>
      <c r="K46" s="122">
        <f>+'NEW...Tables 91-112'!D329</f>
        <v>39.908164942440791</v>
      </c>
      <c r="L46" s="122">
        <f>+'NEW...Tables 91-112'!D360</f>
        <v>42.064189766208187</v>
      </c>
      <c r="M46" s="119">
        <f>+'NEW...Tables 91-112'!D236</f>
        <v>39.019973611353663</v>
      </c>
      <c r="N46" s="327">
        <f>+'NEW...Tables 91-112'!D421</f>
        <v>0</v>
      </c>
      <c r="O46" s="63">
        <f>+'NEW...Tables 91-112'!D451</f>
        <v>0</v>
      </c>
      <c r="P46" s="119">
        <f>+'NEW...Tables 91-112'!D391</f>
        <v>0</v>
      </c>
      <c r="Q46" s="333">
        <f>+'NEW...Tables 87-90'!H46-OLD...Tables!H45</f>
        <v>1.1401509205144258</v>
      </c>
      <c r="R46" s="333">
        <f>+'NEW...Tables 87-90'!M46-OLD...Tables!M45</f>
        <v>2.6352583628398492</v>
      </c>
      <c r="S46" s="333">
        <f>+'NEW...Tables 87-90'!P46-OLD...Tables!P45</f>
        <v>0</v>
      </c>
      <c r="T46" s="87"/>
      <c r="U46" s="155"/>
      <c r="V46" s="155"/>
      <c r="W46" s="155"/>
      <c r="X46" s="222"/>
      <c r="Y46" s="87"/>
      <c r="Z46" s="87"/>
      <c r="AA46" s="87"/>
      <c r="AB46" s="156"/>
      <c r="AC46" s="222"/>
      <c r="AD46" s="87"/>
      <c r="AE46" s="87"/>
      <c r="AF46" s="87"/>
      <c r="AG46" s="155"/>
      <c r="AH46" s="155"/>
      <c r="AI46" s="155"/>
      <c r="AJ46" s="222"/>
      <c r="AK46" s="87"/>
      <c r="AL46" s="87"/>
      <c r="AM46" s="87"/>
      <c r="AN46" s="156"/>
    </row>
    <row r="47" spans="1:40" ht="15.75" customHeight="1">
      <c r="A47" s="28" t="s">
        <v>150</v>
      </c>
      <c r="B47" s="122">
        <f>+'NEW...Tables 91-112'!D53</f>
        <v>12.021590785735409</v>
      </c>
      <c r="C47" s="122">
        <f>+'NEW...Tables 91-112'!D84</f>
        <v>0</v>
      </c>
      <c r="D47" s="122">
        <f>+'NEW...Tables 91-112'!D114</f>
        <v>18.691282260591972</v>
      </c>
      <c r="E47" s="122">
        <f>+'NEW...Tables 91-112'!D145</f>
        <v>33.959325452406297</v>
      </c>
      <c r="F47" s="122">
        <f>+'NEW...Tables 91-112'!D176</f>
        <v>17.774058881020249</v>
      </c>
      <c r="G47" s="122">
        <f>+'NEW...Tables 91-112'!D206</f>
        <v>22.057134511077031</v>
      </c>
      <c r="H47" s="116">
        <f>+'NEW...Tables 91-112'!D21</f>
        <v>15.789633706630076</v>
      </c>
      <c r="I47" s="119">
        <f>+'NEW...Tables 91-112'!D268</f>
        <v>28.309638624086073</v>
      </c>
      <c r="J47" s="122">
        <f>+'NEW...Tables 91-112'!D299</f>
        <v>26.190792588224546</v>
      </c>
      <c r="K47" s="122">
        <f>+'NEW...Tables 91-112'!D330</f>
        <v>16.716626427583215</v>
      </c>
      <c r="L47" s="122">
        <f>+'NEW...Tables 91-112'!D361</f>
        <v>26.723734279477426</v>
      </c>
      <c r="M47" s="119">
        <f>+'NEW...Tables 91-112'!D237</f>
        <v>25.646618817482487</v>
      </c>
      <c r="N47" s="327">
        <f>+'NEW...Tables 91-112'!D422</f>
        <v>0</v>
      </c>
      <c r="O47" s="63">
        <f>+'NEW...Tables 91-112'!D452</f>
        <v>0</v>
      </c>
      <c r="P47" s="119">
        <f>+'NEW...Tables 91-112'!D392</f>
        <v>0</v>
      </c>
      <c r="Q47" s="333">
        <f>+'NEW...Tables 87-90'!H47-OLD...Tables!H46</f>
        <v>0.71584548557772365</v>
      </c>
      <c r="R47" s="333">
        <f>+'NEW...Tables 87-90'!M47-OLD...Tables!M46</f>
        <v>1.1980075625207611</v>
      </c>
      <c r="S47" s="333">
        <f>+'NEW...Tables 87-90'!P47-OLD...Tables!P46</f>
        <v>0</v>
      </c>
      <c r="T47" s="87"/>
      <c r="U47" s="155"/>
      <c r="V47" s="155"/>
      <c r="W47" s="155"/>
      <c r="X47" s="222"/>
      <c r="Y47" s="87"/>
      <c r="Z47" s="87"/>
      <c r="AA47" s="87"/>
      <c r="AB47" s="156"/>
      <c r="AC47" s="222"/>
      <c r="AD47" s="87"/>
      <c r="AE47" s="87"/>
      <c r="AF47" s="87"/>
      <c r="AG47" s="155"/>
      <c r="AH47" s="155"/>
      <c r="AI47" s="155"/>
      <c r="AJ47" s="222"/>
      <c r="AK47" s="87"/>
      <c r="AL47" s="87"/>
      <c r="AM47" s="87"/>
      <c r="AN47" s="156"/>
    </row>
    <row r="48" spans="1:40" ht="15.75" customHeight="1">
      <c r="A48" s="28" t="s">
        <v>151</v>
      </c>
      <c r="B48" s="122">
        <f>+'NEW...Tables 91-112'!D54</f>
        <v>8.0725592051462876</v>
      </c>
      <c r="C48" s="122">
        <f>+'NEW...Tables 91-112'!D85</f>
        <v>0</v>
      </c>
      <c r="D48" s="122">
        <f>+'NEW...Tables 91-112'!D115</f>
        <v>2.9969228477706724</v>
      </c>
      <c r="E48" s="122">
        <f>+'NEW...Tables 91-112'!D146</f>
        <v>0</v>
      </c>
      <c r="F48" s="122">
        <f>+'NEW...Tables 91-112'!D177</f>
        <v>7.4990288706667991</v>
      </c>
      <c r="G48" s="122">
        <f>+'NEW...Tables 91-112'!D207</f>
        <v>10.126997490665167</v>
      </c>
      <c r="H48" s="116">
        <f>+'NEW...Tables 91-112'!D22</f>
        <v>7.2157309367464997</v>
      </c>
      <c r="I48" s="119">
        <f>+'NEW...Tables 91-112'!D269</f>
        <v>0</v>
      </c>
      <c r="J48" s="122">
        <f>+'NEW...Tables 91-112'!D300</f>
        <v>26.490925270976348</v>
      </c>
      <c r="K48" s="122">
        <f>+'NEW...Tables 91-112'!D331</f>
        <v>20.321651232044438</v>
      </c>
      <c r="L48" s="122">
        <f>+'NEW...Tables 91-112'!D362</f>
        <v>13.761648707127403</v>
      </c>
      <c r="M48" s="119">
        <f>+'NEW...Tables 91-112'!D238</f>
        <v>23.867029918082654</v>
      </c>
      <c r="N48" s="327">
        <f>+'NEW...Tables 91-112'!D423</f>
        <v>0</v>
      </c>
      <c r="O48" s="63">
        <f>+'NEW...Tables 91-112'!D453</f>
        <v>0</v>
      </c>
      <c r="P48" s="119">
        <f>+'NEW...Tables 91-112'!D393</f>
        <v>0</v>
      </c>
      <c r="Q48" s="333">
        <f>+'NEW...Tables 87-90'!H48-OLD...Tables!H47</f>
        <v>2.3029964887725081</v>
      </c>
      <c r="R48" s="333">
        <f>+'NEW...Tables 87-90'!M48-OLD...Tables!M47</f>
        <v>4.0199262783058671</v>
      </c>
      <c r="S48" s="333">
        <f>+'NEW...Tables 87-90'!P48-OLD...Tables!P47</f>
        <v>0</v>
      </c>
      <c r="T48" s="87"/>
      <c r="U48" s="155"/>
      <c r="V48" s="155"/>
      <c r="W48" s="155"/>
      <c r="X48" s="222"/>
      <c r="Y48" s="87"/>
      <c r="Z48" s="87"/>
      <c r="AA48" s="87"/>
      <c r="AB48" s="156"/>
      <c r="AC48" s="156"/>
      <c r="AD48" s="156"/>
      <c r="AE48" s="156"/>
      <c r="AF48" s="156"/>
      <c r="AG48" s="156"/>
      <c r="AH48" s="156"/>
      <c r="AI48" s="156"/>
      <c r="AJ48" s="156"/>
      <c r="AK48" s="156"/>
      <c r="AL48" s="156"/>
      <c r="AM48" s="156"/>
      <c r="AN48" s="156"/>
    </row>
    <row r="49" spans="1:40" ht="15.75" customHeight="1">
      <c r="A49" s="28"/>
      <c r="B49" s="122"/>
      <c r="C49" s="122"/>
      <c r="D49" s="122"/>
      <c r="E49" s="122"/>
      <c r="F49" s="122"/>
      <c r="G49" s="122"/>
      <c r="H49" s="116"/>
      <c r="I49" s="119"/>
      <c r="J49" s="122"/>
      <c r="K49" s="122"/>
      <c r="L49" s="122"/>
      <c r="M49" s="119"/>
      <c r="N49" s="327"/>
      <c r="O49" s="63"/>
      <c r="P49" s="119"/>
      <c r="Q49" s="333"/>
      <c r="R49" s="333"/>
      <c r="S49" s="333"/>
      <c r="T49" s="87"/>
      <c r="U49" s="155"/>
      <c r="V49" s="155"/>
      <c r="W49" s="155"/>
      <c r="X49" s="222"/>
      <c r="Y49" s="87"/>
      <c r="Z49" s="87"/>
      <c r="AA49" s="87"/>
      <c r="AB49" s="156"/>
      <c r="AC49" s="156"/>
      <c r="AD49" s="156"/>
      <c r="AE49" s="156"/>
      <c r="AF49" s="156"/>
      <c r="AG49" s="156"/>
      <c r="AH49" s="156"/>
      <c r="AI49" s="156"/>
      <c r="AJ49" s="156"/>
      <c r="AK49" s="156"/>
      <c r="AL49" s="156"/>
      <c r="AM49" s="156"/>
      <c r="AN49" s="156"/>
    </row>
    <row r="50" spans="1:40" ht="15.75" customHeight="1">
      <c r="A50" s="28" t="s">
        <v>152</v>
      </c>
      <c r="B50" s="122">
        <f>+'NEW...Tables 91-112'!D56</f>
        <v>10.19529986794457</v>
      </c>
      <c r="C50" s="122">
        <f>+'NEW...Tables 91-112'!D87</f>
        <v>8.4719470510113002</v>
      </c>
      <c r="D50" s="122">
        <f>+'NEW...Tables 91-112'!D117</f>
        <v>22.023266275162282</v>
      </c>
      <c r="E50" s="122">
        <f>+'NEW...Tables 91-112'!D148</f>
        <v>0</v>
      </c>
      <c r="F50" s="122">
        <f>+'NEW...Tables 91-112'!D179</f>
        <v>10.108690406610437</v>
      </c>
      <c r="G50" s="122">
        <f>+'NEW...Tables 91-112'!D209</f>
        <v>0</v>
      </c>
      <c r="H50" s="116">
        <f>+'NEW...Tables 91-112'!D24</f>
        <v>16.487376553455903</v>
      </c>
      <c r="I50" s="119">
        <f>+'NEW...Tables 91-112'!D271</f>
        <v>0</v>
      </c>
      <c r="J50" s="122">
        <f>+'NEW...Tables 91-112'!D302</f>
        <v>24.871827887468253</v>
      </c>
      <c r="K50" s="122">
        <f>+'NEW...Tables 91-112'!D333</f>
        <v>27.296962292169212</v>
      </c>
      <c r="L50" s="122">
        <f>+'NEW...Tables 91-112'!D364</f>
        <v>0</v>
      </c>
      <c r="M50" s="119">
        <f>+'NEW...Tables 91-112'!D240</f>
        <v>25.952378999466248</v>
      </c>
      <c r="N50" s="327">
        <f>+'NEW...Tables 91-112'!D425</f>
        <v>0</v>
      </c>
      <c r="O50" s="63">
        <f>+'NEW...Tables 91-112'!D455</f>
        <v>0</v>
      </c>
      <c r="P50" s="119">
        <f>+'NEW...Tables 91-112'!D395</f>
        <v>0</v>
      </c>
      <c r="Q50" s="333">
        <f>+'NEW...Tables 87-90'!H50-OLD...Tables!H49</f>
        <v>0.93520635090852799</v>
      </c>
      <c r="R50" s="333">
        <f>+'NEW...Tables 87-90'!M50-OLD...Tables!M49</f>
        <v>0.64452385999592465</v>
      </c>
      <c r="S50" s="333">
        <f>+'NEW...Tables 87-90'!P50-OLD...Tables!P49</f>
        <v>0</v>
      </c>
      <c r="T50" s="87"/>
      <c r="U50" s="155"/>
      <c r="V50" s="155"/>
      <c r="W50" s="155"/>
      <c r="X50" s="222"/>
      <c r="Y50" s="87"/>
      <c r="Z50" s="87"/>
      <c r="AA50" s="87"/>
      <c r="AB50" s="156"/>
      <c r="AC50" s="156"/>
      <c r="AD50" s="156"/>
      <c r="AE50" s="156"/>
      <c r="AF50" s="156"/>
      <c r="AG50" s="156"/>
      <c r="AH50" s="156"/>
      <c r="AI50" s="156"/>
      <c r="AJ50" s="156"/>
      <c r="AK50" s="156"/>
      <c r="AL50" s="156"/>
      <c r="AM50" s="156"/>
      <c r="AN50" s="156"/>
    </row>
    <row r="51" spans="1:40" s="25" customFormat="1" ht="16.5" customHeight="1">
      <c r="A51" s="28" t="s">
        <v>153</v>
      </c>
      <c r="B51" s="122">
        <f>+'NEW...Tables 91-112'!D57</f>
        <v>11.692534289113317</v>
      </c>
      <c r="C51" s="122">
        <f>+'NEW...Tables 91-112'!D88</f>
        <v>13.248571870752111</v>
      </c>
      <c r="D51" s="122">
        <f>+'NEW...Tables 91-112'!D118</f>
        <v>13.287745122174236</v>
      </c>
      <c r="E51" s="122">
        <f>+'NEW...Tables 91-112'!D149</f>
        <v>45.818890973985354</v>
      </c>
      <c r="F51" s="122">
        <f>+'NEW...Tables 91-112'!D180</f>
        <v>38.621994859546618</v>
      </c>
      <c r="G51" s="122">
        <f>+'NEW...Tables 91-112'!D210</f>
        <v>1.0955056179775282</v>
      </c>
      <c r="H51" s="116">
        <f>+'NEW...Tables 91-112'!D25</f>
        <v>13.623079837150959</v>
      </c>
      <c r="I51" s="119">
        <f>+'NEW...Tables 91-112'!D272</f>
        <v>20.578024706108824</v>
      </c>
      <c r="J51" s="122">
        <f>+'NEW...Tables 91-112'!D303</f>
        <v>23.780654389505891</v>
      </c>
      <c r="K51" s="122">
        <f>+'NEW...Tables 91-112'!D334</f>
        <v>25.410532506616448</v>
      </c>
      <c r="L51" s="122">
        <f>+'NEW...Tables 91-112'!D365</f>
        <v>31.724956554548481</v>
      </c>
      <c r="M51" s="119">
        <f>+'NEW...Tables 91-112'!D241</f>
        <v>24.098460507836926</v>
      </c>
      <c r="N51" s="327">
        <f>+'NEW...Tables 91-112'!D426</f>
        <v>0</v>
      </c>
      <c r="O51" s="63">
        <f>+'NEW...Tables 91-112'!D456</f>
        <v>0</v>
      </c>
      <c r="P51" s="119">
        <f>+'NEW...Tables 91-112'!D396</f>
        <v>0</v>
      </c>
      <c r="Q51" s="333">
        <f>+'NEW...Tables 87-90'!H51-OLD...Tables!H50</f>
        <v>0.98131187471753556</v>
      </c>
      <c r="R51" s="333">
        <f>+'NEW...Tables 87-90'!M51-OLD...Tables!M50</f>
        <v>0.9661926121029758</v>
      </c>
      <c r="S51" s="333">
        <f>+'NEW...Tables 87-90'!P51-OLD...Tables!P50</f>
        <v>0</v>
      </c>
      <c r="T51" s="87"/>
      <c r="U51" s="155"/>
      <c r="V51" s="155"/>
      <c r="W51" s="155"/>
      <c r="X51" s="222"/>
      <c r="Y51" s="87"/>
      <c r="Z51" s="87"/>
      <c r="AA51" s="87"/>
      <c r="AB51" s="156"/>
      <c r="AC51" s="148"/>
      <c r="AD51" s="148"/>
      <c r="AE51" s="148"/>
      <c r="AF51" s="148"/>
      <c r="AG51" s="148"/>
      <c r="AH51" s="148"/>
      <c r="AI51" s="148"/>
      <c r="AJ51" s="148"/>
      <c r="AK51" s="148"/>
      <c r="AL51" s="148"/>
      <c r="AM51" s="148"/>
      <c r="AN51" s="148"/>
    </row>
    <row r="52" spans="1:40" s="25" customFormat="1" ht="14.25" customHeight="1">
      <c r="A52" s="28" t="s">
        <v>154</v>
      </c>
      <c r="B52" s="122">
        <f>+'NEW...Tables 91-112'!D58</f>
        <v>6.5081085062828521</v>
      </c>
      <c r="C52" s="122">
        <f>+'NEW...Tables 91-112'!D89</f>
        <v>5.4674490538292178</v>
      </c>
      <c r="D52" s="122">
        <f>+'NEW...Tables 91-112'!D119</f>
        <v>6.307488713287551</v>
      </c>
      <c r="E52" s="122">
        <f>+'NEW...Tables 91-112'!D150</f>
        <v>0</v>
      </c>
      <c r="F52" s="122">
        <f>+'NEW...Tables 91-112'!D181</f>
        <v>0</v>
      </c>
      <c r="G52" s="122">
        <f>+'NEW...Tables 91-112'!D211</f>
        <v>19.624181455822338</v>
      </c>
      <c r="H52" s="116">
        <f>+'NEW...Tables 91-112'!D26</f>
        <v>6.2115757912448339</v>
      </c>
      <c r="I52" s="119">
        <f>+'NEW...Tables 91-112'!D273</f>
        <v>0</v>
      </c>
      <c r="J52" s="122">
        <f>+'NEW...Tables 91-112'!D304</f>
        <v>26.851061354941798</v>
      </c>
      <c r="K52" s="122">
        <f>+'NEW...Tables 91-112'!D335</f>
        <v>29.201900379478293</v>
      </c>
      <c r="L52" s="122">
        <f>+'NEW...Tables 91-112'!D366</f>
        <v>34.734582015471759</v>
      </c>
      <c r="M52" s="119">
        <f>+'NEW...Tables 91-112'!D242</f>
        <v>28.119210621136947</v>
      </c>
      <c r="N52" s="327">
        <f>+'NEW...Tables 91-112'!D427</f>
        <v>0</v>
      </c>
      <c r="O52" s="63">
        <f>+'NEW...Tables 91-112'!D457</f>
        <v>0</v>
      </c>
      <c r="P52" s="119">
        <f>+'NEW...Tables 91-112'!D397</f>
        <v>0</v>
      </c>
      <c r="Q52" s="333">
        <f>+'NEW...Tables 87-90'!H52-OLD...Tables!H51</f>
        <v>1.4112813295474833</v>
      </c>
      <c r="R52" s="333">
        <f>+'NEW...Tables 87-90'!M52-OLD...Tables!M51</f>
        <v>0.61918525006499081</v>
      </c>
      <c r="S52" s="333">
        <f>+'NEW...Tables 87-90'!P52-OLD...Tables!P51</f>
        <v>0</v>
      </c>
      <c r="T52" s="87"/>
      <c r="U52" s="155"/>
      <c r="V52" s="155"/>
      <c r="W52" s="155"/>
      <c r="X52" s="222"/>
      <c r="Y52" s="87"/>
      <c r="Z52" s="87"/>
      <c r="AA52" s="87"/>
      <c r="AB52" s="156"/>
      <c r="AC52" s="148"/>
      <c r="AD52" s="148"/>
      <c r="AE52" s="148"/>
      <c r="AF52" s="148"/>
      <c r="AG52" s="148"/>
      <c r="AH52" s="148"/>
      <c r="AI52" s="148"/>
      <c r="AJ52" s="148"/>
      <c r="AK52" s="148"/>
      <c r="AL52" s="148"/>
      <c r="AM52" s="148"/>
      <c r="AN52" s="148"/>
    </row>
    <row r="53" spans="1:40" s="25" customFormat="1" ht="15" customHeight="1">
      <c r="A53" s="28" t="s">
        <v>155</v>
      </c>
      <c r="B53" s="122">
        <f>+'NEW...Tables 91-112'!D59</f>
        <v>9.03032957275828</v>
      </c>
      <c r="C53" s="122">
        <f>+'NEW...Tables 91-112'!D90</f>
        <v>0</v>
      </c>
      <c r="D53" s="122">
        <f>+'NEW...Tables 91-112'!D120</f>
        <v>14.291856887004444</v>
      </c>
      <c r="E53" s="122">
        <f>+'NEW...Tables 91-112'!D151</f>
        <v>0</v>
      </c>
      <c r="F53" s="122">
        <f>+'NEW...Tables 91-112'!D182</f>
        <v>8.5009677698922452</v>
      </c>
      <c r="G53" s="122">
        <f>+'NEW...Tables 91-112'!D212</f>
        <v>18.039891313524215</v>
      </c>
      <c r="H53" s="116">
        <f>+'NEW...Tables 91-112'!D27</f>
        <v>11.889105074337694</v>
      </c>
      <c r="I53" s="119">
        <f>+'NEW...Tables 91-112'!D274</f>
        <v>5.911388804785628</v>
      </c>
      <c r="J53" s="122">
        <f>+'NEW...Tables 91-112'!D305</f>
        <v>0</v>
      </c>
      <c r="K53" s="122">
        <f>+'NEW...Tables 91-112'!D336</f>
        <v>22.173991680231506</v>
      </c>
      <c r="L53" s="122">
        <f>+'NEW...Tables 91-112'!D367</f>
        <v>21.990375466445304</v>
      </c>
      <c r="M53" s="119">
        <f>+'NEW...Tables 91-112'!D243</f>
        <v>18.298244903958608</v>
      </c>
      <c r="N53" s="327">
        <f>+'NEW...Tables 91-112'!D428</f>
        <v>0</v>
      </c>
      <c r="O53" s="63">
        <f>+'NEW...Tables 91-112'!D458</f>
        <v>0</v>
      </c>
      <c r="P53" s="119">
        <f>+'NEW...Tables 91-112'!D398</f>
        <v>0</v>
      </c>
      <c r="Q53" s="333">
        <f>+'NEW...Tables 87-90'!H53-OLD...Tables!H52</f>
        <v>1.1521200345256464</v>
      </c>
      <c r="R53" s="333">
        <f>+'NEW...Tables 87-90'!M53-OLD...Tables!M52</f>
        <v>-2.7308459843071056</v>
      </c>
      <c r="S53" s="333">
        <f>+'NEW...Tables 87-90'!P53-OLD...Tables!P52</f>
        <v>0</v>
      </c>
      <c r="T53" s="87"/>
      <c r="U53" s="155"/>
      <c r="V53" s="155"/>
      <c r="W53" s="155"/>
      <c r="X53" s="222"/>
      <c r="Y53" s="87"/>
      <c r="Z53" s="87"/>
      <c r="AA53" s="87"/>
      <c r="AB53" s="156"/>
      <c r="AC53" s="148"/>
      <c r="AD53" s="148"/>
      <c r="AE53" s="148"/>
      <c r="AF53" s="148"/>
      <c r="AG53" s="148"/>
      <c r="AH53" s="148"/>
      <c r="AI53" s="148"/>
      <c r="AJ53" s="148"/>
      <c r="AK53" s="148"/>
      <c r="AL53" s="148"/>
      <c r="AM53" s="148"/>
      <c r="AN53" s="148"/>
    </row>
    <row r="54" spans="1:40" s="25" customFormat="1" ht="28.5" customHeight="1">
      <c r="A54" s="665" t="s">
        <v>919</v>
      </c>
      <c r="B54" s="665"/>
      <c r="C54" s="665"/>
      <c r="D54" s="665"/>
      <c r="E54" s="665"/>
      <c r="F54" s="665"/>
      <c r="G54" s="665"/>
      <c r="H54" s="665"/>
      <c r="I54" s="665"/>
      <c r="J54" s="665"/>
      <c r="K54" s="665"/>
      <c r="L54" s="665"/>
      <c r="M54" s="665"/>
      <c r="N54" s="665"/>
      <c r="O54" s="665"/>
      <c r="P54" s="665"/>
      <c r="Q54" s="26"/>
      <c r="R54" s="26"/>
      <c r="S54" s="26"/>
      <c r="T54" s="26"/>
      <c r="U54" s="26"/>
      <c r="V54" s="26"/>
      <c r="W54" s="26"/>
      <c r="X54" s="26"/>
      <c r="Y54" s="26"/>
      <c r="Z54" s="26"/>
      <c r="AA54" s="26"/>
      <c r="AB54" s="26"/>
    </row>
    <row r="55" spans="1:40" s="25" customFormat="1" ht="27" customHeight="1">
      <c r="A55" s="673" t="s">
        <v>241</v>
      </c>
      <c r="B55" s="674"/>
      <c r="C55" s="674"/>
      <c r="D55" s="674"/>
      <c r="E55" s="674"/>
      <c r="F55" s="674"/>
      <c r="G55" s="674"/>
      <c r="H55" s="674"/>
      <c r="I55" s="674"/>
      <c r="J55" s="674"/>
      <c r="K55" s="674"/>
      <c r="L55" s="674"/>
      <c r="M55" s="674"/>
      <c r="N55" s="674"/>
      <c r="O55" s="674"/>
      <c r="P55" s="674"/>
      <c r="Q55" s="26"/>
      <c r="R55" s="26"/>
      <c r="S55" s="26"/>
      <c r="T55" s="26"/>
      <c r="U55" s="26"/>
      <c r="V55" s="26"/>
      <c r="W55" s="26"/>
      <c r="X55" s="26"/>
      <c r="Y55" s="26"/>
      <c r="Z55" s="26"/>
      <c r="AA55" s="26"/>
      <c r="AB55" s="26"/>
    </row>
    <row r="56" spans="1:40" s="28" customFormat="1" ht="3" customHeight="1">
      <c r="A56" s="318"/>
      <c r="B56" s="149"/>
      <c r="C56" s="149"/>
      <c r="D56" s="149"/>
      <c r="E56" s="149"/>
      <c r="F56" s="149"/>
      <c r="G56" s="149"/>
      <c r="H56" s="149"/>
      <c r="I56" s="149"/>
      <c r="J56" s="149"/>
      <c r="K56" s="149"/>
      <c r="L56" s="149"/>
      <c r="M56" s="149"/>
      <c r="N56" s="149"/>
      <c r="O56" s="149"/>
      <c r="P56" s="149"/>
      <c r="Q56" s="25"/>
      <c r="R56" s="25"/>
      <c r="S56" s="25"/>
      <c r="T56" s="25"/>
      <c r="U56" s="25"/>
      <c r="V56" s="25"/>
      <c r="W56" s="25"/>
      <c r="X56" s="25"/>
      <c r="Y56" s="25"/>
      <c r="Z56" s="25"/>
      <c r="AA56" s="25"/>
      <c r="AB56" s="25"/>
      <c r="AC56" s="25"/>
      <c r="AD56" s="25"/>
      <c r="AE56" s="25"/>
      <c r="AF56" s="25"/>
      <c r="AG56" s="25"/>
      <c r="AH56" s="25"/>
      <c r="AI56" s="25"/>
      <c r="AJ56" s="25"/>
      <c r="AK56" s="25"/>
      <c r="AL56" s="25"/>
      <c r="AM56" s="25"/>
      <c r="AN56" s="25"/>
    </row>
    <row r="57" spans="1:40">
      <c r="A57" s="25"/>
      <c r="B57" s="25"/>
      <c r="C57" s="25"/>
      <c r="D57" s="25"/>
      <c r="E57" s="25"/>
      <c r="F57" s="25"/>
      <c r="G57" s="25"/>
      <c r="H57" s="25"/>
      <c r="I57" s="25"/>
      <c r="J57" s="25"/>
      <c r="K57" s="25"/>
      <c r="L57" s="25"/>
      <c r="M57" s="330"/>
      <c r="N57" s="25"/>
      <c r="O57" s="25"/>
      <c r="P57" s="27" t="s">
        <v>899</v>
      </c>
      <c r="Q57" s="25"/>
      <c r="R57" s="25"/>
      <c r="S57" s="25"/>
      <c r="T57" s="25"/>
      <c r="U57" s="25"/>
      <c r="V57" s="25"/>
      <c r="W57" s="25"/>
      <c r="X57" s="25"/>
      <c r="Y57" s="25"/>
      <c r="Z57" s="25"/>
      <c r="AA57" s="25"/>
      <c r="AB57" s="25"/>
      <c r="AC57" s="25"/>
      <c r="AD57" s="25"/>
      <c r="AE57" s="25"/>
      <c r="AF57" s="25"/>
      <c r="AG57" s="25"/>
      <c r="AH57" s="25"/>
      <c r="AI57" s="25"/>
      <c r="AJ57" s="25"/>
      <c r="AK57" s="25"/>
      <c r="AL57" s="25"/>
      <c r="AM57" s="25"/>
      <c r="AN57" s="25"/>
    </row>
    <row r="58" spans="1:40" ht="18">
      <c r="A58" s="16" t="s">
        <v>157</v>
      </c>
      <c r="B58" s="34"/>
      <c r="C58" s="34"/>
      <c r="D58" s="34"/>
      <c r="E58" s="34"/>
      <c r="F58" s="34"/>
      <c r="G58" s="146"/>
      <c r="H58" s="146"/>
      <c r="I58" s="150" t="s">
        <v>39</v>
      </c>
      <c r="J58" s="150"/>
      <c r="K58" s="150"/>
      <c r="L58" s="150"/>
      <c r="M58" s="334"/>
    </row>
    <row r="59" spans="1:40" ht="9.75" customHeight="1">
      <c r="A59" s="18"/>
      <c r="B59" s="19"/>
      <c r="C59" s="19"/>
      <c r="D59" s="19"/>
      <c r="E59" s="19"/>
      <c r="F59" s="19"/>
      <c r="G59" s="19"/>
      <c r="H59" s="19"/>
      <c r="I59" s="335"/>
      <c r="J59" s="335"/>
      <c r="K59" s="335"/>
      <c r="L59" s="335"/>
      <c r="M59" s="336"/>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row>
    <row r="60" spans="1:40" ht="18">
      <c r="A60" s="37" t="s">
        <v>158</v>
      </c>
      <c r="B60" s="34"/>
      <c r="C60" s="34"/>
      <c r="D60" s="34"/>
      <c r="E60" s="34"/>
      <c r="F60" s="34"/>
      <c r="G60" s="146"/>
      <c r="H60" s="146"/>
      <c r="I60" s="150" t="s">
        <v>39</v>
      </c>
      <c r="J60" s="150"/>
      <c r="K60" s="150"/>
      <c r="L60" s="150"/>
      <c r="M60" s="334"/>
    </row>
    <row r="61" spans="1:40" s="31" customFormat="1" ht="15.75">
      <c r="A61" s="37" t="s">
        <v>159</v>
      </c>
      <c r="B61" s="19"/>
      <c r="C61" s="19"/>
      <c r="D61" s="19"/>
      <c r="E61" s="19"/>
      <c r="F61" s="19"/>
      <c r="G61" s="146"/>
      <c r="H61" s="146"/>
      <c r="I61" s="150" t="s">
        <v>39</v>
      </c>
      <c r="J61" s="150"/>
      <c r="K61" s="150"/>
      <c r="L61" s="150"/>
      <c r="M61" s="334"/>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row>
    <row r="62" spans="1:40" s="32" customFormat="1" ht="15.75">
      <c r="A62" s="37" t="s">
        <v>918</v>
      </c>
      <c r="B62" s="19"/>
      <c r="C62" s="19"/>
      <c r="D62" s="19"/>
      <c r="E62" s="19"/>
      <c r="F62" s="19"/>
      <c r="G62" s="146"/>
      <c r="H62" s="146"/>
      <c r="I62" s="150" t="s">
        <v>39</v>
      </c>
      <c r="J62" s="150"/>
      <c r="K62" s="150"/>
      <c r="L62" s="150"/>
      <c r="M62" s="334"/>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row>
    <row r="63" spans="1:40" ht="12" customHeight="1">
      <c r="A63" s="323"/>
      <c r="B63" s="147"/>
      <c r="C63" s="147"/>
      <c r="D63" s="147"/>
      <c r="E63" s="147"/>
      <c r="F63" s="147"/>
      <c r="G63" s="147"/>
      <c r="H63" s="147"/>
      <c r="I63" s="156"/>
      <c r="J63" s="156"/>
      <c r="K63" s="156"/>
      <c r="L63" s="156"/>
    </row>
    <row r="64" spans="1:40" ht="15.75" customHeight="1">
      <c r="A64" s="337"/>
      <c r="B64" s="44" t="s">
        <v>55</v>
      </c>
      <c r="C64" s="44"/>
      <c r="D64" s="44"/>
      <c r="E64" s="44"/>
      <c r="F64" s="44"/>
      <c r="G64" s="44"/>
      <c r="H64" s="44"/>
      <c r="I64" s="154" t="s">
        <v>39</v>
      </c>
      <c r="J64" s="154"/>
      <c r="K64" s="154"/>
      <c r="L64" s="154"/>
      <c r="M64" s="154"/>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row>
    <row r="65" spans="1:40" ht="15.75" customHeight="1">
      <c r="A65" s="338"/>
      <c r="B65" s="317">
        <v>1</v>
      </c>
      <c r="C65" s="317">
        <v>2</v>
      </c>
      <c r="D65" s="317">
        <v>3</v>
      </c>
      <c r="E65" s="317">
        <v>4</v>
      </c>
      <c r="F65" s="317">
        <v>5</v>
      </c>
      <c r="G65" s="317">
        <v>6</v>
      </c>
      <c r="H65" s="316" t="s">
        <v>242</v>
      </c>
      <c r="I65" s="154"/>
      <c r="J65" s="154"/>
      <c r="K65" s="154"/>
      <c r="L65" s="154"/>
      <c r="M65" s="154"/>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row>
    <row r="66" spans="1:40" ht="15.75" customHeight="1">
      <c r="A66" s="28" t="s">
        <v>141</v>
      </c>
      <c r="B66" s="341">
        <f>+'NEW...Tables 91-112'!J41+'NEW...Tables 91-112'!K41</f>
        <v>84.02024808558383</v>
      </c>
      <c r="C66" s="341">
        <f>+'NEW...Tables 91-112'!J72+'NEW...Tables 91-112'!K72</f>
        <v>74.477654835464861</v>
      </c>
      <c r="D66" s="341">
        <f>+'NEW...Tables 91-112'!J102+'NEW...Tables 91-112'!K102</f>
        <v>67.148705758055996</v>
      </c>
      <c r="E66" s="341">
        <f>+'NEW...Tables 91-112'!J133+'NEW...Tables 91-112'!K133</f>
        <v>55.231125003176544</v>
      </c>
      <c r="F66" s="341">
        <f>+'NEW...Tables 91-112'!J164+'NEW...Tables 91-112'!K164</f>
        <v>24.171819232895995</v>
      </c>
      <c r="G66" s="341">
        <f>+'NEW...Tables 91-112'!J194+'NEW...Tables 91-112'!K194</f>
        <v>0</v>
      </c>
      <c r="H66" s="118">
        <f>+'NEW...Tables 91-112'!J9+'NEW...Tables 91-112'!K9</f>
        <v>70.830407952109965</v>
      </c>
      <c r="I66" s="339"/>
      <c r="J66" s="339"/>
      <c r="K66" s="339"/>
      <c r="L66" s="339"/>
      <c r="M66" s="339"/>
    </row>
    <row r="67" spans="1:40" ht="15.75" customHeight="1">
      <c r="A67" s="28" t="s">
        <v>142</v>
      </c>
      <c r="B67" s="321">
        <f>+'NEW...Tables 91-112'!J42+'NEW...Tables 91-112'!K42</f>
        <v>76.754595518897574</v>
      </c>
      <c r="C67" s="321">
        <f>+'NEW...Tables 91-112'!J73+'NEW...Tables 91-112'!K73</f>
        <v>77.843554765191755</v>
      </c>
      <c r="D67" s="321">
        <f>+'NEW...Tables 91-112'!J103+'NEW...Tables 91-112'!K103</f>
        <v>39.94561533615623</v>
      </c>
      <c r="E67" s="321">
        <f>+'NEW...Tables 91-112'!J134+'NEW...Tables 91-112'!K134</f>
        <v>46.067204805706773</v>
      </c>
      <c r="F67" s="321">
        <f>+'NEW...Tables 91-112'!J165+'NEW...Tables 91-112'!K165</f>
        <v>17.082477252714998</v>
      </c>
      <c r="G67" s="321">
        <f>+'NEW...Tables 91-112'!J195+'NEW...Tables 91-112'!K195</f>
        <v>76.462765957446805</v>
      </c>
      <c r="H67" s="119">
        <f>+'NEW...Tables 91-112'!J10+'NEW...Tables 91-112'!K10</f>
        <v>64.877981777391142</v>
      </c>
      <c r="I67" s="339"/>
      <c r="J67" s="339"/>
      <c r="K67" s="339"/>
      <c r="L67" s="339"/>
      <c r="M67" s="339"/>
    </row>
    <row r="68" spans="1:40" ht="15.75" customHeight="1">
      <c r="A68" s="28" t="s">
        <v>143</v>
      </c>
      <c r="B68" s="321">
        <f>+'NEW...Tables 91-112'!J43+'NEW...Tables 91-112'!K43</f>
        <v>92.366048295160113</v>
      </c>
      <c r="C68" s="321">
        <f>+'NEW...Tables 91-112'!J74+'NEW...Tables 91-112'!K74</f>
        <v>0</v>
      </c>
      <c r="D68" s="321">
        <f>+'NEW...Tables 91-112'!J104+'NEW...Tables 91-112'!K104</f>
        <v>98.247955948606716</v>
      </c>
      <c r="E68" s="321">
        <f>+'NEW...Tables 91-112'!J135+'NEW...Tables 91-112'!K135</f>
        <v>0</v>
      </c>
      <c r="F68" s="321">
        <f>+'NEW...Tables 91-112'!J166+'NEW...Tables 91-112'!K166</f>
        <v>0</v>
      </c>
      <c r="G68" s="321">
        <f>+'NEW...Tables 91-112'!J196+'NEW...Tables 91-112'!K196</f>
        <v>0</v>
      </c>
      <c r="H68" s="119">
        <f>+'NEW...Tables 91-112'!J11+'NEW...Tables 91-112'!K11</f>
        <v>93.015966665437517</v>
      </c>
      <c r="I68" s="339"/>
      <c r="J68" s="339"/>
      <c r="K68" s="339"/>
      <c r="L68" s="339"/>
      <c r="M68" s="339"/>
    </row>
    <row r="69" spans="1:40" ht="15.75" customHeight="1">
      <c r="A69" s="28" t="s">
        <v>144</v>
      </c>
      <c r="B69" s="321">
        <f>+'NEW...Tables 91-112'!J44+'NEW...Tables 91-112'!K44</f>
        <v>80.793910678822769</v>
      </c>
      <c r="C69" s="321">
        <f>+'NEW...Tables 91-112'!J75+'NEW...Tables 91-112'!K75</f>
        <v>0</v>
      </c>
      <c r="D69" s="321">
        <f>+'NEW...Tables 91-112'!J105+'NEW...Tables 91-112'!K105</f>
        <v>71.960266107718951</v>
      </c>
      <c r="E69" s="321">
        <f>+'NEW...Tables 91-112'!J136+'NEW...Tables 91-112'!K136</f>
        <v>67.403611517813559</v>
      </c>
      <c r="F69" s="321">
        <f>+'NEW...Tables 91-112'!J167+'NEW...Tables 91-112'!K167</f>
        <v>0</v>
      </c>
      <c r="G69" s="321">
        <f>+'NEW...Tables 91-112'!J197+'NEW...Tables 91-112'!K197</f>
        <v>0</v>
      </c>
      <c r="H69" s="119">
        <f>+'NEW...Tables 91-112'!J12+'NEW...Tables 91-112'!K12</f>
        <v>79.716360539310941</v>
      </c>
      <c r="I69" s="339"/>
      <c r="J69" s="339"/>
      <c r="K69" s="339"/>
      <c r="L69" s="339"/>
      <c r="M69" s="339"/>
    </row>
    <row r="70" spans="1:40" ht="15.75" customHeight="1">
      <c r="A70" s="28"/>
      <c r="B70" s="321"/>
      <c r="C70" s="321"/>
      <c r="D70" s="321"/>
      <c r="E70" s="321"/>
      <c r="F70" s="321"/>
      <c r="G70" s="321"/>
      <c r="H70" s="119"/>
      <c r="I70" s="339"/>
      <c r="J70" s="339"/>
      <c r="K70" s="339"/>
      <c r="L70" s="339"/>
      <c r="M70" s="339"/>
    </row>
    <row r="71" spans="1:40" ht="15.75" customHeight="1">
      <c r="A71" s="28" t="s">
        <v>145</v>
      </c>
      <c r="B71" s="321">
        <f>+'NEW...Tables 91-112'!J46+'NEW...Tables 91-112'!K46</f>
        <v>96.435580889389115</v>
      </c>
      <c r="C71" s="321">
        <f>+'NEW...Tables 91-112'!J77+'NEW...Tables 91-112'!K77</f>
        <v>96.237219150881984</v>
      </c>
      <c r="D71" s="321">
        <f>+'NEW...Tables 91-112'!J107+'NEW...Tables 91-112'!K107</f>
        <v>43.226852027702868</v>
      </c>
      <c r="E71" s="321">
        <f>+'NEW...Tables 91-112'!J138+'NEW...Tables 91-112'!K138</f>
        <v>86.737960243701721</v>
      </c>
      <c r="F71" s="321">
        <f>+'NEW...Tables 91-112'!J169+'NEW...Tables 91-112'!K169</f>
        <v>73.213708373747167</v>
      </c>
      <c r="G71" s="321">
        <f>+'NEW...Tables 91-112'!J199+'NEW...Tables 91-112'!K199</f>
        <v>0</v>
      </c>
      <c r="H71" s="119">
        <f>+'NEW...Tables 91-112'!J14+'NEW...Tables 91-112'!K14</f>
        <v>85.91405586243495</v>
      </c>
      <c r="I71" s="339"/>
      <c r="J71" s="339"/>
      <c r="K71" s="339"/>
      <c r="L71" s="339"/>
      <c r="M71" s="339"/>
    </row>
    <row r="72" spans="1:40" ht="15.75" customHeight="1">
      <c r="A72" s="28" t="s">
        <v>146</v>
      </c>
      <c r="B72" s="321">
        <f>+'NEW...Tables 91-112'!J47+'NEW...Tables 91-112'!K47</f>
        <v>85.166183642278682</v>
      </c>
      <c r="C72" s="321">
        <f>+'NEW...Tables 91-112'!J78+'NEW...Tables 91-112'!K78</f>
        <v>0</v>
      </c>
      <c r="D72" s="321">
        <f>+'NEW...Tables 91-112'!J108+'NEW...Tables 91-112'!K108</f>
        <v>50.786230603264386</v>
      </c>
      <c r="E72" s="321">
        <f>+'NEW...Tables 91-112'!J139+'NEW...Tables 91-112'!K139</f>
        <v>78.27808015833746</v>
      </c>
      <c r="F72" s="321">
        <f>+'NEW...Tables 91-112'!J170+'NEW...Tables 91-112'!K170</f>
        <v>0</v>
      </c>
      <c r="G72" s="321">
        <f>+'NEW...Tables 91-112'!J200+'NEW...Tables 91-112'!K200</f>
        <v>0</v>
      </c>
      <c r="H72" s="119">
        <f>+'NEW...Tables 91-112'!J15+'NEW...Tables 91-112'!K15</f>
        <v>67.701416385098625</v>
      </c>
      <c r="I72" s="339"/>
      <c r="J72" s="339"/>
      <c r="K72" s="339"/>
      <c r="L72" s="339"/>
      <c r="M72" s="339"/>
    </row>
    <row r="73" spans="1:40" ht="15.75" customHeight="1">
      <c r="A73" s="28" t="s">
        <v>147</v>
      </c>
      <c r="B73" s="321">
        <f>+'NEW...Tables 91-112'!J48+'NEW...Tables 91-112'!K48</f>
        <v>0</v>
      </c>
      <c r="C73" s="321">
        <f>+'NEW...Tables 91-112'!J79+'NEW...Tables 91-112'!K79</f>
        <v>0</v>
      </c>
      <c r="D73" s="321">
        <f>+'NEW...Tables 91-112'!J109+'NEW...Tables 91-112'!K109</f>
        <v>0</v>
      </c>
      <c r="E73" s="321">
        <f>+'NEW...Tables 91-112'!J140+'NEW...Tables 91-112'!K140</f>
        <v>0</v>
      </c>
      <c r="F73" s="321">
        <f>+'NEW...Tables 91-112'!J171+'NEW...Tables 91-112'!K171</f>
        <v>0</v>
      </c>
      <c r="G73" s="321">
        <f>+'NEW...Tables 91-112'!J201+'NEW...Tables 91-112'!K201</f>
        <v>0</v>
      </c>
      <c r="H73" s="119">
        <f>+'NEW...Tables 91-112'!J16+'NEW...Tables 91-112'!K16</f>
        <v>0</v>
      </c>
      <c r="I73" s="339"/>
      <c r="J73" s="339"/>
      <c r="K73" s="339"/>
      <c r="L73" s="339"/>
      <c r="M73" s="339"/>
    </row>
    <row r="74" spans="1:40" ht="15.75" customHeight="1">
      <c r="A74" s="28" t="s">
        <v>177</v>
      </c>
      <c r="B74" s="321">
        <f>+'NEW...Tables 91-112'!J49+'NEW...Tables 91-112'!K49</f>
        <v>94.789588187587697</v>
      </c>
      <c r="C74" s="321">
        <f>+'NEW...Tables 91-112'!J80+'NEW...Tables 91-112'!K80</f>
        <v>84.135134656585876</v>
      </c>
      <c r="D74" s="321">
        <f>+'NEW...Tables 91-112'!J110+'NEW...Tables 91-112'!K110</f>
        <v>78.661673880270385</v>
      </c>
      <c r="E74" s="321">
        <f>+'NEW...Tables 91-112'!J141+'NEW...Tables 91-112'!K141</f>
        <v>77.195615095030988</v>
      </c>
      <c r="F74" s="321">
        <f>+'NEW...Tables 91-112'!J172+'NEW...Tables 91-112'!K172</f>
        <v>91.083822744260544</v>
      </c>
      <c r="G74" s="321">
        <f>+'NEW...Tables 91-112'!J202+'NEW...Tables 91-112'!K202</f>
        <v>100</v>
      </c>
      <c r="H74" s="119">
        <f>+'NEW...Tables 91-112'!J17+'NEW...Tables 91-112'!K17</f>
        <v>60.616104828385303</v>
      </c>
      <c r="I74" s="339"/>
      <c r="J74" s="339"/>
      <c r="K74" s="339"/>
      <c r="L74" s="339"/>
      <c r="M74" s="339"/>
    </row>
    <row r="75" spans="1:40" ht="15.75" customHeight="1">
      <c r="A75" s="28"/>
      <c r="B75" s="321"/>
      <c r="C75" s="321"/>
      <c r="D75" s="321"/>
      <c r="E75" s="321"/>
      <c r="F75" s="321"/>
      <c r="G75" s="321"/>
      <c r="H75" s="119"/>
      <c r="I75" s="339"/>
      <c r="J75" s="339"/>
      <c r="K75" s="339"/>
      <c r="L75" s="339"/>
      <c r="M75" s="339"/>
    </row>
    <row r="76" spans="1:40" ht="15.75" customHeight="1">
      <c r="A76" s="28" t="s">
        <v>148</v>
      </c>
      <c r="B76" s="321">
        <f>+'NEW...Tables 91-112'!J51+'NEW...Tables 91-112'!K51</f>
        <v>73.494839951023266</v>
      </c>
      <c r="C76" s="321">
        <f>+'NEW...Tables 91-112'!J82+'NEW...Tables 91-112'!K82</f>
        <v>84.349142280524717</v>
      </c>
      <c r="D76" s="321">
        <f>+'NEW...Tables 91-112'!J112+'NEW...Tables 91-112'!K112</f>
        <v>0</v>
      </c>
      <c r="E76" s="321">
        <f>+'NEW...Tables 91-112'!J143+'NEW...Tables 91-112'!K143</f>
        <v>23.124131542380731</v>
      </c>
      <c r="F76" s="321">
        <f>+'NEW...Tables 91-112'!J174+'NEW...Tables 91-112'!K174</f>
        <v>69.688931757897279</v>
      </c>
      <c r="G76" s="321">
        <f>+'NEW...Tables 91-112'!J204+'NEW...Tables 91-112'!K204</f>
        <v>0</v>
      </c>
      <c r="H76" s="119">
        <f>+'NEW...Tables 91-112'!J19+'NEW...Tables 91-112'!K19</f>
        <v>69.218497739361197</v>
      </c>
      <c r="I76" s="339"/>
      <c r="J76" s="339"/>
      <c r="K76" s="339"/>
      <c r="L76" s="339"/>
      <c r="M76" s="339"/>
    </row>
    <row r="77" spans="1:40" ht="15.75" customHeight="1">
      <c r="A77" s="28" t="s">
        <v>149</v>
      </c>
      <c r="B77" s="321">
        <f>+'NEW...Tables 91-112'!J52+'NEW...Tables 91-112'!K52</f>
        <v>86.654318517705832</v>
      </c>
      <c r="C77" s="321">
        <f>+'NEW...Tables 91-112'!J83+'NEW...Tables 91-112'!K83</f>
        <v>53.038088548790554</v>
      </c>
      <c r="D77" s="321">
        <f>+'NEW...Tables 91-112'!J113+'NEW...Tables 91-112'!K113</f>
        <v>73.029134398218332</v>
      </c>
      <c r="E77" s="321">
        <f>+'NEW...Tables 91-112'!J144+'NEW...Tables 91-112'!K144</f>
        <v>81.113884823964867</v>
      </c>
      <c r="F77" s="321">
        <f>+'NEW...Tables 91-112'!J175+'NEW...Tables 91-112'!K175</f>
        <v>72.481113657584245</v>
      </c>
      <c r="G77" s="321">
        <f>+'NEW...Tables 91-112'!J205+'NEW...Tables 91-112'!K205</f>
        <v>76.470588235294116</v>
      </c>
      <c r="H77" s="119">
        <f>+'NEW...Tables 91-112'!J20+'NEW...Tables 91-112'!K20</f>
        <v>79.498219968714594</v>
      </c>
      <c r="I77" s="339"/>
      <c r="J77" s="339"/>
      <c r="K77" s="339"/>
      <c r="L77" s="339"/>
      <c r="M77" s="339"/>
    </row>
    <row r="78" spans="1:40" ht="15.75" customHeight="1">
      <c r="A78" s="28" t="s">
        <v>150</v>
      </c>
      <c r="B78" s="321">
        <f>+'NEW...Tables 91-112'!J53+'NEW...Tables 91-112'!K53</f>
        <v>71.984288996233943</v>
      </c>
      <c r="C78" s="321">
        <f>+'NEW...Tables 91-112'!J84+'NEW...Tables 91-112'!K84</f>
        <v>0</v>
      </c>
      <c r="D78" s="321">
        <f>+'NEW...Tables 91-112'!J114+'NEW...Tables 91-112'!K114</f>
        <v>84.272274488101843</v>
      </c>
      <c r="E78" s="321">
        <f>+'NEW...Tables 91-112'!J145+'NEW...Tables 91-112'!K145</f>
        <v>51.134410450326577</v>
      </c>
      <c r="F78" s="321">
        <f>+'NEW...Tables 91-112'!J176+'NEW...Tables 91-112'!K176</f>
        <v>47.847996494473925</v>
      </c>
      <c r="G78" s="321">
        <f>+'NEW...Tables 91-112'!J206+'NEW...Tables 91-112'!K206</f>
        <v>100</v>
      </c>
      <c r="H78" s="119">
        <f>+'NEW...Tables 91-112'!J21+'NEW...Tables 91-112'!K21</f>
        <v>69.674989712233511</v>
      </c>
      <c r="I78" s="339"/>
      <c r="J78" s="339"/>
      <c r="K78" s="339"/>
      <c r="L78" s="339"/>
      <c r="M78" s="339"/>
    </row>
    <row r="79" spans="1:40" ht="15.75" customHeight="1">
      <c r="A79" s="28" t="s">
        <v>151</v>
      </c>
      <c r="B79" s="321">
        <f>+'NEW...Tables 91-112'!J54+'NEW...Tables 91-112'!K54</f>
        <v>81.869808244701488</v>
      </c>
      <c r="C79" s="321">
        <f>+'NEW...Tables 91-112'!J85+'NEW...Tables 91-112'!K85</f>
        <v>0</v>
      </c>
      <c r="D79" s="321">
        <f>+'NEW...Tables 91-112'!J115+'NEW...Tables 91-112'!K115</f>
        <v>90.059649512800561</v>
      </c>
      <c r="E79" s="321">
        <f>+'NEW...Tables 91-112'!J146+'NEW...Tables 91-112'!K146</f>
        <v>0</v>
      </c>
      <c r="F79" s="321">
        <f>+'NEW...Tables 91-112'!J177+'NEW...Tables 91-112'!K177</f>
        <v>73.739984492116818</v>
      </c>
      <c r="G79" s="321">
        <f>+'NEW...Tables 91-112'!J207+'NEW...Tables 91-112'!K207</f>
        <v>67.165288488339684</v>
      </c>
      <c r="H79" s="119">
        <f>+'NEW...Tables 91-112'!J22+'NEW...Tables 91-112'!K22</f>
        <v>82.051979121357107</v>
      </c>
      <c r="I79" s="339"/>
      <c r="J79" s="339"/>
      <c r="K79" s="339"/>
      <c r="L79" s="339"/>
      <c r="M79" s="339"/>
    </row>
    <row r="80" spans="1:40" ht="15.75" customHeight="1">
      <c r="A80" s="28"/>
      <c r="B80" s="321"/>
      <c r="C80" s="321"/>
      <c r="D80" s="321"/>
      <c r="E80" s="321"/>
      <c r="F80" s="321"/>
      <c r="G80" s="321"/>
      <c r="H80" s="119"/>
      <c r="I80" s="339"/>
      <c r="J80" s="339"/>
      <c r="K80" s="339"/>
      <c r="L80" s="339"/>
      <c r="M80" s="339"/>
    </row>
    <row r="81" spans="1:40" ht="15.75" customHeight="1">
      <c r="A81" s="28" t="s">
        <v>152</v>
      </c>
      <c r="B81" s="321">
        <f>+'NEW...Tables 91-112'!J56+'NEW...Tables 91-112'!K56</f>
        <v>73.253604887983698</v>
      </c>
      <c r="C81" s="321">
        <f>+'NEW...Tables 91-112'!J87+'NEW...Tables 91-112'!K87</f>
        <v>71.807497866193955</v>
      </c>
      <c r="D81" s="321">
        <f>+'NEW...Tables 91-112'!J117+'NEW...Tables 91-112'!K117</f>
        <v>51.934070050571265</v>
      </c>
      <c r="E81" s="321">
        <f>+'NEW...Tables 91-112'!J148+'NEW...Tables 91-112'!K148</f>
        <v>0</v>
      </c>
      <c r="F81" s="321">
        <f>+'NEW...Tables 91-112'!J179+'NEW...Tables 91-112'!K179</f>
        <v>15.557847687811588</v>
      </c>
      <c r="G81" s="321">
        <f>+'NEW...Tables 91-112'!J209+'NEW...Tables 91-112'!K209</f>
        <v>0</v>
      </c>
      <c r="H81" s="119">
        <f>+'NEW...Tables 91-112'!J24+'NEW...Tables 91-112'!K24</f>
        <v>63.274096008094268</v>
      </c>
      <c r="I81" s="339"/>
      <c r="J81" s="339"/>
      <c r="K81" s="339"/>
      <c r="L81" s="339"/>
      <c r="M81" s="339"/>
    </row>
    <row r="82" spans="1:40" s="25" customFormat="1">
      <c r="A82" s="28" t="s">
        <v>153</v>
      </c>
      <c r="B82" s="321">
        <f>+'NEW...Tables 91-112'!J57+'NEW...Tables 91-112'!K57</f>
        <v>86.287579569233316</v>
      </c>
      <c r="C82" s="321">
        <f>+'NEW...Tables 91-112'!J88+'NEW...Tables 91-112'!K88</f>
        <v>68.081519246850632</v>
      </c>
      <c r="D82" s="321">
        <f>+'NEW...Tables 91-112'!J118+'NEW...Tables 91-112'!K118</f>
        <v>55.581775009408197</v>
      </c>
      <c r="E82" s="321">
        <f>+'NEW...Tables 91-112'!J149+'NEW...Tables 91-112'!K149</f>
        <v>32.282491520521653</v>
      </c>
      <c r="F82" s="321">
        <f>+'NEW...Tables 91-112'!J180+'NEW...Tables 91-112'!K180</f>
        <v>40.464273046151419</v>
      </c>
      <c r="G82" s="321">
        <f>+'NEW...Tables 91-112'!J210+'NEW...Tables 91-112'!K210</f>
        <v>81.447746883988486</v>
      </c>
      <c r="H82" s="119">
        <f>+'NEW...Tables 91-112'!J25+'NEW...Tables 91-112'!K25</f>
        <v>72.523771375554475</v>
      </c>
      <c r="I82" s="339"/>
      <c r="J82" s="339"/>
      <c r="K82" s="339"/>
      <c r="L82" s="339"/>
      <c r="M82" s="339"/>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row>
    <row r="83" spans="1:40" s="25" customFormat="1">
      <c r="A83" s="28" t="s">
        <v>154</v>
      </c>
      <c r="B83" s="321">
        <f>+'NEW...Tables 91-112'!J58+'NEW...Tables 91-112'!K58</f>
        <v>88.533497837866165</v>
      </c>
      <c r="C83" s="321">
        <f>+'NEW...Tables 91-112'!J89+'NEW...Tables 91-112'!K89</f>
        <v>94.702397501978311</v>
      </c>
      <c r="D83" s="321">
        <f>+'NEW...Tables 91-112'!J119+'NEW...Tables 91-112'!K119</f>
        <v>81.218117241499385</v>
      </c>
      <c r="E83" s="321">
        <f>+'NEW...Tables 91-112'!J150+'NEW...Tables 91-112'!K150</f>
        <v>0</v>
      </c>
      <c r="F83" s="321">
        <f>+'NEW...Tables 91-112'!J181+'NEW...Tables 91-112'!K181</f>
        <v>100</v>
      </c>
      <c r="G83" s="321">
        <f>+'NEW...Tables 91-112'!J211+'NEW...Tables 91-112'!K211</f>
        <v>0</v>
      </c>
      <c r="H83" s="119">
        <f>+'NEW...Tables 91-112'!J26+'NEW...Tables 91-112'!K26</f>
        <v>89.148069189558939</v>
      </c>
      <c r="I83" s="339"/>
      <c r="J83" s="339"/>
      <c r="K83" s="339"/>
      <c r="L83" s="339"/>
      <c r="M83" s="339"/>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row>
    <row r="84" spans="1:40" s="25" customFormat="1">
      <c r="A84" s="220" t="s">
        <v>155</v>
      </c>
      <c r="B84" s="328">
        <f>+'NEW...Tables 91-112'!J59+'NEW...Tables 91-112'!K59</f>
        <v>72.572578382718561</v>
      </c>
      <c r="C84" s="328">
        <f>+'NEW...Tables 91-112'!J90+'NEW...Tables 91-112'!K90</f>
        <v>0</v>
      </c>
      <c r="D84" s="328">
        <f>+'NEW...Tables 91-112'!J120+'NEW...Tables 91-112'!K120</f>
        <v>69.831997845262947</v>
      </c>
      <c r="E84" s="328">
        <f>+'NEW...Tables 91-112'!J151+'NEW...Tables 91-112'!K151</f>
        <v>0</v>
      </c>
      <c r="F84" s="328">
        <f>+'NEW...Tables 91-112'!J182+'NEW...Tables 91-112'!K182</f>
        <v>52.980678605089537</v>
      </c>
      <c r="G84" s="328">
        <f>+'NEW...Tables 91-112'!J212+'NEW...Tables 91-112'!K212</f>
        <v>48.651552594821105</v>
      </c>
      <c r="H84" s="120">
        <f>+'NEW...Tables 91-112'!J27+'NEW...Tables 91-112'!K27</f>
        <v>69.517084787063183</v>
      </c>
      <c r="I84" s="339"/>
      <c r="J84" s="339"/>
      <c r="K84" s="339"/>
      <c r="L84" s="339"/>
      <c r="M84" s="339"/>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row>
    <row r="85" spans="1:40" s="28" customFormat="1" ht="35.25" customHeight="1">
      <c r="A85" s="675" t="s">
        <v>920</v>
      </c>
      <c r="B85" s="675"/>
      <c r="C85" s="675"/>
      <c r="D85" s="675"/>
      <c r="E85" s="675"/>
      <c r="F85" s="675"/>
      <c r="G85" s="675"/>
      <c r="H85" s="675"/>
      <c r="I85" s="25"/>
      <c r="J85" s="25"/>
      <c r="K85" s="25"/>
      <c r="L85" s="25"/>
      <c r="M85" s="26"/>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row>
    <row r="86" spans="1:40">
      <c r="A86" s="25"/>
      <c r="B86" s="25"/>
      <c r="C86" s="25"/>
      <c r="D86" s="25"/>
      <c r="E86" s="25"/>
      <c r="F86" s="25"/>
      <c r="G86" s="25"/>
      <c r="H86" s="27" t="s">
        <v>899</v>
      </c>
      <c r="I86" s="25"/>
      <c r="J86" s="25"/>
      <c r="K86" s="25"/>
      <c r="L86" s="25"/>
      <c r="M86" s="26"/>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row>
    <row r="87" spans="1:40" ht="18">
      <c r="A87" s="16" t="s">
        <v>160</v>
      </c>
      <c r="B87" s="34"/>
      <c r="C87" s="34"/>
      <c r="D87" s="34"/>
      <c r="E87" s="34"/>
      <c r="F87" s="34"/>
      <c r="G87" s="146"/>
      <c r="H87" s="146"/>
      <c r="I87" s="150" t="s">
        <v>39</v>
      </c>
      <c r="J87" s="150"/>
      <c r="K87" s="150"/>
      <c r="L87" s="150"/>
      <c r="M87" s="334"/>
    </row>
    <row r="88" spans="1:40">
      <c r="A88" s="18"/>
      <c r="B88" s="19"/>
      <c r="C88" s="19"/>
      <c r="D88" s="19"/>
      <c r="E88" s="19"/>
      <c r="F88" s="19"/>
      <c r="G88" s="19"/>
      <c r="H88" s="19"/>
      <c r="I88" s="335"/>
      <c r="J88" s="335"/>
      <c r="K88" s="335"/>
      <c r="L88" s="335"/>
      <c r="M88" s="336"/>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row>
    <row r="89" spans="1:40" s="32" customFormat="1" ht="18">
      <c r="A89" s="37" t="s">
        <v>161</v>
      </c>
      <c r="B89" s="34"/>
      <c r="C89" s="34"/>
      <c r="D89" s="34"/>
      <c r="E89" s="34"/>
      <c r="F89" s="34"/>
      <c r="G89" s="146"/>
      <c r="H89" s="146"/>
      <c r="I89" s="150" t="s">
        <v>39</v>
      </c>
      <c r="J89" s="150"/>
      <c r="K89" s="150"/>
      <c r="L89" s="150"/>
      <c r="M89" s="334"/>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row>
    <row r="90" spans="1:40" s="32" customFormat="1" ht="15.75">
      <c r="A90" s="37" t="s">
        <v>918</v>
      </c>
      <c r="B90" s="19"/>
      <c r="C90" s="19"/>
      <c r="D90" s="19"/>
      <c r="E90" s="19"/>
      <c r="F90" s="19"/>
      <c r="G90" s="146"/>
      <c r="H90" s="146"/>
      <c r="I90" s="150" t="s">
        <v>39</v>
      </c>
      <c r="J90" s="150"/>
      <c r="K90" s="150"/>
      <c r="L90" s="150"/>
      <c r="M90" s="334"/>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row>
    <row r="91" spans="1:40" ht="11.25" customHeight="1">
      <c r="A91" s="340"/>
      <c r="B91" s="335"/>
      <c r="C91" s="335"/>
      <c r="D91" s="335"/>
      <c r="E91" s="335"/>
      <c r="F91" s="335"/>
      <c r="G91" s="150"/>
      <c r="H91" s="150"/>
      <c r="I91" s="150"/>
      <c r="J91" s="150"/>
      <c r="K91" s="150"/>
      <c r="L91" s="150"/>
      <c r="M91" s="334"/>
    </row>
    <row r="92" spans="1:40" ht="15.75" customHeight="1">
      <c r="A92" s="325"/>
      <c r="B92" s="44" t="s">
        <v>55</v>
      </c>
      <c r="C92" s="44"/>
      <c r="D92" s="44"/>
      <c r="E92" s="44"/>
      <c r="F92" s="44"/>
      <c r="G92" s="44"/>
      <c r="H92" s="44"/>
      <c r="I92" s="154"/>
      <c r="J92" s="154"/>
      <c r="K92" s="154"/>
      <c r="L92" s="154"/>
      <c r="M92" s="154"/>
      <c r="N92" s="154"/>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row>
    <row r="93" spans="1:40" ht="15.75" customHeight="1">
      <c r="A93" s="325"/>
      <c r="B93" s="317">
        <v>1</v>
      </c>
      <c r="C93" s="317">
        <v>2</v>
      </c>
      <c r="D93" s="317">
        <v>3</v>
      </c>
      <c r="E93" s="317">
        <v>4</v>
      </c>
      <c r="F93" s="317">
        <v>5</v>
      </c>
      <c r="G93" s="317">
        <v>6</v>
      </c>
      <c r="H93" s="316" t="s">
        <v>242</v>
      </c>
      <c r="I93" s="154"/>
      <c r="J93" s="154"/>
      <c r="K93" s="154"/>
      <c r="L93" s="154"/>
      <c r="M93" s="154"/>
      <c r="N93" s="154"/>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row>
    <row r="94" spans="1:40" ht="15.75" customHeight="1">
      <c r="A94" s="28" t="s">
        <v>141</v>
      </c>
      <c r="B94" s="341">
        <f>+'NEW...Tables 91-112'!L41</f>
        <v>15.979751914416161</v>
      </c>
      <c r="C94" s="341">
        <f>+'NEW...Tables 91-112'!L72</f>
        <v>25.522345164535135</v>
      </c>
      <c r="D94" s="341">
        <f>+'NEW...Tables 91-112'!L102</f>
        <v>32.851294241944004</v>
      </c>
      <c r="E94" s="341">
        <f>+'NEW...Tables 91-112'!L133</f>
        <v>44.768874996823463</v>
      </c>
      <c r="F94" s="341">
        <f>+'NEW...Tables 91-112'!L164</f>
        <v>75.828180767104001</v>
      </c>
      <c r="G94" s="341">
        <f>+'NEW...Tables 91-112'!L194</f>
        <v>0</v>
      </c>
      <c r="H94" s="118">
        <f>+'NEW...Tables 91-112'!L9</f>
        <v>29.169592047890031</v>
      </c>
      <c r="I94" s="339"/>
      <c r="J94" s="339"/>
      <c r="K94" s="339"/>
      <c r="L94" s="339"/>
      <c r="M94" s="339"/>
      <c r="N94" s="156"/>
    </row>
    <row r="95" spans="1:40" ht="15.75" customHeight="1">
      <c r="A95" s="28" t="s">
        <v>142</v>
      </c>
      <c r="B95" s="321">
        <f>+'NEW...Tables 91-112'!L42</f>
        <v>23.245404481102419</v>
      </c>
      <c r="C95" s="321">
        <f>+'NEW...Tables 91-112'!L73</f>
        <v>22.156445234808245</v>
      </c>
      <c r="D95" s="321">
        <f>+'NEW...Tables 91-112'!L103</f>
        <v>60.054384663843763</v>
      </c>
      <c r="E95" s="321">
        <f>+'NEW...Tables 91-112'!L134</f>
        <v>53.932795194293227</v>
      </c>
      <c r="F95" s="321">
        <f>+'NEW...Tables 91-112'!L165</f>
        <v>82.917522747285005</v>
      </c>
      <c r="G95" s="321">
        <f>+'NEW...Tables 91-112'!L195</f>
        <v>23.537234042553195</v>
      </c>
      <c r="H95" s="119">
        <f>+'NEW...Tables 91-112'!L10</f>
        <v>35.122018222608851</v>
      </c>
      <c r="I95" s="339"/>
      <c r="J95" s="339"/>
      <c r="K95" s="339"/>
      <c r="L95" s="339"/>
      <c r="M95" s="339"/>
      <c r="N95" s="156"/>
    </row>
    <row r="96" spans="1:40" ht="15.75" customHeight="1">
      <c r="A96" s="28" t="s">
        <v>143</v>
      </c>
      <c r="B96" s="321">
        <f>+'NEW...Tables 91-112'!L43</f>
        <v>7.6339517048398795</v>
      </c>
      <c r="C96" s="321">
        <f>+'NEW...Tables 91-112'!L74</f>
        <v>0</v>
      </c>
      <c r="D96" s="321">
        <f>+'NEW...Tables 91-112'!L104</f>
        <v>1.7520440513932922</v>
      </c>
      <c r="E96" s="321">
        <f>+'NEW...Tables 91-112'!L135</f>
        <v>0</v>
      </c>
      <c r="F96" s="321">
        <f>+'NEW...Tables 91-112'!L166</f>
        <v>0</v>
      </c>
      <c r="G96" s="321">
        <f>+'NEW...Tables 91-112'!L196</f>
        <v>0</v>
      </c>
      <c r="H96" s="119">
        <f>+'NEW...Tables 91-112'!L11</f>
        <v>6.9840333345624837</v>
      </c>
      <c r="I96" s="339"/>
      <c r="J96" s="339"/>
      <c r="K96" s="339"/>
      <c r="L96" s="339"/>
      <c r="M96" s="339"/>
      <c r="N96" s="156"/>
    </row>
    <row r="97" spans="1:40" ht="15.75" customHeight="1">
      <c r="A97" s="28" t="s">
        <v>174</v>
      </c>
      <c r="B97" s="321">
        <f>+'NEW...Tables 91-112'!L44</f>
        <v>19.152180781117167</v>
      </c>
      <c r="C97" s="321">
        <f>+'NEW...Tables 91-112'!L75</f>
        <v>0</v>
      </c>
      <c r="D97" s="321">
        <f>+'NEW...Tables 91-112'!L105</f>
        <v>28.039733892281053</v>
      </c>
      <c r="E97" s="321">
        <f>+'NEW...Tables 91-112'!L136</f>
        <v>32.596388482186434</v>
      </c>
      <c r="F97" s="321">
        <f>+'NEW...Tables 91-112'!L167</f>
        <v>0</v>
      </c>
      <c r="G97" s="321">
        <f>+'NEW...Tables 91-112'!L197</f>
        <v>0</v>
      </c>
      <c r="H97" s="119">
        <f>+'NEW...Tables 91-112'!L12</f>
        <v>20.235813153360859</v>
      </c>
      <c r="I97" s="339"/>
      <c r="J97" s="339"/>
      <c r="K97" s="339"/>
      <c r="L97" s="339"/>
      <c r="M97" s="339"/>
      <c r="N97" s="156"/>
    </row>
    <row r="98" spans="1:40" ht="15.75" customHeight="1">
      <c r="A98" s="28"/>
      <c r="B98" s="321"/>
      <c r="C98" s="321"/>
      <c r="D98" s="321"/>
      <c r="E98" s="321"/>
      <c r="F98" s="321"/>
      <c r="G98" s="321"/>
      <c r="H98" s="119"/>
      <c r="I98" s="339"/>
      <c r="J98" s="339"/>
      <c r="K98" s="339"/>
      <c r="L98" s="339"/>
      <c r="M98" s="339"/>
      <c r="N98" s="156"/>
    </row>
    <row r="99" spans="1:40" ht="15.75" customHeight="1">
      <c r="A99" s="28" t="s">
        <v>145</v>
      </c>
      <c r="B99" s="321">
        <f>+'NEW...Tables 91-112'!L46</f>
        <v>3.564419110610876</v>
      </c>
      <c r="C99" s="321">
        <f>+'NEW...Tables 91-112'!L77</f>
        <v>3.7627808491180081</v>
      </c>
      <c r="D99" s="321">
        <f>+'NEW...Tables 91-112'!L107</f>
        <v>56.773147972297146</v>
      </c>
      <c r="E99" s="321">
        <f>+'NEW...Tables 91-112'!L138</f>
        <v>13.26203975629827</v>
      </c>
      <c r="F99" s="321">
        <f>+'NEW...Tables 91-112'!L169</f>
        <v>26.487229227287422</v>
      </c>
      <c r="G99" s="321">
        <f>+'NEW...Tables 91-112'!L199</f>
        <v>0</v>
      </c>
      <c r="H99" s="119">
        <f>+'NEW...Tables 91-112'!L14</f>
        <v>14.082507210672622</v>
      </c>
      <c r="I99" s="339"/>
      <c r="J99" s="339"/>
      <c r="K99" s="339"/>
      <c r="L99" s="339"/>
      <c r="M99" s="339"/>
      <c r="N99" s="156"/>
    </row>
    <row r="100" spans="1:40" ht="15.75" customHeight="1">
      <c r="A100" s="28" t="s">
        <v>146</v>
      </c>
      <c r="B100" s="321">
        <f>+'NEW...Tables 91-112'!L47</f>
        <v>14.833816357721307</v>
      </c>
      <c r="C100" s="321">
        <f>+'NEW...Tables 91-112'!L78</f>
        <v>0</v>
      </c>
      <c r="D100" s="321">
        <f>+'NEW...Tables 91-112'!L108</f>
        <v>49.213769396735621</v>
      </c>
      <c r="E100" s="321">
        <f>+'NEW...Tables 91-112'!L139</f>
        <v>21.721919841662544</v>
      </c>
      <c r="F100" s="321">
        <f>+'NEW...Tables 91-112'!L170</f>
        <v>0</v>
      </c>
      <c r="G100" s="321">
        <f>+'NEW...Tables 91-112'!L200</f>
        <v>0</v>
      </c>
      <c r="H100" s="119">
        <f>+'NEW...Tables 91-112'!L15</f>
        <v>32.298583614901382</v>
      </c>
      <c r="I100" s="339"/>
      <c r="J100" s="339"/>
      <c r="K100" s="339"/>
      <c r="L100" s="339"/>
      <c r="M100" s="339"/>
      <c r="N100" s="156"/>
    </row>
    <row r="101" spans="1:40" ht="15.75" customHeight="1">
      <c r="A101" s="28" t="s">
        <v>147</v>
      </c>
      <c r="B101" s="321">
        <f>+'NEW...Tables 91-112'!L48</f>
        <v>0</v>
      </c>
      <c r="C101" s="321">
        <f>+'NEW...Tables 91-112'!L79</f>
        <v>0</v>
      </c>
      <c r="D101" s="321">
        <f>+'NEW...Tables 91-112'!L109</f>
        <v>0</v>
      </c>
      <c r="E101" s="321">
        <f>+'NEW...Tables 91-112'!L140</f>
        <v>0</v>
      </c>
      <c r="F101" s="321">
        <f>+'NEW...Tables 91-112'!L171</f>
        <v>0</v>
      </c>
      <c r="G101" s="321">
        <f>+'NEW...Tables 91-112'!L201</f>
        <v>0</v>
      </c>
      <c r="H101" s="119">
        <f>+'NEW...Tables 91-112'!L16</f>
        <v>0</v>
      </c>
      <c r="I101" s="339"/>
      <c r="J101" s="339"/>
      <c r="K101" s="339"/>
      <c r="L101" s="339"/>
      <c r="M101" s="339"/>
      <c r="N101" s="156"/>
    </row>
    <row r="102" spans="1:40" ht="15.75" customHeight="1">
      <c r="A102" s="28" t="s">
        <v>177</v>
      </c>
      <c r="B102" s="321">
        <f>+'NEW...Tables 91-112'!L49</f>
        <v>5.2104118124123016</v>
      </c>
      <c r="C102" s="321">
        <f>+'NEW...Tables 91-112'!L80</f>
        <v>15.864865343414133</v>
      </c>
      <c r="D102" s="321">
        <f>+'NEW...Tables 91-112'!L110</f>
        <v>21.338326119729611</v>
      </c>
      <c r="E102" s="321">
        <f>+'NEW...Tables 91-112'!L141</f>
        <v>22.804384904969005</v>
      </c>
      <c r="F102" s="321">
        <f>+'NEW...Tables 91-112'!L172</f>
        <v>8.9161772557394556</v>
      </c>
      <c r="G102" s="321">
        <f>+'NEW...Tables 91-112'!L202</f>
        <v>0</v>
      </c>
      <c r="H102" s="119">
        <f>+'NEW...Tables 91-112'!L17</f>
        <v>39.383895171614697</v>
      </c>
      <c r="I102" s="339"/>
      <c r="J102" s="339"/>
      <c r="K102" s="339"/>
      <c r="L102" s="339"/>
      <c r="M102" s="339"/>
      <c r="N102" s="156"/>
    </row>
    <row r="103" spans="1:40" ht="15.75" customHeight="1">
      <c r="A103" s="28"/>
      <c r="B103" s="321"/>
      <c r="C103" s="321"/>
      <c r="D103" s="321"/>
      <c r="E103" s="321"/>
      <c r="F103" s="321"/>
      <c r="G103" s="321"/>
      <c r="H103" s="119"/>
      <c r="I103" s="339"/>
      <c r="J103" s="339"/>
      <c r="K103" s="339"/>
      <c r="L103" s="339"/>
      <c r="M103" s="339"/>
      <c r="N103" s="156"/>
    </row>
    <row r="104" spans="1:40" ht="15.75" customHeight="1">
      <c r="A104" s="28" t="s">
        <v>148</v>
      </c>
      <c r="B104" s="321">
        <f>+'NEW...Tables 91-112'!L51</f>
        <v>26.505160048976737</v>
      </c>
      <c r="C104" s="321">
        <f>+'NEW...Tables 91-112'!L82</f>
        <v>15.644803229061555</v>
      </c>
      <c r="D104" s="321">
        <f>+'NEW...Tables 91-112'!L112</f>
        <v>0</v>
      </c>
      <c r="E104" s="321">
        <f>+'NEW...Tables 91-112'!L143</f>
        <v>76.604909680407587</v>
      </c>
      <c r="F104" s="321">
        <f>+'NEW...Tables 91-112'!L174</f>
        <v>30.311068242102724</v>
      </c>
      <c r="G104" s="321">
        <f>+'NEW...Tables 91-112'!L204</f>
        <v>0</v>
      </c>
      <c r="H104" s="119">
        <f>+'NEW...Tables 91-112'!L19</f>
        <v>30.734333715539158</v>
      </c>
      <c r="I104" s="339"/>
      <c r="J104" s="339"/>
      <c r="K104" s="339"/>
      <c r="L104" s="339"/>
      <c r="M104" s="339"/>
      <c r="N104" s="156"/>
    </row>
    <row r="105" spans="1:40" ht="15.75" customHeight="1">
      <c r="A105" s="28" t="s">
        <v>149</v>
      </c>
      <c r="B105" s="321">
        <f>+'NEW...Tables 91-112'!L52</f>
        <v>13.345681482294175</v>
      </c>
      <c r="C105" s="321">
        <f>+'NEW...Tables 91-112'!L83</f>
        <v>46.961911451209438</v>
      </c>
      <c r="D105" s="321">
        <f>+'NEW...Tables 91-112'!L113</f>
        <v>26.970865601781657</v>
      </c>
      <c r="E105" s="321">
        <f>+'NEW...Tables 91-112'!L144</f>
        <v>18.886115176035119</v>
      </c>
      <c r="F105" s="321">
        <f>+'NEW...Tables 91-112'!L175</f>
        <v>27.518886342415755</v>
      </c>
      <c r="G105" s="321">
        <f>+'NEW...Tables 91-112'!L205</f>
        <v>23.52941176470588</v>
      </c>
      <c r="H105" s="119">
        <f>+'NEW...Tables 91-112'!L20</f>
        <v>20.501780031285396</v>
      </c>
      <c r="I105" s="339"/>
      <c r="J105" s="339"/>
      <c r="K105" s="339"/>
      <c r="L105" s="339"/>
      <c r="M105" s="339"/>
      <c r="N105" s="156"/>
    </row>
    <row r="106" spans="1:40" ht="15.75" customHeight="1">
      <c r="A106" s="28" t="s">
        <v>150</v>
      </c>
      <c r="B106" s="321">
        <f>+'NEW...Tables 91-112'!L53</f>
        <v>27.778563777108559</v>
      </c>
      <c r="C106" s="321">
        <f>+'NEW...Tables 91-112'!L84</f>
        <v>0</v>
      </c>
      <c r="D106" s="321">
        <f>+'NEW...Tables 91-112'!L114</f>
        <v>15.727725511898175</v>
      </c>
      <c r="E106" s="321">
        <f>+'NEW...Tables 91-112'!L145</f>
        <v>48.865589549673423</v>
      </c>
      <c r="F106" s="321">
        <f>+'NEW...Tables 91-112'!L176</f>
        <v>52.152003505526068</v>
      </c>
      <c r="G106" s="321">
        <f>+'NEW...Tables 91-112'!L206</f>
        <v>0</v>
      </c>
      <c r="H106" s="119">
        <f>+'NEW...Tables 91-112'!L21</f>
        <v>30.178695386508267</v>
      </c>
      <c r="I106" s="339"/>
      <c r="J106" s="339"/>
      <c r="K106" s="339"/>
      <c r="L106" s="339"/>
      <c r="M106" s="339"/>
      <c r="N106" s="156"/>
    </row>
    <row r="107" spans="1:40" ht="15.75" customHeight="1">
      <c r="A107" s="28" t="s">
        <v>151</v>
      </c>
      <c r="B107" s="321">
        <f>+'NEW...Tables 91-112'!L54</f>
        <v>18.130191755298501</v>
      </c>
      <c r="C107" s="321">
        <f>+'NEW...Tables 91-112'!L85</f>
        <v>0</v>
      </c>
      <c r="D107" s="321">
        <f>+'NEW...Tables 91-112'!L115</f>
        <v>9.9403504871994368</v>
      </c>
      <c r="E107" s="321">
        <f>+'NEW...Tables 91-112'!L146</f>
        <v>0</v>
      </c>
      <c r="F107" s="321">
        <f>+'NEW...Tables 91-112'!L177</f>
        <v>26.260015507883171</v>
      </c>
      <c r="G107" s="321">
        <f>+'NEW...Tables 91-112'!L207</f>
        <v>32.834711511660316</v>
      </c>
      <c r="H107" s="119">
        <f>+'NEW...Tables 91-112'!L22</f>
        <v>17.94802087864289</v>
      </c>
      <c r="I107" s="339"/>
      <c r="J107" s="339"/>
      <c r="K107" s="339"/>
      <c r="L107" s="339"/>
      <c r="M107" s="339"/>
      <c r="N107" s="156"/>
    </row>
    <row r="108" spans="1:40" ht="15.75" customHeight="1">
      <c r="A108" s="28"/>
      <c r="B108" s="321"/>
      <c r="C108" s="321"/>
      <c r="D108" s="321"/>
      <c r="E108" s="321"/>
      <c r="F108" s="321"/>
      <c r="G108" s="321"/>
      <c r="H108" s="119"/>
      <c r="I108" s="339"/>
      <c r="J108" s="339"/>
      <c r="K108" s="339"/>
      <c r="L108" s="339"/>
      <c r="M108" s="339"/>
      <c r="N108" s="156"/>
    </row>
    <row r="109" spans="1:40" ht="15.75" customHeight="1">
      <c r="A109" s="28" t="s">
        <v>152</v>
      </c>
      <c r="B109" s="321">
        <f>+'NEW...Tables 91-112'!L56</f>
        <v>22.192097759674134</v>
      </c>
      <c r="C109" s="321">
        <f>+'NEW...Tables 91-112'!L87</f>
        <v>24.00367671196901</v>
      </c>
      <c r="D109" s="321">
        <f>+'NEW...Tables 91-112'!L117</f>
        <v>44.143847162389953</v>
      </c>
      <c r="E109" s="321">
        <f>+'NEW...Tables 91-112'!L148</f>
        <v>0</v>
      </c>
      <c r="F109" s="321">
        <f>+'NEW...Tables 91-112'!L179</f>
        <v>84.390579336427706</v>
      </c>
      <c r="G109" s="321">
        <f>+'NEW...Tables 91-112'!L209</f>
        <v>0</v>
      </c>
      <c r="H109" s="119">
        <f>+'NEW...Tables 91-112'!L24</f>
        <v>32.548195110329324</v>
      </c>
      <c r="I109" s="339"/>
      <c r="J109" s="339"/>
      <c r="K109" s="339"/>
      <c r="L109" s="339"/>
      <c r="M109" s="339"/>
      <c r="N109" s="156"/>
    </row>
    <row r="110" spans="1:40" ht="15.75" customHeight="1">
      <c r="A110" s="28" t="s">
        <v>153</v>
      </c>
      <c r="B110" s="321">
        <f>+'NEW...Tables 91-112'!L57</f>
        <v>13.712420430766684</v>
      </c>
      <c r="C110" s="321">
        <f>+'NEW...Tables 91-112'!L88</f>
        <v>31.91848075314936</v>
      </c>
      <c r="D110" s="321">
        <f>+'NEW...Tables 91-112'!L118</f>
        <v>44.418224990591803</v>
      </c>
      <c r="E110" s="321">
        <f>+'NEW...Tables 91-112'!L149</f>
        <v>67.717508479478354</v>
      </c>
      <c r="F110" s="321">
        <f>+'NEW...Tables 91-112'!L180</f>
        <v>59.535726953848574</v>
      </c>
      <c r="G110" s="321">
        <f>+'NEW...Tables 91-112'!L210</f>
        <v>18.552253116011507</v>
      </c>
      <c r="H110" s="119">
        <f>+'NEW...Tables 91-112'!L25</f>
        <v>27.476228624445532</v>
      </c>
      <c r="I110" s="339"/>
      <c r="J110" s="339"/>
      <c r="K110" s="339"/>
      <c r="L110" s="339"/>
      <c r="M110" s="339"/>
      <c r="N110" s="156"/>
    </row>
    <row r="111" spans="1:40" s="25" customFormat="1" ht="15.75" customHeight="1">
      <c r="A111" s="28" t="s">
        <v>154</v>
      </c>
      <c r="B111" s="321">
        <f>+'NEW...Tables 91-112'!L58</f>
        <v>11.466502162133814</v>
      </c>
      <c r="C111" s="321">
        <f>+'NEW...Tables 91-112'!L89</f>
        <v>5.2976024980216865</v>
      </c>
      <c r="D111" s="321">
        <f>+'NEW...Tables 91-112'!L119</f>
        <v>18.781882758500618</v>
      </c>
      <c r="E111" s="321">
        <f>+'NEW...Tables 91-112'!L150</f>
        <v>0</v>
      </c>
      <c r="F111" s="321">
        <f>+'NEW...Tables 91-112'!L181</f>
        <v>0</v>
      </c>
      <c r="G111" s="321">
        <f>+'NEW...Tables 91-112'!L211</f>
        <v>0</v>
      </c>
      <c r="H111" s="119">
        <f>+'NEW...Tables 91-112'!L26</f>
        <v>10.851930810441072</v>
      </c>
      <c r="I111" s="339"/>
      <c r="J111" s="339"/>
      <c r="K111" s="339"/>
      <c r="L111" s="339"/>
      <c r="M111" s="339"/>
      <c r="N111" s="156"/>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row>
    <row r="112" spans="1:40" s="25" customFormat="1" ht="13.5" customHeight="1">
      <c r="A112" s="222" t="s">
        <v>155</v>
      </c>
      <c r="B112" s="321">
        <f>+'NEW...Tables 91-112'!L59</f>
        <v>27.427421617281443</v>
      </c>
      <c r="C112" s="321">
        <f>+'NEW...Tables 91-112'!L90</f>
        <v>0</v>
      </c>
      <c r="D112" s="321">
        <f>+'NEW...Tables 91-112'!L120</f>
        <v>30.168002154737053</v>
      </c>
      <c r="E112" s="321">
        <f>+'NEW...Tables 91-112'!L151</f>
        <v>0</v>
      </c>
      <c r="F112" s="321">
        <f>+'NEW...Tables 91-112'!L182</f>
        <v>47.019321394910463</v>
      </c>
      <c r="G112" s="321">
        <f>+'NEW...Tables 91-112'!L212</f>
        <v>51.348447405178902</v>
      </c>
      <c r="H112" s="119">
        <f>+'NEW...Tables 91-112'!L27</f>
        <v>30.482915212936813</v>
      </c>
      <c r="I112" s="339"/>
      <c r="J112" s="339"/>
      <c r="K112" s="339"/>
      <c r="L112" s="339"/>
      <c r="M112" s="339"/>
      <c r="N112" s="156"/>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row>
    <row r="113" spans="1:40" s="25" customFormat="1" ht="35.25" customHeight="1">
      <c r="A113" s="665" t="s">
        <v>920</v>
      </c>
      <c r="B113" s="665"/>
      <c r="C113" s="665"/>
      <c r="D113" s="665"/>
      <c r="E113" s="665"/>
      <c r="F113" s="665"/>
      <c r="G113" s="665"/>
      <c r="H113" s="665"/>
      <c r="I113" s="342"/>
      <c r="J113" s="342"/>
      <c r="K113" s="342"/>
      <c r="L113" s="342"/>
      <c r="M113" s="342"/>
      <c r="N113" s="26"/>
    </row>
    <row r="114" spans="1:40" ht="27" customHeight="1">
      <c r="A114" s="666" t="s">
        <v>243</v>
      </c>
      <c r="B114" s="667"/>
      <c r="C114" s="667"/>
      <c r="D114" s="667"/>
      <c r="E114" s="667"/>
      <c r="F114" s="667"/>
      <c r="G114" s="667"/>
      <c r="H114" s="667"/>
      <c r="I114" s="26"/>
      <c r="J114" s="26"/>
      <c r="K114" s="26"/>
      <c r="L114" s="26"/>
      <c r="M114" s="26"/>
      <c r="N114" s="26"/>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row>
    <row r="115" spans="1:40" ht="9.75" customHeight="1">
      <c r="A115" s="318"/>
      <c r="B115" s="149"/>
      <c r="C115" s="149"/>
      <c r="D115" s="149"/>
      <c r="E115" s="149"/>
      <c r="F115" s="149"/>
      <c r="G115" s="149"/>
      <c r="H115" s="149"/>
      <c r="I115" s="149"/>
      <c r="J115" s="149"/>
      <c r="K115" s="149"/>
      <c r="L115" s="149"/>
      <c r="M115" s="149"/>
      <c r="N115" s="149"/>
      <c r="O115" s="149"/>
      <c r="P115" s="149"/>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row>
    <row r="116" spans="1:40">
      <c r="A116" s="25"/>
      <c r="B116" s="25"/>
      <c r="C116" s="25"/>
      <c r="D116" s="25"/>
      <c r="E116" s="25"/>
      <c r="F116" s="25"/>
      <c r="G116" s="25"/>
      <c r="H116" s="27" t="s">
        <v>899</v>
      </c>
      <c r="I116" s="26"/>
      <c r="J116" s="26"/>
      <c r="K116" s="26"/>
      <c r="L116" s="26"/>
      <c r="M116" s="26"/>
      <c r="N116" s="26"/>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row>
  </sheetData>
  <mergeCells count="10">
    <mergeCell ref="A113:H113"/>
    <mergeCell ref="A114:H114"/>
    <mergeCell ref="B5:H5"/>
    <mergeCell ref="I5:M5"/>
    <mergeCell ref="A29:P29"/>
    <mergeCell ref="A31:P31"/>
    <mergeCell ref="A55:P55"/>
    <mergeCell ref="A26:P26"/>
    <mergeCell ref="A54:P54"/>
    <mergeCell ref="A85:H85"/>
  </mergeCells>
  <pageMargins left="0.7" right="0.7" top="0.75" bottom="0.75" header="0.3" footer="0.3"/>
  <pageSetup firstPageNumber="96" orientation="landscape" useFirstPageNumber="1" r:id="rId1"/>
  <headerFooter>
    <oddHeader>&amp;R&amp;"Arial,Regular"&amp;8SREB-State Data Exchange</oddHeader>
    <oddFooter>&amp;C&amp;P</oddFooter>
  </headerFooter>
  <rowBreaks count="3" manualBreakCount="3">
    <brk id="28" max="15" man="1"/>
    <brk id="57" max="15" man="1"/>
    <brk id="86"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P113"/>
  <sheetViews>
    <sheetView showZeros="0" view="pageBreakPreview" zoomScaleNormal="100" zoomScaleSheetLayoutView="100" workbookViewId="0"/>
  </sheetViews>
  <sheetFormatPr defaultRowHeight="15"/>
  <cols>
    <col min="1" max="1" width="12.7109375" style="15" customWidth="1"/>
    <col min="2" max="8" width="7.28515625" style="15" customWidth="1"/>
    <col min="9" max="9" width="7.28515625" style="148" customWidth="1"/>
    <col min="10" max="12" width="7.28515625" style="15" customWidth="1"/>
    <col min="13" max="13" width="7.28515625" style="123" customWidth="1"/>
    <col min="14" max="16" width="7.28515625" style="15" customWidth="1"/>
    <col min="17" max="16384" width="9.140625" style="15"/>
  </cols>
  <sheetData>
    <row r="1" spans="1:16" ht="18">
      <c r="A1" s="113" t="s">
        <v>138</v>
      </c>
      <c r="B1" s="34"/>
      <c r="C1" s="34"/>
      <c r="D1" s="34"/>
      <c r="E1" s="34"/>
      <c r="F1" s="34"/>
      <c r="G1" s="17"/>
      <c r="H1" s="17"/>
      <c r="I1" s="146"/>
      <c r="J1" s="17"/>
      <c r="K1" s="17"/>
      <c r="L1" s="17"/>
      <c r="M1" s="343"/>
      <c r="N1" s="17"/>
      <c r="O1" s="17"/>
      <c r="P1" s="17"/>
    </row>
    <row r="2" spans="1:16" s="28" customFormat="1" ht="12.75">
      <c r="A2" s="18"/>
      <c r="B2" s="19"/>
      <c r="C2" s="19"/>
      <c r="D2" s="19"/>
      <c r="E2" s="19"/>
      <c r="F2" s="19"/>
      <c r="G2" s="19"/>
      <c r="H2" s="19"/>
      <c r="I2" s="19"/>
      <c r="J2" s="19"/>
      <c r="K2" s="19"/>
      <c r="L2" s="19"/>
      <c r="M2" s="36"/>
      <c r="N2" s="19"/>
      <c r="O2" s="19"/>
      <c r="P2" s="19"/>
    </row>
    <row r="3" spans="1:16" ht="15.75">
      <c r="A3" s="344" t="s">
        <v>279</v>
      </c>
      <c r="B3" s="19"/>
      <c r="C3" s="19"/>
      <c r="D3" s="19"/>
      <c r="E3" s="19"/>
      <c r="F3" s="19"/>
      <c r="G3" s="17"/>
      <c r="H3" s="17"/>
      <c r="I3" s="146"/>
      <c r="J3" s="17"/>
      <c r="K3" s="17"/>
      <c r="L3" s="17"/>
      <c r="M3" s="343"/>
      <c r="N3" s="17"/>
      <c r="O3" s="17"/>
      <c r="P3" s="17"/>
    </row>
    <row r="4" spans="1:16">
      <c r="A4" s="345"/>
      <c r="B4" s="20"/>
      <c r="C4" s="20"/>
      <c r="D4" s="20"/>
      <c r="E4" s="20"/>
      <c r="F4" s="20"/>
      <c r="G4" s="20"/>
      <c r="H4" s="20"/>
      <c r="I4" s="147"/>
      <c r="J4" s="20"/>
      <c r="K4" s="20"/>
      <c r="L4" s="20"/>
    </row>
    <row r="5" spans="1:16" s="31" customFormat="1" ht="18" customHeight="1">
      <c r="A5" s="346"/>
      <c r="B5" s="676" t="s">
        <v>55</v>
      </c>
      <c r="C5" s="676"/>
      <c r="D5" s="676"/>
      <c r="E5" s="676"/>
      <c r="F5" s="676"/>
      <c r="G5" s="676"/>
      <c r="H5" s="677"/>
      <c r="I5" s="678" t="s">
        <v>56</v>
      </c>
      <c r="J5" s="676"/>
      <c r="K5" s="676"/>
      <c r="L5" s="676"/>
      <c r="M5" s="676"/>
      <c r="N5" s="347" t="s">
        <v>57</v>
      </c>
      <c r="O5" s="21"/>
      <c r="P5" s="21"/>
    </row>
    <row r="6" spans="1:16" s="32" customFormat="1" ht="25.5">
      <c r="A6" s="348"/>
      <c r="B6" s="349">
        <v>1</v>
      </c>
      <c r="C6" s="349">
        <v>2</v>
      </c>
      <c r="D6" s="349">
        <v>3</v>
      </c>
      <c r="E6" s="349">
        <v>4</v>
      </c>
      <c r="F6" s="349">
        <v>5</v>
      </c>
      <c r="G6" s="349">
        <v>6</v>
      </c>
      <c r="H6" s="22" t="s">
        <v>248</v>
      </c>
      <c r="I6" s="350" t="s">
        <v>140</v>
      </c>
      <c r="J6" s="349">
        <v>1</v>
      </c>
      <c r="K6" s="349">
        <v>2</v>
      </c>
      <c r="L6" s="349">
        <v>3</v>
      </c>
      <c r="M6" s="23" t="s">
        <v>139</v>
      </c>
      <c r="N6" s="23">
        <v>1</v>
      </c>
      <c r="O6" s="349">
        <v>2</v>
      </c>
      <c r="P6" s="23" t="s">
        <v>139</v>
      </c>
    </row>
    <row r="7" spans="1:16" ht="15.75" customHeight="1">
      <c r="A7" s="28" t="s">
        <v>141</v>
      </c>
      <c r="B7" s="122">
        <f>+OLD...Tabs!B41+OLD...Tabs!C41</f>
        <v>94.547340757605696</v>
      </c>
      <c r="C7" s="122">
        <f>+OLD...Tabs!B72+OLD...Tabs!C72</f>
        <v>87.52918217628563</v>
      </c>
      <c r="D7" s="122">
        <f>+OLD...Tabs!B102+OLD...Tabs!C102</f>
        <v>84.334759709953303</v>
      </c>
      <c r="E7" s="122">
        <f>+OLD...Tabs!B133+OLD...Tabs!C133</f>
        <v>86.841566473457902</v>
      </c>
      <c r="F7" s="122">
        <f>+OLD...Tabs!B164+OLD...Tabs!C164</f>
        <v>95.909270528728356</v>
      </c>
      <c r="G7" s="122">
        <f>+OLD...Tabs!B194+OLD...Tabs!C194</f>
        <v>39.293105394523948</v>
      </c>
      <c r="H7" s="115">
        <f>+OLD...Tabs!B9+OLD...Tabs!C9</f>
        <v>88.793343955746636</v>
      </c>
      <c r="I7" s="119">
        <f>+OLD...Tabs!B256+OLD...Tabs!C256</f>
        <v>0</v>
      </c>
      <c r="J7" s="122">
        <f>+OLD...Tabs!B287+OLD...Tabs!C287</f>
        <v>78.165697569431913</v>
      </c>
      <c r="K7" s="122">
        <f>+OLD...Tabs!B318+OLD...Tabs!C318</f>
        <v>84.016903678924706</v>
      </c>
      <c r="L7" s="122">
        <f>+OLD...Tabs!B349+OLD...Tabs!C349</f>
        <v>77.379517256325514</v>
      </c>
      <c r="M7" s="119">
        <f>+OLD...Tabs!B225+OLD...Tabs!C225</f>
        <v>81.288677641726224</v>
      </c>
      <c r="N7" s="327">
        <f>+OLD...Tabs!B410+OLD...Tabs!C410</f>
        <v>92.707122584132975</v>
      </c>
      <c r="O7" s="63">
        <f>+OLD...Tabs!B440+OLD...Tabs!C440</f>
        <v>92.439580330506487</v>
      </c>
      <c r="P7" s="118">
        <f>+OLD...Tabs!B380+OLD...Tabs!C380</f>
        <v>92.541976598628196</v>
      </c>
    </row>
    <row r="8" spans="1:16" ht="15.75" customHeight="1">
      <c r="A8" s="28" t="s">
        <v>142</v>
      </c>
      <c r="B8" s="122">
        <f>+OLD...Tabs!B42+OLD...Tabs!C42</f>
        <v>92.72775705913692</v>
      </c>
      <c r="C8" s="122">
        <f>+OLD...Tabs!B73+OLD...Tabs!C73</f>
        <v>71.458512652780172</v>
      </c>
      <c r="D8" s="122">
        <f>+OLD...Tabs!B103+OLD...Tabs!C103</f>
        <v>81.97767685963133</v>
      </c>
      <c r="E8" s="122">
        <f>+OLD...Tabs!B134+OLD...Tabs!C134</f>
        <v>85.795997270866494</v>
      </c>
      <c r="F8" s="122">
        <f>+OLD...Tabs!B165+OLD...Tabs!C165</f>
        <v>80.285576628268572</v>
      </c>
      <c r="G8" s="122">
        <f>+OLD...Tabs!B195+OLD...Tabs!C195</f>
        <v>86.190320586764727</v>
      </c>
      <c r="H8" s="116">
        <f>+OLD...Tabs!B10+OLD...Tabs!C10</f>
        <v>84.818937955556905</v>
      </c>
      <c r="I8" s="119">
        <f>+OLD...Tabs!B257+OLD...Tabs!C257</f>
        <v>0</v>
      </c>
      <c r="J8" s="122">
        <f>+OLD...Tabs!B288+OLD...Tabs!C288</f>
        <v>70.39978773210602</v>
      </c>
      <c r="K8" s="122">
        <f>+OLD...Tabs!B319+OLD...Tabs!C319</f>
        <v>79.320248922929636</v>
      </c>
      <c r="L8" s="122">
        <f>+OLD...Tabs!B350+OLD...Tabs!C350</f>
        <v>78.338615239235395</v>
      </c>
      <c r="M8" s="119">
        <f>+OLD...Tabs!B226+OLD...Tabs!C226</f>
        <v>75.854603128971235</v>
      </c>
      <c r="N8" s="327">
        <f>+OLD...Tabs!B411+OLD...Tabs!C411</f>
        <v>0</v>
      </c>
      <c r="O8" s="63">
        <f>+OLD...Tabs!B441+OLD...Tabs!C441</f>
        <v>0</v>
      </c>
      <c r="P8" s="119">
        <f>+OLD...Tabs!B381+OLD...Tabs!C381</f>
        <v>0</v>
      </c>
    </row>
    <row r="9" spans="1:16" ht="15.75" customHeight="1">
      <c r="A9" s="28" t="s">
        <v>143</v>
      </c>
      <c r="B9" s="122">
        <f>+OLD...Tabs!B43+OLD...Tabs!C43</f>
        <v>97.439417010288281</v>
      </c>
      <c r="C9" s="122">
        <f>+OLD...Tabs!B74+OLD...Tabs!C74</f>
        <v>0</v>
      </c>
      <c r="D9" s="122">
        <f>+OLD...Tabs!B104+OLD...Tabs!C104</f>
        <v>98.160052818124953</v>
      </c>
      <c r="E9" s="122">
        <f>+OLD...Tabs!B135+OLD...Tabs!C135</f>
        <v>0</v>
      </c>
      <c r="F9" s="122">
        <f>+OLD...Tabs!B166+OLD...Tabs!C166</f>
        <v>0</v>
      </c>
      <c r="G9" s="122">
        <f>+OLD...Tabs!B196+OLD...Tabs!C196</f>
        <v>0</v>
      </c>
      <c r="H9" s="116">
        <f>+OLD...Tabs!B11+OLD...Tabs!C11</f>
        <v>97.566073746087483</v>
      </c>
      <c r="I9" s="119">
        <f>+OLD...Tabs!B258+OLD...Tabs!C258</f>
        <v>0</v>
      </c>
      <c r="J9" s="122">
        <f>+OLD...Tabs!B289+OLD...Tabs!C289</f>
        <v>92.113063304721038</v>
      </c>
      <c r="K9" s="122">
        <f>+OLD...Tabs!B320+OLD...Tabs!C320</f>
        <v>88.104118915796661</v>
      </c>
      <c r="L9" s="122">
        <f>+OLD...Tabs!B351+OLD...Tabs!C351</f>
        <v>0</v>
      </c>
      <c r="M9" s="119">
        <f>+OLD...Tabs!B227+OLD...Tabs!C227</f>
        <v>90.021067348175606</v>
      </c>
      <c r="N9" s="327">
        <f>+OLD...Tabs!B412+OLD...Tabs!C412</f>
        <v>0</v>
      </c>
      <c r="O9" s="63">
        <f>+OLD...Tabs!B442+OLD...Tabs!C442</f>
        <v>0</v>
      </c>
      <c r="P9" s="119">
        <f>+OLD...Tabs!B382+OLD...Tabs!C382</f>
        <v>0</v>
      </c>
    </row>
    <row r="10" spans="1:16" ht="15.75" customHeight="1">
      <c r="A10" s="28" t="s">
        <v>144</v>
      </c>
      <c r="B10" s="122">
        <f>+OLD...Tabs!B44+OLD...Tabs!C44</f>
        <v>89.069977277434717</v>
      </c>
      <c r="C10" s="122">
        <f>+OLD...Tabs!B75+OLD...Tabs!C75</f>
        <v>0</v>
      </c>
      <c r="D10" s="122">
        <f>+OLD...Tabs!B105+OLD...Tabs!C105</f>
        <v>87.201503159420469</v>
      </c>
      <c r="E10" s="122">
        <f>+OLD...Tabs!B136+OLD...Tabs!C136</f>
        <v>82.558893590245717</v>
      </c>
      <c r="F10" s="122">
        <f>+OLD...Tabs!B167+OLD...Tabs!C167</f>
        <v>0</v>
      </c>
      <c r="G10" s="122">
        <f>+OLD...Tabs!B197+OLD...Tabs!C197</f>
        <v>100</v>
      </c>
      <c r="H10" s="116">
        <f>+OLD...Tabs!B12+OLD...Tabs!C12</f>
        <v>88.542241120706962</v>
      </c>
      <c r="I10" s="119">
        <f>+OLD...Tabs!B259+OLD...Tabs!C259</f>
        <v>80.19009909134067</v>
      </c>
      <c r="J10" s="122">
        <f>+OLD...Tabs!B290+OLD...Tabs!C290</f>
        <v>80.972400472777082</v>
      </c>
      <c r="K10" s="122">
        <f>+OLD...Tabs!B321+OLD...Tabs!C321</f>
        <v>77.000494262546937</v>
      </c>
      <c r="L10" s="122">
        <f>+OLD...Tabs!B352+OLD...Tabs!C352</f>
        <v>78.34634414513468</v>
      </c>
      <c r="M10" s="119">
        <f>+OLD...Tabs!B228+OLD...Tabs!C228</f>
        <v>80.316678498217442</v>
      </c>
      <c r="N10" s="327">
        <f>+OLD...Tabs!B413+OLD...Tabs!C413</f>
        <v>0</v>
      </c>
      <c r="O10" s="63">
        <f>+OLD...Tabs!B443+OLD...Tabs!C443</f>
        <v>0</v>
      </c>
      <c r="P10" s="119">
        <f>+OLD...Tabs!B383+OLD...Tabs!C383</f>
        <v>0</v>
      </c>
    </row>
    <row r="11" spans="1:16" ht="15.75" customHeight="1">
      <c r="A11" s="28"/>
      <c r="B11" s="122"/>
      <c r="C11" s="122"/>
      <c r="D11" s="122"/>
      <c r="E11" s="122"/>
      <c r="F11" s="122"/>
      <c r="G11" s="122"/>
      <c r="H11" s="116"/>
      <c r="I11" s="119"/>
      <c r="J11" s="122"/>
      <c r="K11" s="122"/>
      <c r="L11" s="122"/>
      <c r="M11" s="119"/>
      <c r="N11" s="327"/>
      <c r="O11" s="63"/>
      <c r="P11" s="119"/>
    </row>
    <row r="12" spans="1:16" ht="15.75" customHeight="1">
      <c r="A12" s="28" t="s">
        <v>145</v>
      </c>
      <c r="B12" s="122">
        <f>+OLD...Tabs!B46+OLD...Tabs!C46</f>
        <v>0</v>
      </c>
      <c r="C12" s="122">
        <f>+OLD...Tabs!B77+OLD...Tabs!C77</f>
        <v>0</v>
      </c>
      <c r="D12" s="122">
        <f>+OLD...Tabs!B107+OLD...Tabs!C107</f>
        <v>0</v>
      </c>
      <c r="E12" s="122">
        <f>+OLD...Tabs!B138+OLD...Tabs!C138</f>
        <v>0</v>
      </c>
      <c r="F12" s="122">
        <f>+OLD...Tabs!B169+OLD...Tabs!C169</f>
        <v>0</v>
      </c>
      <c r="G12" s="122">
        <f>+OLD...Tabs!B199+OLD...Tabs!C199</f>
        <v>0</v>
      </c>
      <c r="H12" s="116">
        <f>+OLD...Tabs!B14+OLD...Tabs!C14</f>
        <v>0</v>
      </c>
      <c r="I12" s="119">
        <f>+OLD...Tabs!B261+OLD...Tabs!C261</f>
        <v>0</v>
      </c>
      <c r="J12" s="122">
        <f>+OLD...Tabs!B292+OLD...Tabs!C292</f>
        <v>0</v>
      </c>
      <c r="K12" s="122">
        <f>+OLD...Tabs!B323+OLD...Tabs!C323</f>
        <v>0</v>
      </c>
      <c r="L12" s="122">
        <f>+OLD...Tabs!B354+OLD...Tabs!C354</f>
        <v>0</v>
      </c>
      <c r="M12" s="119">
        <f>+OLD...Tabs!B230+OLD...Tabs!C230</f>
        <v>0</v>
      </c>
      <c r="N12" s="327">
        <f>+OLD...Tabs!B415+OLD...Tabs!C415</f>
        <v>68.972071845048262</v>
      </c>
      <c r="O12" s="63">
        <f>+OLD...Tabs!B445+OLD...Tabs!C445</f>
        <v>0</v>
      </c>
      <c r="P12" s="119">
        <f>+OLD...Tabs!B385+OLD...Tabs!C385</f>
        <v>68.972071845048262</v>
      </c>
    </row>
    <row r="13" spans="1:16" ht="15.75" customHeight="1">
      <c r="A13" s="28" t="s">
        <v>146</v>
      </c>
      <c r="B13" s="122">
        <f>+OLD...Tabs!B47+OLD...Tabs!C47</f>
        <v>93.495476303324665</v>
      </c>
      <c r="C13" s="122">
        <f>+OLD...Tabs!B78+OLD...Tabs!C78</f>
        <v>0</v>
      </c>
      <c r="D13" s="122">
        <f>+OLD...Tabs!B108+OLD...Tabs!C108</f>
        <v>83.962692429327802</v>
      </c>
      <c r="E13" s="122">
        <f>+OLD...Tabs!B139+OLD...Tabs!C139</f>
        <v>70.180215930705131</v>
      </c>
      <c r="F13" s="122">
        <f>+OLD...Tabs!B170+OLD...Tabs!C170</f>
        <v>0</v>
      </c>
      <c r="G13" s="122">
        <f>+OLD...Tabs!B200+OLD...Tabs!C200</f>
        <v>0</v>
      </c>
      <c r="H13" s="116">
        <f>+OLD...Tabs!B15+OLD...Tabs!C15</f>
        <v>87.185451012990001</v>
      </c>
      <c r="I13" s="119">
        <f>+OLD...Tabs!B262+OLD...Tabs!C262</f>
        <v>0</v>
      </c>
      <c r="J13" s="122">
        <f>+OLD...Tabs!B293+OLD...Tabs!C293</f>
        <v>74.239624058866724</v>
      </c>
      <c r="K13" s="122">
        <f>+OLD...Tabs!B324+OLD...Tabs!C324</f>
        <v>63.191516465249542</v>
      </c>
      <c r="L13" s="122">
        <f>+OLD...Tabs!B355+OLD...Tabs!C355</f>
        <v>51.879218654121495</v>
      </c>
      <c r="M13" s="119">
        <f>+OLD...Tabs!B231+OLD...Tabs!C231</f>
        <v>66.42236643669689</v>
      </c>
      <c r="N13" s="327">
        <f>+OLD...Tabs!B416+OLD...Tabs!C416</f>
        <v>70.791996587980037</v>
      </c>
      <c r="O13" s="63">
        <f>+OLD...Tabs!B446+OLD...Tabs!C446</f>
        <v>0</v>
      </c>
      <c r="P13" s="119">
        <f>+OLD...Tabs!B386+OLD...Tabs!C386</f>
        <v>70.791996587980037</v>
      </c>
    </row>
    <row r="14" spans="1:16" ht="15.75" customHeight="1">
      <c r="A14" s="28" t="s">
        <v>147</v>
      </c>
      <c r="B14" s="122">
        <f>+OLD...Tabs!B48+OLD...Tabs!C48</f>
        <v>0</v>
      </c>
      <c r="C14" s="122">
        <f>+OLD...Tabs!B79+OLD...Tabs!C79</f>
        <v>0</v>
      </c>
      <c r="D14" s="122">
        <f>+OLD...Tabs!B109+OLD...Tabs!C109</f>
        <v>0</v>
      </c>
      <c r="E14" s="122">
        <f>+OLD...Tabs!B140+OLD...Tabs!C140</f>
        <v>0</v>
      </c>
      <c r="F14" s="122">
        <f>+OLD...Tabs!B171+OLD...Tabs!C171</f>
        <v>0</v>
      </c>
      <c r="G14" s="122">
        <f>+OLD...Tabs!B201+OLD...Tabs!C201</f>
        <v>0</v>
      </c>
      <c r="H14" s="116">
        <f>+OLD...Tabs!B16+OLD...Tabs!C16</f>
        <v>0</v>
      </c>
      <c r="I14" s="119">
        <f>+OLD...Tabs!B263+OLD...Tabs!C263</f>
        <v>0</v>
      </c>
      <c r="J14" s="122">
        <f>+OLD...Tabs!B294+OLD...Tabs!C294</f>
        <v>0</v>
      </c>
      <c r="K14" s="122">
        <f>+OLD...Tabs!B325+OLD...Tabs!C325</f>
        <v>0</v>
      </c>
      <c r="L14" s="122">
        <f>+OLD...Tabs!B356+OLD...Tabs!C356</f>
        <v>0</v>
      </c>
      <c r="M14" s="119">
        <f>+OLD...Tabs!B232+OLD...Tabs!C232</f>
        <v>0</v>
      </c>
      <c r="N14" s="327">
        <f>+OLD...Tabs!B417+OLD...Tabs!C417</f>
        <v>0</v>
      </c>
      <c r="O14" s="63">
        <f>+OLD...Tabs!B447+OLD...Tabs!C447</f>
        <v>0</v>
      </c>
      <c r="P14" s="119">
        <f>+OLD...Tabs!B387+OLD...Tabs!C387</f>
        <v>0</v>
      </c>
    </row>
    <row r="15" spans="1:16" ht="15.75" customHeight="1">
      <c r="A15" s="28" t="s">
        <v>177</v>
      </c>
      <c r="B15" s="122">
        <f>+OLD...Tabs!B49+OLD...Tabs!C49</f>
        <v>97.69569206759914</v>
      </c>
      <c r="C15" s="122">
        <f>+OLD...Tabs!B80+OLD...Tabs!C80</f>
        <v>92.534492992380649</v>
      </c>
      <c r="D15" s="122">
        <f>+OLD...Tabs!B110+OLD...Tabs!C110</f>
        <v>92.316099627607741</v>
      </c>
      <c r="E15" s="122">
        <f>+OLD...Tabs!B141+OLD...Tabs!C141</f>
        <v>87.106330647929525</v>
      </c>
      <c r="F15" s="122">
        <f>+OLD...Tabs!B172+OLD...Tabs!C172</f>
        <v>86.245366984418197</v>
      </c>
      <c r="G15" s="122">
        <f>+OLD...Tabs!B202+OLD...Tabs!C202</f>
        <v>100</v>
      </c>
      <c r="H15" s="116">
        <f>+OLD...Tabs!B17+OLD...Tabs!C17</f>
        <v>77.659334870440205</v>
      </c>
      <c r="I15" s="119">
        <f>+OLD...Tabs!B264+OLD...Tabs!C264</f>
        <v>0</v>
      </c>
      <c r="J15" s="122">
        <f>+OLD...Tabs!B295+OLD...Tabs!C295</f>
        <v>83.971523786678205</v>
      </c>
      <c r="K15" s="122">
        <f>+OLD...Tabs!B326+OLD...Tabs!C326</f>
        <v>82.082637691748005</v>
      </c>
      <c r="L15" s="122">
        <f>+OLD...Tabs!B357+OLD...Tabs!C357</f>
        <v>80.386035376345021</v>
      </c>
      <c r="M15" s="119">
        <f>+OLD...Tabs!B233+OLD...Tabs!C233</f>
        <v>83.377371408284318</v>
      </c>
      <c r="N15" s="327">
        <f>+OLD...Tabs!B418+OLD...Tabs!C418</f>
        <v>0</v>
      </c>
      <c r="O15" s="63">
        <f>+OLD...Tabs!B448+OLD...Tabs!C448</f>
        <v>0</v>
      </c>
      <c r="P15" s="119">
        <f>+OLD...Tabs!B388+OLD...Tabs!C388</f>
        <v>0</v>
      </c>
    </row>
    <row r="16" spans="1:16" ht="15.75" customHeight="1">
      <c r="A16" s="28"/>
      <c r="B16" s="122"/>
      <c r="C16" s="122"/>
      <c r="D16" s="122"/>
      <c r="E16" s="122"/>
      <c r="F16" s="122"/>
      <c r="G16" s="122"/>
      <c r="H16" s="116"/>
      <c r="I16" s="119"/>
      <c r="J16" s="122"/>
      <c r="K16" s="122"/>
      <c r="L16" s="122"/>
      <c r="M16" s="119"/>
      <c r="N16" s="327"/>
      <c r="O16" s="63"/>
      <c r="P16" s="119"/>
    </row>
    <row r="17" spans="1:16" ht="15.75" customHeight="1">
      <c r="A17" s="28" t="s">
        <v>148</v>
      </c>
      <c r="B17" s="122">
        <f>+OLD...Tabs!B51+OLD...Tabs!C51</f>
        <v>91.133190157879298</v>
      </c>
      <c r="C17" s="122">
        <f>+OLD...Tabs!B82+OLD...Tabs!C82</f>
        <v>91.921574049488356</v>
      </c>
      <c r="D17" s="122">
        <f>+OLD...Tabs!B112+OLD...Tabs!C112</f>
        <v>0</v>
      </c>
      <c r="E17" s="122">
        <f>+OLD...Tabs!B143+OLD...Tabs!C143</f>
        <v>81.785671598976876</v>
      </c>
      <c r="F17" s="122">
        <f>+OLD...Tabs!B174+OLD...Tabs!C174</f>
        <v>51.556280203880789</v>
      </c>
      <c r="G17" s="122">
        <f>+OLD...Tabs!B204+OLD...Tabs!C204</f>
        <v>0</v>
      </c>
      <c r="H17" s="116">
        <f>+OLD...Tabs!B19+OLD...Tabs!C19</f>
        <v>88.728481374826572</v>
      </c>
      <c r="I17" s="119">
        <f>+OLD...Tabs!B266+OLD...Tabs!C266</f>
        <v>0</v>
      </c>
      <c r="J17" s="122">
        <f>+OLD...Tabs!B297+OLD...Tabs!C297</f>
        <v>79.273639301157701</v>
      </c>
      <c r="K17" s="122">
        <f>+OLD...Tabs!B328+OLD...Tabs!C328</f>
        <v>79.80981774668011</v>
      </c>
      <c r="L17" s="122">
        <f>+OLD...Tabs!B359+OLD...Tabs!C359</f>
        <v>86.340941512125539</v>
      </c>
      <c r="M17" s="119">
        <f>+OLD...Tabs!B235+OLD...Tabs!C235</f>
        <v>79.924525341452167</v>
      </c>
      <c r="N17" s="327">
        <f>+OLD...Tabs!B420+OLD...Tabs!C420</f>
        <v>0</v>
      </c>
      <c r="O17" s="63">
        <f>+OLD...Tabs!B450+OLD...Tabs!C450</f>
        <v>0</v>
      </c>
      <c r="P17" s="119">
        <f>+OLD...Tabs!B390+OLD...Tabs!C390</f>
        <v>0</v>
      </c>
    </row>
    <row r="18" spans="1:16" ht="15.75" customHeight="1">
      <c r="A18" s="28" t="s">
        <v>149</v>
      </c>
      <c r="B18" s="122">
        <f>+OLD...Tabs!B52+OLD...Tabs!C52</f>
        <v>90.341229256393916</v>
      </c>
      <c r="C18" s="122">
        <f>+OLD...Tabs!B83+OLD...Tabs!C83</f>
        <v>84.755068652727701</v>
      </c>
      <c r="D18" s="122">
        <f>+OLD...Tabs!B113+OLD...Tabs!C113</f>
        <v>91.725613661179224</v>
      </c>
      <c r="E18" s="122">
        <f>+OLD...Tabs!B144+OLD...Tabs!C144</f>
        <v>80.296105395265812</v>
      </c>
      <c r="F18" s="122">
        <f>+OLD...Tabs!B175+OLD...Tabs!C175</f>
        <v>82.030441154720123</v>
      </c>
      <c r="G18" s="122">
        <f>+OLD...Tabs!B205+OLD...Tabs!C205</f>
        <v>89.992875037348597</v>
      </c>
      <c r="H18" s="116">
        <f>+OLD...Tabs!B20+OLD...Tabs!C20</f>
        <v>89.294991446663886</v>
      </c>
      <c r="I18" s="119">
        <f>+OLD...Tabs!B267+OLD...Tabs!C267</f>
        <v>0</v>
      </c>
      <c r="J18" s="122">
        <f>+OLD...Tabs!B298+OLD...Tabs!C298</f>
        <v>65.861462199485075</v>
      </c>
      <c r="K18" s="122">
        <f>+OLD...Tabs!B329+OLD...Tabs!C329</f>
        <v>62.040533792612663</v>
      </c>
      <c r="L18" s="122">
        <f>+OLD...Tabs!B360+OLD...Tabs!C360</f>
        <v>61.008828722778098</v>
      </c>
      <c r="M18" s="119">
        <f>+OLD...Tabs!B236+OLD...Tabs!C236</f>
        <v>63.615284751486186</v>
      </c>
      <c r="N18" s="327">
        <f>+OLD...Tabs!B421+OLD...Tabs!C421</f>
        <v>0</v>
      </c>
      <c r="O18" s="63">
        <f>+OLD...Tabs!B451+OLD...Tabs!C451</f>
        <v>0</v>
      </c>
      <c r="P18" s="119">
        <f>+OLD...Tabs!B391+OLD...Tabs!C391</f>
        <v>0</v>
      </c>
    </row>
    <row r="19" spans="1:16" ht="15.75" customHeight="1">
      <c r="A19" s="28" t="s">
        <v>150</v>
      </c>
      <c r="B19" s="122">
        <f>+OLD...Tabs!B53+OLD...Tabs!C53</f>
        <v>87.877600161032433</v>
      </c>
      <c r="C19" s="122">
        <f>+OLD...Tabs!B84+OLD...Tabs!C84</f>
        <v>0</v>
      </c>
      <c r="D19" s="122">
        <f>+OLD...Tabs!B114+OLD...Tabs!C114</f>
        <v>84.215033623484615</v>
      </c>
      <c r="E19" s="122">
        <f>+OLD...Tabs!B145+OLD...Tabs!C145</f>
        <v>67.158309846602876</v>
      </c>
      <c r="F19" s="122">
        <f>+OLD...Tabs!B176+OLD...Tabs!C176</f>
        <v>82.690220814611635</v>
      </c>
      <c r="G19" s="122">
        <f>+OLD...Tabs!B206+OLD...Tabs!C206</f>
        <v>78.432331631561254</v>
      </c>
      <c r="H19" s="116">
        <f>+OLD...Tabs!B21+OLD...Tabs!C21</f>
        <v>84.855506049074492</v>
      </c>
      <c r="I19" s="119">
        <f>+OLD...Tabs!B268+OLD...Tabs!C268</f>
        <v>73.911246971228664</v>
      </c>
      <c r="J19" s="122">
        <f>+OLD...Tabs!B299+OLD...Tabs!C299</f>
        <v>75.492375544012901</v>
      </c>
      <c r="K19" s="122">
        <f>+OLD...Tabs!B330+OLD...Tabs!C330</f>
        <v>80.350625035459643</v>
      </c>
      <c r="L19" s="122">
        <f>+OLD...Tabs!B361+OLD...Tabs!C361</f>
        <v>74.479160230825315</v>
      </c>
      <c r="M19" s="119">
        <f>+OLD...Tabs!B237+OLD...Tabs!C237</f>
        <v>75.525024850660643</v>
      </c>
      <c r="N19" s="327">
        <f>+OLD...Tabs!B422+OLD...Tabs!C422</f>
        <v>0</v>
      </c>
      <c r="O19" s="63">
        <f>+OLD...Tabs!B452+OLD...Tabs!C452</f>
        <v>0</v>
      </c>
      <c r="P19" s="119">
        <f>+OLD...Tabs!B392+OLD...Tabs!C392</f>
        <v>0</v>
      </c>
    </row>
    <row r="20" spans="1:16" ht="15.75" customHeight="1">
      <c r="A20" s="28" t="s">
        <v>151</v>
      </c>
      <c r="B20" s="122">
        <f>+OLD...Tabs!B54+OLD...Tabs!C54</f>
        <v>94.693337383116742</v>
      </c>
      <c r="C20" s="122">
        <f>+OLD...Tabs!B85+OLD...Tabs!C85</f>
        <v>0</v>
      </c>
      <c r="D20" s="122">
        <f>+OLD...Tabs!B115+OLD...Tabs!C115</f>
        <v>98.262984477115282</v>
      </c>
      <c r="E20" s="122">
        <f>+OLD...Tabs!B146+OLD...Tabs!C146</f>
        <v>0</v>
      </c>
      <c r="F20" s="122">
        <f>+OLD...Tabs!B177+OLD...Tabs!C177</f>
        <v>94.783435086826387</v>
      </c>
      <c r="G20" s="122">
        <f>+OLD...Tabs!B207+OLD...Tabs!C207</f>
        <v>92.119634860034083</v>
      </c>
      <c r="H20" s="116">
        <f>+OLD...Tabs!B22+OLD...Tabs!C22</f>
        <v>95.087265552025997</v>
      </c>
      <c r="I20" s="119">
        <f>+OLD...Tabs!B269+OLD...Tabs!C269</f>
        <v>0</v>
      </c>
      <c r="J20" s="122">
        <f>+OLD...Tabs!B300+OLD...Tabs!C300</f>
        <v>78.117381362130899</v>
      </c>
      <c r="K20" s="122">
        <f>+OLD...Tabs!B331+OLD...Tabs!C331</f>
        <v>82.580150202742146</v>
      </c>
      <c r="L20" s="122">
        <f>+OLD...Tabs!B362+OLD...Tabs!C362</f>
        <v>89.13938919342209</v>
      </c>
      <c r="M20" s="119">
        <f>+OLD...Tabs!B238+OLD...Tabs!C238</f>
        <v>80.152896360223224</v>
      </c>
      <c r="N20" s="327">
        <f>+OLD...Tabs!B423+OLD...Tabs!C423</f>
        <v>0</v>
      </c>
      <c r="O20" s="63">
        <f>+OLD...Tabs!B453+OLD...Tabs!C453</f>
        <v>0</v>
      </c>
      <c r="P20" s="119">
        <f>+OLD...Tabs!B393+OLD...Tabs!C393</f>
        <v>0</v>
      </c>
    </row>
    <row r="21" spans="1:16" ht="15.75" customHeight="1">
      <c r="A21" s="28"/>
      <c r="B21" s="122"/>
      <c r="C21" s="122"/>
      <c r="D21" s="122"/>
      <c r="E21" s="122"/>
      <c r="F21" s="122"/>
      <c r="G21" s="122"/>
      <c r="H21" s="116"/>
      <c r="I21" s="119"/>
      <c r="J21" s="122"/>
      <c r="K21" s="122"/>
      <c r="L21" s="122"/>
      <c r="M21" s="119"/>
      <c r="N21" s="327"/>
      <c r="O21" s="63"/>
      <c r="P21" s="119"/>
    </row>
    <row r="22" spans="1:16" ht="15.75" customHeight="1">
      <c r="A22" s="28" t="s">
        <v>152</v>
      </c>
      <c r="B22" s="122">
        <f>+OLD...Tabs!B56+OLD...Tabs!C56</f>
        <v>90.238639528290733</v>
      </c>
      <c r="C22" s="122">
        <f>+OLD...Tabs!B87+OLD...Tabs!C87</f>
        <v>91.462549717158311</v>
      </c>
      <c r="D22" s="122">
        <f>+OLD...Tabs!B117+OLD...Tabs!C117</f>
        <v>78.198360478519689</v>
      </c>
      <c r="E22" s="122">
        <f>+OLD...Tabs!B148+OLD...Tabs!C148</f>
        <v>0</v>
      </c>
      <c r="F22" s="122">
        <f>+OLD...Tabs!B179+OLD...Tabs!C179</f>
        <v>91.262211035578332</v>
      </c>
      <c r="G22" s="122">
        <f>+OLD...Tabs!B209+OLD...Tabs!C209</f>
        <v>0</v>
      </c>
      <c r="H22" s="116">
        <f>+OLD...Tabs!B24+OLD...Tabs!C24</f>
        <v>83.800356158595051</v>
      </c>
      <c r="I22" s="119">
        <f>+OLD...Tabs!B271+OLD...Tabs!C271</f>
        <v>0</v>
      </c>
      <c r="J22" s="122">
        <f>+OLD...Tabs!B302+OLD...Tabs!C302</f>
        <v>75.751732511012321</v>
      </c>
      <c r="K22" s="122">
        <f>+OLD...Tabs!B333+OLD...Tabs!C333</f>
        <v>72.948712077098719</v>
      </c>
      <c r="L22" s="122">
        <f>+OLD...Tabs!B364+OLD...Tabs!C364</f>
        <v>0</v>
      </c>
      <c r="M22" s="119">
        <f>+OLD...Tabs!B240+OLD...Tabs!C240</f>
        <v>74.523717049302974</v>
      </c>
      <c r="N22" s="327">
        <f>+OLD...Tabs!B425+OLD...Tabs!C425</f>
        <v>0</v>
      </c>
      <c r="O22" s="63">
        <f>+OLD...Tabs!B455+OLD...Tabs!C455</f>
        <v>0</v>
      </c>
      <c r="P22" s="119">
        <f>+OLD...Tabs!B395+OLD...Tabs!C395</f>
        <v>0</v>
      </c>
    </row>
    <row r="23" spans="1:16" ht="15.75" customHeight="1">
      <c r="A23" s="28" t="s">
        <v>153</v>
      </c>
      <c r="B23" s="122">
        <f>+OLD...Tabs!B57+OLD...Tabs!C57</f>
        <v>89.491180128258833</v>
      </c>
      <c r="C23" s="122">
        <f>+OLD...Tabs!B88+OLD...Tabs!C88</f>
        <v>88.013351662122446</v>
      </c>
      <c r="D23" s="122">
        <f>+OLD...Tabs!B118+OLD...Tabs!C118</f>
        <v>87.340162669166389</v>
      </c>
      <c r="E23" s="122">
        <f>+OLD...Tabs!B149+OLD...Tabs!C149</f>
        <v>52.024273095046894</v>
      </c>
      <c r="F23" s="122">
        <f>+OLD...Tabs!B180+OLD...Tabs!C180</f>
        <v>63.633500991480929</v>
      </c>
      <c r="G23" s="122">
        <f>+OLD...Tabs!B210+OLD...Tabs!C210</f>
        <v>99.691839111350006</v>
      </c>
      <c r="H23" s="116">
        <f>+OLD...Tabs!B25+OLD...Tabs!C25</f>
        <v>87.358232037566566</v>
      </c>
      <c r="I23" s="119">
        <f>+OLD...Tabs!B272+OLD...Tabs!C272</f>
        <v>79.256619467902723</v>
      </c>
      <c r="J23" s="122">
        <f>+OLD...Tabs!B303+OLD...Tabs!C303</f>
        <v>77.174314756046243</v>
      </c>
      <c r="K23" s="122">
        <f>+OLD...Tabs!B334+OLD...Tabs!C334</f>
        <v>75.919987506392459</v>
      </c>
      <c r="L23" s="122">
        <f>+OLD...Tabs!B365+OLD...Tabs!C365</f>
        <v>69.251129154820148</v>
      </c>
      <c r="M23" s="119">
        <f>+OLD...Tabs!B241+OLD...Tabs!C241</f>
        <v>76.867732104266054</v>
      </c>
      <c r="N23" s="327">
        <f>+OLD...Tabs!B426+OLD...Tabs!C426</f>
        <v>0</v>
      </c>
      <c r="O23" s="63">
        <f>+OLD...Tabs!B456+OLD...Tabs!C456</f>
        <v>0</v>
      </c>
      <c r="P23" s="119">
        <f>+OLD...Tabs!B396+OLD...Tabs!C396</f>
        <v>0</v>
      </c>
    </row>
    <row r="24" spans="1:16" ht="15.75" customHeight="1">
      <c r="A24" s="28" t="s">
        <v>154</v>
      </c>
      <c r="B24" s="122">
        <f>+OLD...Tabs!B58+OLD...Tabs!C58</f>
        <v>94.227995889353679</v>
      </c>
      <c r="C24" s="122">
        <f>+OLD...Tabs!B89+OLD...Tabs!C89</f>
        <v>95.815694965749202</v>
      </c>
      <c r="D24" s="122">
        <f>+OLD...Tabs!B119+OLD...Tabs!C119</f>
        <v>96.240144178251484</v>
      </c>
      <c r="E24" s="122">
        <f>+OLD...Tabs!B150+OLD...Tabs!C150</f>
        <v>0</v>
      </c>
      <c r="F24" s="122">
        <f>+OLD...Tabs!B181+OLD...Tabs!C181</f>
        <v>100</v>
      </c>
      <c r="G24" s="122">
        <f>+OLD...Tabs!B211+OLD...Tabs!C211</f>
        <v>87.7302057387177</v>
      </c>
      <c r="H24" s="116">
        <f>+OLD...Tabs!B26+OLD...Tabs!C26</f>
        <v>95.199705538302638</v>
      </c>
      <c r="I24" s="119">
        <f>+OLD...Tabs!B273+OLD...Tabs!C273</f>
        <v>0</v>
      </c>
      <c r="J24" s="122">
        <f>+OLD...Tabs!B304+OLD...Tabs!C304</f>
        <v>74.057301198341563</v>
      </c>
      <c r="K24" s="122">
        <f>+OLD...Tabs!B335+OLD...Tabs!C335</f>
        <v>70.788649015807039</v>
      </c>
      <c r="L24" s="122">
        <f>+OLD...Tabs!B366+OLD...Tabs!C366</f>
        <v>66.797636452241719</v>
      </c>
      <c r="M24" s="119">
        <f>+OLD...Tabs!B242+OLD...Tabs!C242</f>
        <v>72.499974628928044</v>
      </c>
      <c r="N24" s="327">
        <f>+OLD...Tabs!B427+OLD...Tabs!C427</f>
        <v>0</v>
      </c>
      <c r="O24" s="63">
        <f>+OLD...Tabs!B457+OLD...Tabs!C457</f>
        <v>0</v>
      </c>
      <c r="P24" s="119">
        <f>+OLD...Tabs!B397+OLD...Tabs!C397</f>
        <v>0</v>
      </c>
    </row>
    <row r="25" spans="1:16" ht="15.75" customHeight="1">
      <c r="A25" s="220" t="s">
        <v>155</v>
      </c>
      <c r="B25" s="328">
        <f>+OLD...Tabs!B59+OLD...Tabs!C59</f>
        <v>92.072452591051487</v>
      </c>
      <c r="C25" s="328">
        <f>+OLD...Tabs!B90+OLD...Tabs!C90</f>
        <v>0</v>
      </c>
      <c r="D25" s="328">
        <f>+OLD...Tabs!B120+OLD...Tabs!C120</f>
        <v>86.90946101757298</v>
      </c>
      <c r="E25" s="328">
        <f>+OLD...Tabs!B151+OLD...Tabs!C151</f>
        <v>0</v>
      </c>
      <c r="F25" s="328">
        <f>+OLD...Tabs!B182+OLD...Tabs!C182</f>
        <v>92.103893732596887</v>
      </c>
      <c r="G25" s="328">
        <f>+OLD...Tabs!B212+OLD...Tabs!C212</f>
        <v>83.634743046468913</v>
      </c>
      <c r="H25" s="117">
        <f>+OLD...Tabs!B27+OLD...Tabs!C27</f>
        <v>89.263014960187945</v>
      </c>
      <c r="I25" s="120">
        <f>+OLD...Tabs!B274+OLD...Tabs!C274</f>
        <v>78.112945348252154</v>
      </c>
      <c r="J25" s="328">
        <f>+OLD...Tabs!B305+OLD...Tabs!C305</f>
        <v>0</v>
      </c>
      <c r="K25" s="328">
        <f>+OLD...Tabs!B336+OLD...Tabs!C336</f>
        <v>79.807722942619563</v>
      </c>
      <c r="L25" s="351">
        <f>+OLD...Tabs!B367+OLD...Tabs!C367</f>
        <v>78.979573900879586</v>
      </c>
      <c r="M25" s="120">
        <f>+OLD...Tabs!B243+OLD...Tabs!C243</f>
        <v>78.970909111734287</v>
      </c>
      <c r="N25" s="329">
        <f>+OLD...Tabs!B428+OLD...Tabs!C428</f>
        <v>0</v>
      </c>
      <c r="O25" s="230">
        <f>+OLD...Tabs!B458+OLD...Tabs!C458</f>
        <v>0</v>
      </c>
      <c r="P25" s="120">
        <f>+OLD...Tabs!B398+OLD...Tabs!C398</f>
        <v>0</v>
      </c>
    </row>
    <row r="26" spans="1:16" s="25" customFormat="1" ht="24" customHeight="1">
      <c r="A26" s="689" t="s">
        <v>282</v>
      </c>
      <c r="B26" s="689"/>
      <c r="C26" s="689"/>
      <c r="D26" s="689"/>
      <c r="E26" s="689"/>
      <c r="F26" s="689"/>
      <c r="G26" s="689"/>
      <c r="H26" s="689"/>
      <c r="I26" s="689"/>
      <c r="J26" s="689"/>
      <c r="K26" s="689"/>
      <c r="L26" s="689"/>
      <c r="M26" s="689"/>
      <c r="N26" s="689"/>
      <c r="O26" s="689"/>
      <c r="P26" s="689"/>
    </row>
    <row r="27" spans="1:16" s="25" customFormat="1" ht="11.25">
      <c r="M27" s="330"/>
      <c r="P27" s="27" t="s">
        <v>899</v>
      </c>
    </row>
    <row r="28" spans="1:16" ht="18">
      <c r="A28" s="671" t="s">
        <v>156</v>
      </c>
      <c r="B28" s="671"/>
      <c r="C28" s="671"/>
      <c r="D28" s="671"/>
      <c r="E28" s="671"/>
      <c r="F28" s="671"/>
      <c r="G28" s="671"/>
      <c r="H28" s="671"/>
      <c r="I28" s="671"/>
      <c r="J28" s="671"/>
      <c r="K28" s="671"/>
      <c r="L28" s="671"/>
      <c r="M28" s="671"/>
      <c r="N28" s="671"/>
      <c r="O28" s="671"/>
      <c r="P28" s="671"/>
    </row>
    <row r="29" spans="1:16" s="28" customFormat="1" ht="12.75">
      <c r="A29" s="18"/>
      <c r="B29" s="19"/>
      <c r="C29" s="19"/>
      <c r="D29" s="19"/>
      <c r="E29" s="19"/>
      <c r="F29" s="19"/>
      <c r="G29" s="19"/>
      <c r="H29" s="19"/>
      <c r="I29" s="19"/>
      <c r="J29" s="19"/>
      <c r="K29" s="19"/>
      <c r="L29" s="19"/>
      <c r="M29" s="36"/>
    </row>
    <row r="30" spans="1:16" ht="15.75">
      <c r="A30" s="679" t="s">
        <v>280</v>
      </c>
      <c r="B30" s="679"/>
      <c r="C30" s="679"/>
      <c r="D30" s="679"/>
      <c r="E30" s="679"/>
      <c r="F30" s="679"/>
      <c r="G30" s="679"/>
      <c r="H30" s="679"/>
      <c r="I30" s="679"/>
      <c r="J30" s="679"/>
      <c r="K30" s="679"/>
      <c r="L30" s="679"/>
      <c r="M30" s="679"/>
      <c r="N30" s="679"/>
      <c r="O30" s="679"/>
      <c r="P30" s="679"/>
    </row>
    <row r="31" spans="1:16" s="28" customFormat="1" ht="9.75" customHeight="1">
      <c r="A31" s="352"/>
      <c r="B31" s="19"/>
      <c r="C31" s="19"/>
      <c r="D31" s="19"/>
      <c r="E31" s="19"/>
      <c r="F31" s="19"/>
      <c r="G31" s="19"/>
      <c r="H31" s="19"/>
      <c r="I31" s="19"/>
      <c r="J31" s="19"/>
      <c r="K31" s="19"/>
      <c r="L31" s="19"/>
      <c r="M31" s="36"/>
    </row>
    <row r="32" spans="1:16" s="31" customFormat="1" ht="18" customHeight="1">
      <c r="A32" s="346"/>
      <c r="B32" s="21" t="s">
        <v>55</v>
      </c>
      <c r="C32" s="21"/>
      <c r="D32" s="21"/>
      <c r="E32" s="21"/>
      <c r="F32" s="21"/>
      <c r="G32" s="21"/>
      <c r="H32" s="29"/>
      <c r="I32" s="347" t="s">
        <v>56</v>
      </c>
      <c r="J32" s="21"/>
      <c r="K32" s="21"/>
      <c r="L32" s="21"/>
      <c r="M32" s="21"/>
      <c r="N32" s="347" t="s">
        <v>57</v>
      </c>
      <c r="O32" s="21"/>
      <c r="P32" s="21"/>
    </row>
    <row r="33" spans="1:16" s="32" customFormat="1" ht="26.25" customHeight="1">
      <c r="A33" s="348"/>
      <c r="B33" s="349">
        <v>1</v>
      </c>
      <c r="C33" s="349">
        <v>2</v>
      </c>
      <c r="D33" s="349">
        <v>3</v>
      </c>
      <c r="E33" s="349">
        <v>4</v>
      </c>
      <c r="F33" s="349">
        <v>5</v>
      </c>
      <c r="G33" s="349">
        <v>6</v>
      </c>
      <c r="H33" s="22" t="s">
        <v>248</v>
      </c>
      <c r="I33" s="350" t="s">
        <v>140</v>
      </c>
      <c r="J33" s="349">
        <v>1</v>
      </c>
      <c r="K33" s="349">
        <v>2</v>
      </c>
      <c r="L33" s="349">
        <v>3</v>
      </c>
      <c r="M33" s="23" t="s">
        <v>139</v>
      </c>
      <c r="N33" s="23">
        <v>1</v>
      </c>
      <c r="O33" s="349">
        <v>2</v>
      </c>
      <c r="P33" s="23" t="s">
        <v>139</v>
      </c>
    </row>
    <row r="34" spans="1:16" ht="15.75" customHeight="1">
      <c r="A34" s="28" t="s">
        <v>141</v>
      </c>
      <c r="B34" s="122">
        <f>+OLD...Tabs!D41</f>
        <v>5.4526592423942919</v>
      </c>
      <c r="C34" s="122">
        <f>+OLD...Tabs!D72</f>
        <v>12.470817823714357</v>
      </c>
      <c r="D34" s="122">
        <f>+OLD...Tabs!D102</f>
        <v>15.665240290046697</v>
      </c>
      <c r="E34" s="122">
        <f>+OLD...Tabs!D133</f>
        <v>13.158433526542082</v>
      </c>
      <c r="F34" s="122">
        <f>+OLD...Tabs!D164</f>
        <v>4.0907294712716356</v>
      </c>
      <c r="G34" s="122">
        <f>+OLD...Tabs!D194</f>
        <v>60.706894605476045</v>
      </c>
      <c r="H34" s="118">
        <f>+OLD...Tabs!D9</f>
        <v>11.206656044253373</v>
      </c>
      <c r="I34" s="118">
        <f>+OLD...Tabs!D256</f>
        <v>0</v>
      </c>
      <c r="J34" s="122">
        <f>+OLD...Tabs!D287</f>
        <v>21.834302430568098</v>
      </c>
      <c r="K34" s="122">
        <f>+OLD...Tabs!D318</f>
        <v>15.983096321075294</v>
      </c>
      <c r="L34" s="122">
        <f>+OLD...Tabs!D349</f>
        <v>22.62048274367449</v>
      </c>
      <c r="M34" s="119">
        <f>+OLD...Tabs!D225</f>
        <v>18.711322358273787</v>
      </c>
      <c r="N34" s="327">
        <f>+OLD...Tabs!D410</f>
        <v>7.2928774158670091</v>
      </c>
      <c r="O34" s="63">
        <f>+OLD...Tabs!D440</f>
        <v>7.5604196694935135</v>
      </c>
      <c r="P34" s="119">
        <f>+OLD...Tabs!D380</f>
        <v>7.458023401371805</v>
      </c>
    </row>
    <row r="35" spans="1:16" ht="15.75" customHeight="1">
      <c r="A35" s="28" t="s">
        <v>142</v>
      </c>
      <c r="B35" s="122">
        <f>+OLD...Tabs!D42</f>
        <v>6.2746403835908362</v>
      </c>
      <c r="C35" s="122">
        <f>+OLD...Tabs!D73</f>
        <v>28.541487347219828</v>
      </c>
      <c r="D35" s="122">
        <f>+OLD...Tabs!D103</f>
        <v>17.973023379563816</v>
      </c>
      <c r="E35" s="122">
        <f>+OLD...Tabs!D134</f>
        <v>14.204002729133499</v>
      </c>
      <c r="F35" s="122">
        <f>+OLD...Tabs!D165</f>
        <v>19.714423371731417</v>
      </c>
      <c r="G35" s="122">
        <f>+OLD...Tabs!D195</f>
        <v>13.809679413235278</v>
      </c>
      <c r="H35" s="119">
        <f>+OLD...Tabs!D10</f>
        <v>14.880503014083336</v>
      </c>
      <c r="I35" s="119">
        <f>+OLD...Tabs!D257</f>
        <v>0</v>
      </c>
      <c r="J35" s="122">
        <f>+OLD...Tabs!D288</f>
        <v>29.600212267893983</v>
      </c>
      <c r="K35" s="122">
        <f>+OLD...Tabs!D319</f>
        <v>20.679751077070367</v>
      </c>
      <c r="L35" s="122">
        <f>+OLD...Tabs!D350</f>
        <v>21.653180841722094</v>
      </c>
      <c r="M35" s="119">
        <f>+OLD...Tabs!D226</f>
        <v>24.140986648459524</v>
      </c>
      <c r="N35" s="327">
        <f>+OLD...Tabs!D411</f>
        <v>0</v>
      </c>
      <c r="O35" s="63">
        <f>+OLD...Tabs!D441</f>
        <v>0</v>
      </c>
      <c r="P35" s="119">
        <f>+OLD...Tabs!D381</f>
        <v>0</v>
      </c>
    </row>
    <row r="36" spans="1:16" ht="15.75" customHeight="1">
      <c r="A36" s="28" t="s">
        <v>143</v>
      </c>
      <c r="B36" s="122">
        <f>+OLD...Tabs!D43</f>
        <v>2.5605829897117283</v>
      </c>
      <c r="C36" s="122">
        <f>+OLD...Tabs!D74</f>
        <v>0</v>
      </c>
      <c r="D36" s="122">
        <f>+OLD...Tabs!D104</f>
        <v>1.8399471818750437</v>
      </c>
      <c r="E36" s="122">
        <f>+OLD...Tabs!D135</f>
        <v>0</v>
      </c>
      <c r="F36" s="122">
        <f>+OLD...Tabs!D166</f>
        <v>0</v>
      </c>
      <c r="G36" s="122">
        <f>+OLD...Tabs!D196</f>
        <v>0</v>
      </c>
      <c r="H36" s="119">
        <f>+OLD...Tabs!D11</f>
        <v>2.4339262539125124</v>
      </c>
      <c r="I36" s="119">
        <f>+OLD...Tabs!D258</f>
        <v>0</v>
      </c>
      <c r="J36" s="122">
        <f>+OLD...Tabs!D289</f>
        <v>7.886936695278969</v>
      </c>
      <c r="K36" s="122">
        <f>+OLD...Tabs!D320</f>
        <v>11.895881084203348</v>
      </c>
      <c r="L36" s="122">
        <f>+OLD...Tabs!D351</f>
        <v>0</v>
      </c>
      <c r="M36" s="119">
        <f>+OLD...Tabs!D227</f>
        <v>9.9789326518243939</v>
      </c>
      <c r="N36" s="327">
        <f>+OLD...Tabs!D412</f>
        <v>0</v>
      </c>
      <c r="O36" s="63">
        <f>+OLD...Tabs!D442</f>
        <v>0</v>
      </c>
      <c r="P36" s="119">
        <f>+OLD...Tabs!D382</f>
        <v>0</v>
      </c>
    </row>
    <row r="37" spans="1:16" ht="15.75" customHeight="1">
      <c r="A37" s="28" t="s">
        <v>174</v>
      </c>
      <c r="B37" s="122">
        <f>+OLD...Tabs!D44</f>
        <v>10.805515515557829</v>
      </c>
      <c r="C37" s="122">
        <f>+OLD...Tabs!D75</f>
        <v>0</v>
      </c>
      <c r="D37" s="122">
        <f>+OLD...Tabs!D105</f>
        <v>12.798496840579535</v>
      </c>
      <c r="E37" s="122">
        <f>+OLD...Tabs!D136</f>
        <v>17.44110640975428</v>
      </c>
      <c r="F37" s="122">
        <f>+OLD...Tabs!D167</f>
        <v>0</v>
      </c>
      <c r="G37" s="122">
        <f>+OLD...Tabs!D197</f>
        <v>0</v>
      </c>
      <c r="H37" s="119">
        <f>+OLD...Tabs!D12</f>
        <v>11.357222553680076</v>
      </c>
      <c r="I37" s="119">
        <f>+OLD...Tabs!D259</f>
        <v>19.752904508338684</v>
      </c>
      <c r="J37" s="122">
        <f>+OLD...Tabs!D290</f>
        <v>19.027599527222936</v>
      </c>
      <c r="K37" s="122">
        <f>+OLD...Tabs!D321</f>
        <v>22.999505737453077</v>
      </c>
      <c r="L37" s="122">
        <f>+OLD...Tabs!D352</f>
        <v>21.65365585486531</v>
      </c>
      <c r="M37" s="119">
        <f>+OLD...Tabs!D228</f>
        <v>19.642008728004466</v>
      </c>
      <c r="N37" s="327">
        <f>+OLD...Tabs!D413</f>
        <v>0</v>
      </c>
      <c r="O37" s="63">
        <f>+OLD...Tabs!D443</f>
        <v>0</v>
      </c>
      <c r="P37" s="119">
        <f>+OLD...Tabs!D383</f>
        <v>0</v>
      </c>
    </row>
    <row r="38" spans="1:16" ht="15.75" customHeight="1">
      <c r="B38" s="28"/>
      <c r="C38" s="28"/>
      <c r="D38" s="28"/>
      <c r="E38" s="28"/>
      <c r="F38" s="28"/>
      <c r="G38" s="28"/>
      <c r="H38" s="121"/>
      <c r="I38" s="121"/>
      <c r="J38" s="28"/>
      <c r="K38" s="28"/>
      <c r="L38" s="28"/>
      <c r="M38" s="121"/>
      <c r="N38" s="121"/>
      <c r="O38" s="28"/>
      <c r="P38" s="121"/>
    </row>
    <row r="39" spans="1:16" ht="15.75" customHeight="1">
      <c r="A39" s="28" t="s">
        <v>145</v>
      </c>
      <c r="B39" s="122">
        <f>+OLD...Tabs!D46</f>
        <v>0</v>
      </c>
      <c r="C39" s="122">
        <f>+OLD...Tabs!D77</f>
        <v>0</v>
      </c>
      <c r="D39" s="122">
        <f>+OLD...Tabs!D107</f>
        <v>0</v>
      </c>
      <c r="E39" s="122">
        <f>+OLD...Tabs!D138</f>
        <v>0</v>
      </c>
      <c r="F39" s="122">
        <f>+OLD...Tabs!D169</f>
        <v>0</v>
      </c>
      <c r="G39" s="122">
        <f>+OLD...Tabs!D199</f>
        <v>0</v>
      </c>
      <c r="H39" s="119">
        <f>+OLD...Tabs!D14</f>
        <v>0</v>
      </c>
      <c r="I39" s="119">
        <f>+OLD...Tabs!D261</f>
        <v>0</v>
      </c>
      <c r="J39" s="122">
        <f>+OLD...Tabs!D292</f>
        <v>0</v>
      </c>
      <c r="K39" s="122">
        <f>+OLD...Tabs!D323</f>
        <v>0</v>
      </c>
      <c r="L39" s="122">
        <f>+OLD...Tabs!D354</f>
        <v>0</v>
      </c>
      <c r="M39" s="119">
        <f>+OLD...Tabs!D230</f>
        <v>0</v>
      </c>
      <c r="N39" s="327">
        <f>+OLD...Tabs!D415</f>
        <v>31.027928154951727</v>
      </c>
      <c r="O39" s="63">
        <f>+OLD...Tabs!D445</f>
        <v>0</v>
      </c>
      <c r="P39" s="119">
        <f>+OLD...Tabs!D385</f>
        <v>31.027928154951727</v>
      </c>
    </row>
    <row r="40" spans="1:16" ht="15.75" customHeight="1">
      <c r="A40" s="28" t="s">
        <v>146</v>
      </c>
      <c r="B40" s="122">
        <f>+OLD...Tabs!D47</f>
        <v>6.5045236966753412</v>
      </c>
      <c r="C40" s="122">
        <f>+OLD...Tabs!D78</f>
        <v>0</v>
      </c>
      <c r="D40" s="122">
        <f>+OLD...Tabs!D108</f>
        <v>16.037307570672191</v>
      </c>
      <c r="E40" s="122">
        <f>+OLD...Tabs!D139</f>
        <v>29.819784069294872</v>
      </c>
      <c r="F40" s="122">
        <f>+OLD...Tabs!D170</f>
        <v>0</v>
      </c>
      <c r="G40" s="122">
        <f>+OLD...Tabs!D200</f>
        <v>0</v>
      </c>
      <c r="H40" s="119">
        <f>+OLD...Tabs!D15</f>
        <v>12.814548987009996</v>
      </c>
      <c r="I40" s="119">
        <f>+OLD...Tabs!D262</f>
        <v>0</v>
      </c>
      <c r="J40" s="122">
        <f>+OLD...Tabs!D293</f>
        <v>25.760375941133287</v>
      </c>
      <c r="K40" s="122">
        <f>+OLD...Tabs!D324</f>
        <v>36.808483534750458</v>
      </c>
      <c r="L40" s="122">
        <f>+OLD...Tabs!D355</f>
        <v>48.120781345878498</v>
      </c>
      <c r="M40" s="119">
        <f>+OLD...Tabs!D231</f>
        <v>33.57763356330311</v>
      </c>
      <c r="N40" s="327">
        <f>+OLD...Tabs!D416</f>
        <v>29.208003412019952</v>
      </c>
      <c r="O40" s="63">
        <f>+OLD...Tabs!D446</f>
        <v>0</v>
      </c>
      <c r="P40" s="119">
        <f>+OLD...Tabs!D386</f>
        <v>29.208003412019952</v>
      </c>
    </row>
    <row r="41" spans="1:16" ht="15.75" customHeight="1">
      <c r="A41" s="28" t="s">
        <v>147</v>
      </c>
      <c r="B41" s="122">
        <f>+OLD...Tabs!D48</f>
        <v>0</v>
      </c>
      <c r="C41" s="122">
        <f>+OLD...Tabs!D79</f>
        <v>0</v>
      </c>
      <c r="D41" s="122">
        <f>+OLD...Tabs!D109</f>
        <v>0</v>
      </c>
      <c r="E41" s="122">
        <f>+OLD...Tabs!D140</f>
        <v>0</v>
      </c>
      <c r="F41" s="122">
        <f>+OLD...Tabs!D171</f>
        <v>0</v>
      </c>
      <c r="G41" s="122">
        <f>+OLD...Tabs!D201</f>
        <v>0</v>
      </c>
      <c r="H41" s="119">
        <f>+OLD...Tabs!D16</f>
        <v>0</v>
      </c>
      <c r="I41" s="119">
        <f>+OLD...Tabs!D263</f>
        <v>0</v>
      </c>
      <c r="J41" s="122">
        <f>+OLD...Tabs!D294</f>
        <v>0</v>
      </c>
      <c r="K41" s="122">
        <f>+OLD...Tabs!D325</f>
        <v>0</v>
      </c>
      <c r="L41" s="122">
        <f>+OLD...Tabs!D356</f>
        <v>0</v>
      </c>
      <c r="M41" s="119">
        <f>+OLD...Tabs!D232</f>
        <v>0</v>
      </c>
      <c r="N41" s="327">
        <f>+OLD...Tabs!D417</f>
        <v>0</v>
      </c>
      <c r="O41" s="63">
        <f>+OLD...Tabs!D447</f>
        <v>0</v>
      </c>
      <c r="P41" s="119">
        <f>+OLD...Tabs!D387</f>
        <v>0</v>
      </c>
    </row>
    <row r="42" spans="1:16" ht="15.75" customHeight="1">
      <c r="A42" s="28" t="s">
        <v>177</v>
      </c>
      <c r="B42" s="122">
        <f>+OLD...Tabs!D49</f>
        <v>2.3043079324008673</v>
      </c>
      <c r="C42" s="122">
        <f>+OLD...Tabs!D80</f>
        <v>7.4655070076193475</v>
      </c>
      <c r="D42" s="122">
        <f>+OLD...Tabs!D110</f>
        <v>7.6839003723922685</v>
      </c>
      <c r="E42" s="122">
        <f>+OLD...Tabs!D141</f>
        <v>12.893669352070466</v>
      </c>
      <c r="F42" s="122">
        <f>+OLD...Tabs!D172</f>
        <v>13.754633015581808</v>
      </c>
      <c r="G42" s="122">
        <f>+OLD...Tabs!D202</f>
        <v>0</v>
      </c>
      <c r="H42" s="119">
        <f>+OLD...Tabs!D17</f>
        <v>22.340665129559785</v>
      </c>
      <c r="I42" s="119">
        <f>+OLD...Tabs!D264</f>
        <v>0</v>
      </c>
      <c r="J42" s="122">
        <f>+OLD...Tabs!D295</f>
        <v>16.028476213321809</v>
      </c>
      <c r="K42" s="122">
        <f>+OLD...Tabs!D326</f>
        <v>17.917362308251995</v>
      </c>
      <c r="L42" s="122">
        <f>+OLD...Tabs!D357</f>
        <v>19.613964623654972</v>
      </c>
      <c r="M42" s="119">
        <f>+OLD...Tabs!D233</f>
        <v>16.622628591715689</v>
      </c>
      <c r="N42" s="327">
        <f>+OLD...Tabs!D418</f>
        <v>0</v>
      </c>
      <c r="O42" s="63">
        <f>+OLD...Tabs!D448</f>
        <v>0</v>
      </c>
      <c r="P42" s="119">
        <f>+OLD...Tabs!D388</f>
        <v>0</v>
      </c>
    </row>
    <row r="43" spans="1:16" ht="15.75" customHeight="1">
      <c r="B43" s="28"/>
      <c r="C43" s="28"/>
      <c r="D43" s="28"/>
      <c r="E43" s="28"/>
      <c r="F43" s="28"/>
      <c r="G43" s="28"/>
      <c r="H43" s="121"/>
      <c r="I43" s="121"/>
      <c r="J43" s="28"/>
      <c r="K43" s="28"/>
      <c r="L43" s="28"/>
      <c r="M43" s="121"/>
      <c r="N43" s="121"/>
      <c r="O43" s="28"/>
      <c r="P43" s="121"/>
    </row>
    <row r="44" spans="1:16" ht="15.75" customHeight="1">
      <c r="A44" s="28" t="s">
        <v>179</v>
      </c>
      <c r="B44" s="122">
        <f>+OLD...Tabs!D51</f>
        <v>8.8668098421207073</v>
      </c>
      <c r="C44" s="122">
        <f>+OLD...Tabs!D82</f>
        <v>7.9964114738567069</v>
      </c>
      <c r="D44" s="122">
        <f>+OLD...Tabs!D112</f>
        <v>0</v>
      </c>
      <c r="E44" s="122">
        <f>+OLD...Tabs!D143</f>
        <v>17.847154160590918</v>
      </c>
      <c r="F44" s="122">
        <f>+OLD...Tabs!D174</f>
        <v>48.443719796119218</v>
      </c>
      <c r="G44" s="122">
        <f>+OLD...Tabs!D204</f>
        <v>0</v>
      </c>
      <c r="H44" s="119">
        <f>+OLD...Tabs!D19</f>
        <v>11.196729209557045</v>
      </c>
      <c r="I44" s="119">
        <f>+OLD...Tabs!D266</f>
        <v>0</v>
      </c>
      <c r="J44" s="122">
        <f>+OLD...Tabs!D297</f>
        <v>20.72636069884231</v>
      </c>
      <c r="K44" s="122">
        <f>+OLD...Tabs!D328</f>
        <v>20.19018225331989</v>
      </c>
      <c r="L44" s="122">
        <f>+OLD...Tabs!D359</f>
        <v>13.659058487874464</v>
      </c>
      <c r="M44" s="119">
        <f>+OLD...Tabs!D235</f>
        <v>20.075474658547829</v>
      </c>
      <c r="N44" s="327">
        <f>+OLD...Tabs!D420</f>
        <v>0</v>
      </c>
      <c r="O44" s="63">
        <f>+OLD...Tabs!D450</f>
        <v>0</v>
      </c>
      <c r="P44" s="119">
        <f>+OLD...Tabs!D390</f>
        <v>0</v>
      </c>
    </row>
    <row r="45" spans="1:16" ht="15.75" customHeight="1">
      <c r="A45" s="28" t="s">
        <v>149</v>
      </c>
      <c r="B45" s="122">
        <f>+OLD...Tabs!D52</f>
        <v>9.6587707436060821</v>
      </c>
      <c r="C45" s="122">
        <f>+OLD...Tabs!D83</f>
        <v>15.244931347272306</v>
      </c>
      <c r="D45" s="122">
        <f>+OLD...Tabs!D113</f>
        <v>8.2743863388207632</v>
      </c>
      <c r="E45" s="122">
        <f>+OLD...Tabs!D144</f>
        <v>19.703894604734195</v>
      </c>
      <c r="F45" s="122">
        <f>+OLD...Tabs!D175</f>
        <v>17.96955884527987</v>
      </c>
      <c r="G45" s="122">
        <f>+OLD...Tabs!D205</f>
        <v>10.007124962651405</v>
      </c>
      <c r="H45" s="119">
        <f>+OLD...Tabs!D20</f>
        <v>10.705008553336123</v>
      </c>
      <c r="I45" s="119">
        <f>+OLD...Tabs!D267</f>
        <v>0</v>
      </c>
      <c r="J45" s="122">
        <f>+OLD...Tabs!D298</f>
        <v>34.138537800514932</v>
      </c>
      <c r="K45" s="122">
        <f>+OLD...Tabs!D329</f>
        <v>37.959466207387344</v>
      </c>
      <c r="L45" s="122">
        <f>+OLD...Tabs!D360</f>
        <v>38.991171277221895</v>
      </c>
      <c r="M45" s="119">
        <f>+OLD...Tabs!D236</f>
        <v>36.384715248513814</v>
      </c>
      <c r="N45" s="327">
        <f>+OLD...Tabs!D421</f>
        <v>0</v>
      </c>
      <c r="O45" s="63">
        <f>+OLD...Tabs!D451</f>
        <v>0</v>
      </c>
      <c r="P45" s="119">
        <f>+OLD...Tabs!D391</f>
        <v>0</v>
      </c>
    </row>
    <row r="46" spans="1:16" ht="15.75" customHeight="1">
      <c r="A46" s="28" t="s">
        <v>150</v>
      </c>
      <c r="B46" s="122">
        <f>+OLD...Tabs!D53</f>
        <v>11.983623305646388</v>
      </c>
      <c r="C46" s="122">
        <f>+OLD...Tabs!D84</f>
        <v>0</v>
      </c>
      <c r="D46" s="122">
        <f>+OLD...Tabs!D114</f>
        <v>15.784966376515371</v>
      </c>
      <c r="E46" s="122">
        <f>+OLD...Tabs!D145</f>
        <v>32.841690153397124</v>
      </c>
      <c r="F46" s="122">
        <f>+OLD...Tabs!D176</f>
        <v>17.309779185388354</v>
      </c>
      <c r="G46" s="122">
        <f>+OLD...Tabs!D206</f>
        <v>21.567668368438753</v>
      </c>
      <c r="H46" s="119">
        <f>+OLD...Tabs!D21</f>
        <v>15.073788221052352</v>
      </c>
      <c r="I46" s="119">
        <f>+OLD...Tabs!D268</f>
        <v>26.035799675861295</v>
      </c>
      <c r="J46" s="122">
        <f>+OLD...Tabs!D299</f>
        <v>24.47319954400232</v>
      </c>
      <c r="K46" s="122">
        <f>+OLD...Tabs!D330</f>
        <v>19.64937496454035</v>
      </c>
      <c r="L46" s="122">
        <f>+OLD...Tabs!D361</f>
        <v>25.520839769174685</v>
      </c>
      <c r="M46" s="119">
        <f>+OLD...Tabs!D237</f>
        <v>24.448611254961726</v>
      </c>
      <c r="N46" s="327">
        <f>+OLD...Tabs!D422</f>
        <v>0</v>
      </c>
      <c r="O46" s="63">
        <f>+OLD...Tabs!D452</f>
        <v>0</v>
      </c>
      <c r="P46" s="119">
        <f>+OLD...Tabs!D392</f>
        <v>0</v>
      </c>
    </row>
    <row r="47" spans="1:16" s="25" customFormat="1" ht="16.5" customHeight="1">
      <c r="A47" s="28" t="s">
        <v>151</v>
      </c>
      <c r="B47" s="122">
        <f>+OLD...Tabs!D54</f>
        <v>5.3066626168832576</v>
      </c>
      <c r="C47" s="122">
        <f>+OLD...Tabs!D85</f>
        <v>0</v>
      </c>
      <c r="D47" s="122">
        <f>+OLD...Tabs!D115</f>
        <v>1.7370155228847211</v>
      </c>
      <c r="E47" s="122">
        <f>+OLD...Tabs!D146</f>
        <v>0</v>
      </c>
      <c r="F47" s="122">
        <f>+OLD...Tabs!D177</f>
        <v>5.2165649131736052</v>
      </c>
      <c r="G47" s="122">
        <f>+OLD...Tabs!D207</f>
        <v>7.8803651399659165</v>
      </c>
      <c r="H47" s="119">
        <f>+OLD...Tabs!D22</f>
        <v>4.9127344479739916</v>
      </c>
      <c r="I47" s="119">
        <f>+OLD...Tabs!D269</f>
        <v>0</v>
      </c>
      <c r="J47" s="122">
        <f>+OLD...Tabs!D300</f>
        <v>21.882618637869093</v>
      </c>
      <c r="K47" s="122">
        <f>+OLD...Tabs!D331</f>
        <v>17.419849797257854</v>
      </c>
      <c r="L47" s="122">
        <f>+OLD...Tabs!D362</f>
        <v>10.860610806577917</v>
      </c>
      <c r="M47" s="119">
        <f>+OLD...Tabs!D238</f>
        <v>19.847103639776787</v>
      </c>
      <c r="N47" s="327">
        <f>+OLD...Tabs!D423</f>
        <v>0</v>
      </c>
      <c r="O47" s="63">
        <f>+OLD...Tabs!D453</f>
        <v>0</v>
      </c>
      <c r="P47" s="119">
        <f>+OLD...Tabs!D393</f>
        <v>0</v>
      </c>
    </row>
    <row r="48" spans="1:16" s="25" customFormat="1" ht="14.25" customHeight="1">
      <c r="H48" s="353"/>
      <c r="I48" s="353"/>
      <c r="M48" s="353"/>
      <c r="N48" s="353"/>
      <c r="P48" s="353"/>
    </row>
    <row r="49" spans="1:16" s="25" customFormat="1" ht="15" customHeight="1">
      <c r="A49" s="28" t="s">
        <v>152</v>
      </c>
      <c r="B49" s="122">
        <f>+OLD...Tabs!D56</f>
        <v>9.0748535926158187</v>
      </c>
      <c r="C49" s="122">
        <f>+OLD...Tabs!D87</f>
        <v>8.3411348845654096</v>
      </c>
      <c r="D49" s="122">
        <f>+OLD...Tabs!D117</f>
        <v>21.066721406456299</v>
      </c>
      <c r="E49" s="122">
        <f>+OLD...Tabs!D148</f>
        <v>0</v>
      </c>
      <c r="F49" s="122">
        <f>+OLD...Tabs!D179</f>
        <v>8.6238021064358747</v>
      </c>
      <c r="G49" s="122">
        <f>+OLD...Tabs!D209</f>
        <v>0</v>
      </c>
      <c r="H49" s="119">
        <f>+OLD...Tabs!D24</f>
        <v>15.552170202547375</v>
      </c>
      <c r="I49" s="119">
        <f>+OLD...Tabs!D271</f>
        <v>0</v>
      </c>
      <c r="J49" s="122">
        <f>+OLD...Tabs!D302</f>
        <v>24.135427905351463</v>
      </c>
      <c r="K49" s="122">
        <f>+OLD...Tabs!D333</f>
        <v>26.811564808332733</v>
      </c>
      <c r="L49" s="122">
        <f>+OLD...Tabs!D364</f>
        <v>0</v>
      </c>
      <c r="M49" s="119">
        <f>+OLD...Tabs!D240</f>
        <v>25.307855139470323</v>
      </c>
      <c r="N49" s="327">
        <f>+OLD...Tabs!D425</f>
        <v>0</v>
      </c>
      <c r="O49" s="63">
        <f>+OLD...Tabs!D455</f>
        <v>0</v>
      </c>
      <c r="P49" s="119">
        <f>+OLD...Tabs!D395</f>
        <v>0</v>
      </c>
    </row>
    <row r="50" spans="1:16" s="25" customFormat="1" ht="12.75">
      <c r="A50" s="28" t="s">
        <v>153</v>
      </c>
      <c r="B50" s="122">
        <f>+OLD...Tabs!D57</f>
        <v>10.50881987174116</v>
      </c>
      <c r="C50" s="122">
        <f>+OLD...Tabs!D88</f>
        <v>11.986648337877556</v>
      </c>
      <c r="D50" s="122">
        <f>+OLD...Tabs!D118</f>
        <v>12.659837330833609</v>
      </c>
      <c r="E50" s="122">
        <f>+OLD...Tabs!D149</f>
        <v>47.975726904953106</v>
      </c>
      <c r="F50" s="122">
        <f>+OLD...Tabs!D180</f>
        <v>36.366499008519078</v>
      </c>
      <c r="G50" s="122">
        <f>+OLD...Tabs!D210</f>
        <v>0.30816088865000446</v>
      </c>
      <c r="H50" s="119">
        <f>+OLD...Tabs!D25</f>
        <v>12.641767962433423</v>
      </c>
      <c r="I50" s="119">
        <f>+OLD...Tabs!D272</f>
        <v>20.743380532097277</v>
      </c>
      <c r="J50" s="122">
        <f>+OLD...Tabs!D303</f>
        <v>22.825685243953743</v>
      </c>
      <c r="K50" s="122">
        <f>+OLD...Tabs!D334</f>
        <v>24.080012493607548</v>
      </c>
      <c r="L50" s="122">
        <f>+OLD...Tabs!D365</f>
        <v>30.748870845179852</v>
      </c>
      <c r="M50" s="119">
        <f>+OLD...Tabs!D241</f>
        <v>23.13226789573395</v>
      </c>
      <c r="N50" s="327">
        <f>+OLD...Tabs!D426</f>
        <v>0</v>
      </c>
      <c r="O50" s="63">
        <f>+OLD...Tabs!D456</f>
        <v>0</v>
      </c>
      <c r="P50" s="119">
        <f>+OLD...Tabs!D396</f>
        <v>0</v>
      </c>
    </row>
    <row r="51" spans="1:16" s="25" customFormat="1" ht="16.5" customHeight="1">
      <c r="A51" s="28" t="s">
        <v>154</v>
      </c>
      <c r="B51" s="122">
        <f>+OLD...Tabs!D58</f>
        <v>5.7720041106463178</v>
      </c>
      <c r="C51" s="122">
        <f>+OLD...Tabs!D89</f>
        <v>4.1843050342507855</v>
      </c>
      <c r="D51" s="122">
        <f>+OLD...Tabs!D119</f>
        <v>3.7598558217485318</v>
      </c>
      <c r="E51" s="122">
        <f>+OLD...Tabs!D150</f>
        <v>0</v>
      </c>
      <c r="F51" s="122">
        <f>+OLD...Tabs!D181</f>
        <v>0</v>
      </c>
      <c r="G51" s="122">
        <f>+OLD...Tabs!D211</f>
        <v>12.269794261282287</v>
      </c>
      <c r="H51" s="119">
        <f>+OLD...Tabs!D26</f>
        <v>4.8002944616973506</v>
      </c>
      <c r="I51" s="119">
        <f>+OLD...Tabs!D273</f>
        <v>0</v>
      </c>
      <c r="J51" s="122">
        <f>+OLD...Tabs!D304</f>
        <v>25.942698801658448</v>
      </c>
      <c r="K51" s="122">
        <f>+OLD...Tabs!D335</f>
        <v>29.211350984192965</v>
      </c>
      <c r="L51" s="122">
        <f>+OLD...Tabs!D366</f>
        <v>33.202363547758281</v>
      </c>
      <c r="M51" s="119">
        <f>+OLD...Tabs!D242</f>
        <v>27.500025371071956</v>
      </c>
      <c r="N51" s="327">
        <f>+OLD...Tabs!D427</f>
        <v>0</v>
      </c>
      <c r="O51" s="63">
        <f>+OLD...Tabs!D457</f>
        <v>0</v>
      </c>
      <c r="P51" s="119">
        <f>+OLD...Tabs!D397</f>
        <v>0</v>
      </c>
    </row>
    <row r="52" spans="1:16" s="28" customFormat="1">
      <c r="A52" s="28" t="s">
        <v>155</v>
      </c>
      <c r="B52" s="122">
        <f>+OLD...Tabs!D59</f>
        <v>7.927547408948513</v>
      </c>
      <c r="C52" s="122">
        <f>+OLD...Tabs!D90</f>
        <v>0</v>
      </c>
      <c r="D52" s="122">
        <f>+OLD...Tabs!D120</f>
        <v>13.090538982427017</v>
      </c>
      <c r="E52" s="122">
        <f>+OLD...Tabs!D151</f>
        <v>0</v>
      </c>
      <c r="F52" s="122">
        <f>+OLD...Tabs!D182</f>
        <v>7.8961062674031135</v>
      </c>
      <c r="G52" s="122">
        <f>+OLD...Tabs!D212</f>
        <v>16.365256953531084</v>
      </c>
      <c r="H52" s="119">
        <f>+OLD...Tabs!D27</f>
        <v>10.736985039812048</v>
      </c>
      <c r="I52" s="119">
        <f>+OLD...Tabs!D274</f>
        <v>21.887054651747849</v>
      </c>
      <c r="J52" s="122">
        <f>+OLD...Tabs!D305</f>
        <v>0</v>
      </c>
      <c r="K52" s="122">
        <f>+OLD...Tabs!D336</f>
        <v>20.192277057380444</v>
      </c>
      <c r="L52" s="122">
        <f>+OLD...Tabs!D367</f>
        <v>21.02042609912041</v>
      </c>
      <c r="M52" s="354">
        <f>+OLD...Tabs!D243</f>
        <v>21.029090888265713</v>
      </c>
      <c r="N52" s="327">
        <f>+OLD...Tabs!D428</f>
        <v>0</v>
      </c>
      <c r="O52" s="63">
        <f>+OLD...Tabs!D458</f>
        <v>0</v>
      </c>
      <c r="P52" s="119">
        <f>+OLD...Tabs!D398</f>
        <v>0</v>
      </c>
    </row>
    <row r="53" spans="1:16" ht="24" customHeight="1">
      <c r="A53" s="689" t="s">
        <v>282</v>
      </c>
      <c r="B53" s="689"/>
      <c r="C53" s="689"/>
      <c r="D53" s="689"/>
      <c r="E53" s="689"/>
      <c r="F53" s="689"/>
      <c r="G53" s="689"/>
      <c r="H53" s="689"/>
      <c r="I53" s="689"/>
      <c r="J53" s="689"/>
      <c r="K53" s="689"/>
      <c r="L53" s="689"/>
      <c r="M53" s="689"/>
      <c r="N53" s="689"/>
      <c r="O53" s="689"/>
      <c r="P53" s="689"/>
    </row>
    <row r="54" spans="1:16" ht="23.25" customHeight="1">
      <c r="A54" s="666" t="s">
        <v>241</v>
      </c>
      <c r="B54" s="667"/>
      <c r="C54" s="667"/>
      <c r="D54" s="667"/>
      <c r="E54" s="667"/>
      <c r="F54" s="667"/>
      <c r="G54" s="667"/>
      <c r="H54" s="667"/>
      <c r="I54" s="667"/>
      <c r="J54" s="667"/>
      <c r="K54" s="667"/>
      <c r="L54" s="667"/>
      <c r="M54" s="667"/>
      <c r="N54" s="667"/>
      <c r="O54" s="667"/>
      <c r="P54" s="667"/>
    </row>
    <row r="55" spans="1:16">
      <c r="A55" s="25"/>
      <c r="B55" s="25"/>
      <c r="C55" s="25"/>
      <c r="D55" s="25"/>
      <c r="E55" s="25"/>
      <c r="F55" s="25"/>
      <c r="G55" s="25"/>
      <c r="H55" s="25"/>
      <c r="I55" s="25"/>
      <c r="J55" s="25"/>
      <c r="K55" s="25"/>
      <c r="L55" s="25"/>
      <c r="M55" s="330"/>
      <c r="N55" s="25"/>
      <c r="O55" s="25"/>
      <c r="P55" s="27" t="s">
        <v>899</v>
      </c>
    </row>
    <row r="56" spans="1:16" s="31" customFormat="1" ht="18">
      <c r="A56" s="16" t="s">
        <v>157</v>
      </c>
      <c r="B56" s="34"/>
      <c r="C56" s="34"/>
      <c r="D56" s="34"/>
      <c r="E56" s="34"/>
      <c r="F56" s="34"/>
      <c r="G56" s="17"/>
      <c r="H56" s="17"/>
      <c r="I56" s="150" t="s">
        <v>39</v>
      </c>
      <c r="J56" s="33"/>
      <c r="K56" s="33"/>
      <c r="L56" s="33"/>
      <c r="M56" s="355"/>
      <c r="N56" s="15"/>
      <c r="O56" s="15"/>
      <c r="P56" s="15"/>
    </row>
    <row r="57" spans="1:16" s="32" customFormat="1" ht="12.75">
      <c r="A57" s="18"/>
      <c r="B57" s="19"/>
      <c r="C57" s="19"/>
      <c r="D57" s="19"/>
      <c r="E57" s="19"/>
      <c r="F57" s="19"/>
      <c r="G57" s="19"/>
      <c r="H57" s="19"/>
      <c r="I57" s="335"/>
      <c r="J57" s="335"/>
      <c r="K57" s="335"/>
      <c r="L57" s="335"/>
      <c r="M57" s="336"/>
      <c r="N57" s="28"/>
      <c r="O57" s="28"/>
      <c r="P57" s="28"/>
    </row>
    <row r="58" spans="1:16" ht="15" customHeight="1">
      <c r="A58" s="344" t="s">
        <v>158</v>
      </c>
      <c r="B58" s="34"/>
      <c r="C58" s="34"/>
      <c r="D58" s="34"/>
      <c r="E58" s="34"/>
      <c r="F58" s="34"/>
      <c r="G58" s="17"/>
      <c r="H58" s="17"/>
      <c r="I58" s="150" t="s">
        <v>39</v>
      </c>
      <c r="J58" s="33"/>
      <c r="K58" s="33"/>
      <c r="L58" s="33"/>
      <c r="M58" s="355"/>
    </row>
    <row r="59" spans="1:16" ht="15.75" customHeight="1">
      <c r="A59" s="344" t="s">
        <v>159</v>
      </c>
      <c r="B59" s="19"/>
      <c r="C59" s="19"/>
      <c r="D59" s="19"/>
      <c r="E59" s="19"/>
      <c r="F59" s="19"/>
      <c r="G59" s="17"/>
      <c r="H59" s="17"/>
      <c r="I59" s="150" t="s">
        <v>39</v>
      </c>
      <c r="J59" s="33"/>
      <c r="K59" s="33"/>
      <c r="L59" s="33"/>
      <c r="M59" s="355"/>
    </row>
    <row r="60" spans="1:16" ht="15.75" customHeight="1">
      <c r="A60" s="344" t="s">
        <v>281</v>
      </c>
      <c r="B60" s="19"/>
      <c r="C60" s="19"/>
      <c r="D60" s="19"/>
      <c r="E60" s="19"/>
      <c r="F60" s="19"/>
      <c r="G60" s="17"/>
      <c r="H60" s="17"/>
      <c r="I60" s="150" t="s">
        <v>39</v>
      </c>
      <c r="J60" s="33"/>
      <c r="K60" s="33"/>
      <c r="L60" s="33"/>
      <c r="M60" s="355"/>
    </row>
    <row r="61" spans="1:16" ht="15.75" customHeight="1">
      <c r="A61" s="356"/>
      <c r="B61" s="114"/>
      <c r="C61" s="114"/>
      <c r="D61" s="114"/>
      <c r="E61" s="114"/>
      <c r="F61" s="114"/>
      <c r="G61" s="114"/>
      <c r="H61" s="114"/>
      <c r="I61" s="156"/>
      <c r="J61" s="123"/>
      <c r="K61" s="123"/>
      <c r="L61" s="123"/>
    </row>
    <row r="62" spans="1:16" ht="15.75" customHeight="1">
      <c r="A62" s="346"/>
      <c r="B62" s="349" t="s">
        <v>55</v>
      </c>
      <c r="C62" s="349"/>
      <c r="D62" s="349"/>
      <c r="E62" s="349"/>
      <c r="F62" s="349"/>
      <c r="G62" s="349"/>
      <c r="H62" s="349"/>
      <c r="I62" s="154"/>
      <c r="J62" s="154"/>
      <c r="K62" s="154"/>
      <c r="L62" s="154"/>
      <c r="M62" s="154"/>
      <c r="N62" s="31"/>
      <c r="O62" s="31"/>
      <c r="P62" s="31"/>
    </row>
    <row r="63" spans="1:16" ht="15.75" customHeight="1">
      <c r="A63" s="348"/>
      <c r="B63" s="349">
        <v>1</v>
      </c>
      <c r="C63" s="349">
        <v>2</v>
      </c>
      <c r="D63" s="349">
        <v>3</v>
      </c>
      <c r="E63" s="349">
        <v>4</v>
      </c>
      <c r="F63" s="349">
        <v>5</v>
      </c>
      <c r="G63" s="349">
        <v>6</v>
      </c>
      <c r="H63" s="23" t="s">
        <v>248</v>
      </c>
      <c r="I63" s="154"/>
      <c r="J63" s="154"/>
      <c r="K63" s="154"/>
      <c r="L63" s="154"/>
      <c r="M63" s="154"/>
      <c r="N63" s="32"/>
      <c r="O63" s="32"/>
      <c r="P63" s="32"/>
    </row>
    <row r="64" spans="1:16" ht="15.75" customHeight="1">
      <c r="A64" s="28" t="s">
        <v>141</v>
      </c>
      <c r="B64" s="341">
        <f>+OLD...Tabs!J41+OLD...Tabs!K41</f>
        <v>85.856798576071498</v>
      </c>
      <c r="C64" s="341">
        <f>+OLD...Tabs!J72+OLD...Tabs!K72</f>
        <v>78.584480798837433</v>
      </c>
      <c r="D64" s="341">
        <f>+OLD...Tabs!J102+OLD...Tabs!K102</f>
        <v>66.750317989618068</v>
      </c>
      <c r="E64" s="341">
        <f>+OLD...Tabs!J133+OLD...Tabs!K133</f>
        <v>60.236258671712022</v>
      </c>
      <c r="F64" s="341">
        <f>+OLD...Tabs!J164+OLD...Tabs!K164</f>
        <v>25.101148702150969</v>
      </c>
      <c r="G64" s="341">
        <f>+OLD...Tabs!J194+OLD...Tabs!K194</f>
        <v>0</v>
      </c>
      <c r="H64" s="118">
        <f>+OLD...Tabs!J9+OLD...Tabs!K9</f>
        <v>71.981263311229924</v>
      </c>
      <c r="I64" s="339"/>
      <c r="J64" s="357"/>
      <c r="K64" s="357"/>
      <c r="L64" s="357"/>
      <c r="M64" s="357"/>
    </row>
    <row r="65" spans="1:16" ht="15.75" customHeight="1">
      <c r="A65" s="28" t="s">
        <v>142</v>
      </c>
      <c r="B65" s="321">
        <f>+OLD...Tabs!J42+OLD...Tabs!K42</f>
        <v>79.373936800866019</v>
      </c>
      <c r="C65" s="321">
        <f>+OLD...Tabs!J73+OLD...Tabs!K73</f>
        <v>76.482288523857406</v>
      </c>
      <c r="D65" s="321">
        <f>+OLD...Tabs!J103+OLD...Tabs!K103</f>
        <v>42.652514258632813</v>
      </c>
      <c r="E65" s="321">
        <f>+OLD...Tabs!J134+OLD...Tabs!K134</f>
        <v>50.0348167373552</v>
      </c>
      <c r="F65" s="321">
        <f>+OLD...Tabs!J165+OLD...Tabs!K165</f>
        <v>42.323651452282157</v>
      </c>
      <c r="G65" s="321">
        <f>+OLD...Tabs!J195+OLD...Tabs!K195</f>
        <v>69.259962049335869</v>
      </c>
      <c r="H65" s="119">
        <f>+OLD...Tabs!J10+OLD...Tabs!K10</f>
        <v>66.735734828113749</v>
      </c>
      <c r="I65" s="339"/>
      <c r="J65" s="357"/>
      <c r="K65" s="357"/>
      <c r="L65" s="357"/>
      <c r="M65" s="357"/>
    </row>
    <row r="66" spans="1:16" ht="15.75" customHeight="1">
      <c r="A66" s="28" t="s">
        <v>143</v>
      </c>
      <c r="B66" s="321">
        <f>+OLD...Tabs!J43+OLD...Tabs!K43</f>
        <v>95.355411954765756</v>
      </c>
      <c r="C66" s="321">
        <f>+OLD...Tabs!J74+OLD...Tabs!K74</f>
        <v>0</v>
      </c>
      <c r="D66" s="321">
        <f>+OLD...Tabs!J104+OLD...Tabs!K104</f>
        <v>97.92040694195093</v>
      </c>
      <c r="E66" s="321">
        <f>+OLD...Tabs!J135+OLD...Tabs!K135</f>
        <v>0</v>
      </c>
      <c r="F66" s="321">
        <f>+OLD...Tabs!J166+OLD...Tabs!K166</f>
        <v>0</v>
      </c>
      <c r="G66" s="321">
        <f>+OLD...Tabs!J196+OLD...Tabs!K196</f>
        <v>0</v>
      </c>
      <c r="H66" s="119">
        <f>+OLD...Tabs!J11+OLD...Tabs!K11</f>
        <v>95.660451213436772</v>
      </c>
      <c r="I66" s="339"/>
      <c r="J66" s="357"/>
      <c r="K66" s="357"/>
      <c r="L66" s="357"/>
      <c r="M66" s="357"/>
    </row>
    <row r="67" spans="1:16" ht="15.75" customHeight="1">
      <c r="A67" s="28" t="s">
        <v>144</v>
      </c>
      <c r="B67" s="321">
        <f>+OLD...Tabs!J44+OLD...Tabs!K44</f>
        <v>86.188759586040931</v>
      </c>
      <c r="C67" s="321">
        <f>+OLD...Tabs!J75+OLD...Tabs!K75</f>
        <v>0</v>
      </c>
      <c r="D67" s="321">
        <f>+OLD...Tabs!J105+OLD...Tabs!K105</f>
        <v>74.184260602691182</v>
      </c>
      <c r="E67" s="321">
        <f>+OLD...Tabs!J136+OLD...Tabs!K136</f>
        <v>63.325970918461259</v>
      </c>
      <c r="F67" s="321">
        <f>+OLD...Tabs!J167+OLD...Tabs!K167</f>
        <v>0</v>
      </c>
      <c r="G67" s="321">
        <f>+OLD...Tabs!J197+OLD...Tabs!K197</f>
        <v>0</v>
      </c>
      <c r="H67" s="119">
        <f>+OLD...Tabs!J12+OLD...Tabs!K12</f>
        <v>84.569167357473404</v>
      </c>
      <c r="I67" s="339"/>
      <c r="J67" s="357"/>
      <c r="K67" s="357"/>
      <c r="L67" s="357"/>
      <c r="M67" s="357"/>
    </row>
    <row r="68" spans="1:16" ht="15.75" customHeight="1">
      <c r="A68" s="28"/>
      <c r="B68" s="321"/>
      <c r="C68" s="321"/>
      <c r="D68" s="321"/>
      <c r="E68" s="321"/>
      <c r="F68" s="321"/>
      <c r="G68" s="321"/>
      <c r="H68" s="119"/>
      <c r="I68" s="339"/>
      <c r="J68" s="357"/>
      <c r="K68" s="357"/>
      <c r="L68" s="357"/>
      <c r="M68" s="357"/>
    </row>
    <row r="69" spans="1:16" ht="15.75" customHeight="1">
      <c r="A69" s="28" t="s">
        <v>145</v>
      </c>
      <c r="B69" s="321">
        <f>+OLD...Tabs!J46+OLD...Tabs!K46</f>
        <v>0</v>
      </c>
      <c r="C69" s="321">
        <f>+OLD...Tabs!J77+OLD...Tabs!K77</f>
        <v>0</v>
      </c>
      <c r="D69" s="321">
        <f>+OLD...Tabs!J107+OLD...Tabs!K107</f>
        <v>0</v>
      </c>
      <c r="E69" s="321">
        <f>+OLD...Tabs!J138+OLD...Tabs!K138</f>
        <v>0</v>
      </c>
      <c r="F69" s="321">
        <f>+OLD...Tabs!J169+OLD...Tabs!K169</f>
        <v>0</v>
      </c>
      <c r="G69" s="321">
        <f>+OLD...Tabs!J199+OLD...Tabs!K199</f>
        <v>0</v>
      </c>
      <c r="H69" s="119">
        <f>+OLD...Tabs!J14+OLD...Tabs!K14</f>
        <v>0</v>
      </c>
      <c r="I69" s="339"/>
      <c r="J69" s="357"/>
      <c r="K69" s="357"/>
      <c r="L69" s="357"/>
      <c r="M69" s="357"/>
    </row>
    <row r="70" spans="1:16" ht="15.75" customHeight="1">
      <c r="A70" s="28" t="s">
        <v>146</v>
      </c>
      <c r="B70" s="321">
        <f>+OLD...Tabs!J47+OLD...Tabs!K47</f>
        <v>87.950480053074955</v>
      </c>
      <c r="C70" s="321">
        <f>+OLD...Tabs!J78+OLD...Tabs!K78</f>
        <v>0</v>
      </c>
      <c r="D70" s="321">
        <f>+OLD...Tabs!J108+OLD...Tabs!K108</f>
        <v>53.474086280081288</v>
      </c>
      <c r="E70" s="321">
        <f>+OLD...Tabs!J139+OLD...Tabs!K139</f>
        <v>64.74601971190296</v>
      </c>
      <c r="F70" s="321">
        <f>+OLD...Tabs!J170+OLD...Tabs!K170</f>
        <v>0</v>
      </c>
      <c r="G70" s="321">
        <f>+OLD...Tabs!J200+OLD...Tabs!K200</f>
        <v>0</v>
      </c>
      <c r="H70" s="119">
        <f>+OLD...Tabs!J15+OLD...Tabs!K15</f>
        <v>70.047732339782442</v>
      </c>
      <c r="I70" s="339"/>
      <c r="J70" s="357"/>
      <c r="K70" s="357"/>
      <c r="L70" s="357"/>
      <c r="M70" s="357"/>
    </row>
    <row r="71" spans="1:16" ht="15.75" customHeight="1">
      <c r="A71" s="28" t="s">
        <v>147</v>
      </c>
      <c r="B71" s="321">
        <f>+OLD...Tabs!J48+OLD...Tabs!K48</f>
        <v>0</v>
      </c>
      <c r="C71" s="321">
        <f>+OLD...Tabs!J79+OLD...Tabs!K79</f>
        <v>0</v>
      </c>
      <c r="D71" s="321">
        <f>+OLD...Tabs!J109+OLD...Tabs!K109</f>
        <v>0</v>
      </c>
      <c r="E71" s="321">
        <f>+OLD...Tabs!J140+OLD...Tabs!K140</f>
        <v>0</v>
      </c>
      <c r="F71" s="321">
        <f>+OLD...Tabs!J171+OLD...Tabs!K171</f>
        <v>0</v>
      </c>
      <c r="G71" s="321">
        <f>+OLD...Tabs!J201+OLD...Tabs!K201</f>
        <v>0</v>
      </c>
      <c r="H71" s="119">
        <f>+OLD...Tabs!J16+OLD...Tabs!K16</f>
        <v>0</v>
      </c>
      <c r="I71" s="339"/>
      <c r="J71" s="357"/>
      <c r="K71" s="357"/>
      <c r="L71" s="357"/>
      <c r="M71" s="357"/>
    </row>
    <row r="72" spans="1:16" ht="15.75" customHeight="1">
      <c r="A72" s="28" t="s">
        <v>177</v>
      </c>
      <c r="B72" s="321">
        <f>+OLD...Tabs!J49+OLD...Tabs!K49</f>
        <v>95.165123119805799</v>
      </c>
      <c r="C72" s="321">
        <f>+OLD...Tabs!J80+OLD...Tabs!K80</f>
        <v>81.7408165463751</v>
      </c>
      <c r="D72" s="321">
        <f>+OLD...Tabs!J110+OLD...Tabs!K110</f>
        <v>81.554895039940561</v>
      </c>
      <c r="E72" s="321">
        <f>+OLD...Tabs!J141+OLD...Tabs!K141</f>
        <v>77.766830281967685</v>
      </c>
      <c r="F72" s="321">
        <f>+OLD...Tabs!J172+OLD...Tabs!K172</f>
        <v>91.79413639260676</v>
      </c>
      <c r="G72" s="321">
        <f>+OLD...Tabs!J202+OLD...Tabs!K202</f>
        <v>100</v>
      </c>
      <c r="H72" s="119">
        <f>+OLD...Tabs!J17+OLD...Tabs!K17</f>
        <v>60.305612974513643</v>
      </c>
      <c r="I72" s="339"/>
      <c r="J72" s="357"/>
      <c r="K72" s="357"/>
      <c r="L72" s="357"/>
      <c r="M72" s="357"/>
    </row>
    <row r="73" spans="1:16" ht="15.75" customHeight="1">
      <c r="A73" s="28"/>
      <c r="B73" s="321"/>
      <c r="C73" s="321"/>
      <c r="D73" s="321"/>
      <c r="E73" s="321"/>
      <c r="F73" s="321"/>
      <c r="G73" s="321"/>
      <c r="H73" s="119"/>
      <c r="I73" s="339"/>
      <c r="J73" s="357"/>
      <c r="K73" s="357"/>
      <c r="L73" s="357"/>
      <c r="M73" s="357"/>
    </row>
    <row r="74" spans="1:16" ht="15.75" customHeight="1">
      <c r="A74" s="28" t="s">
        <v>148</v>
      </c>
      <c r="B74" s="321">
        <f>+OLD...Tabs!J51+OLD...Tabs!K51</f>
        <v>73.698423553755234</v>
      </c>
      <c r="C74" s="321">
        <f>+OLD...Tabs!J82+OLD...Tabs!K82</f>
        <v>87.018243263753277</v>
      </c>
      <c r="D74" s="321">
        <f>+OLD...Tabs!J112+OLD...Tabs!K112</f>
        <v>0</v>
      </c>
      <c r="E74" s="321">
        <f>+OLD...Tabs!J143+OLD...Tabs!K143</f>
        <v>46.315289443568759</v>
      </c>
      <c r="F74" s="321">
        <f>+OLD...Tabs!J174+OLD...Tabs!K174</f>
        <v>72.05917442137914</v>
      </c>
      <c r="G74" s="321">
        <f>+OLD...Tabs!J204+OLD...Tabs!K204</f>
        <v>0</v>
      </c>
      <c r="H74" s="119">
        <f>+OLD...Tabs!J19+OLD...Tabs!K19</f>
        <v>73.85540018755529</v>
      </c>
      <c r="I74" s="339"/>
      <c r="J74" s="357"/>
      <c r="K74" s="357"/>
      <c r="L74" s="357"/>
      <c r="M74" s="357"/>
    </row>
    <row r="75" spans="1:16" ht="15.75" customHeight="1">
      <c r="A75" s="28" t="s">
        <v>149</v>
      </c>
      <c r="B75" s="321">
        <f>+OLD...Tabs!J52+OLD...Tabs!K52</f>
        <v>86.06563738146825</v>
      </c>
      <c r="C75" s="321">
        <f>+OLD...Tabs!J83+OLD...Tabs!K83</f>
        <v>54.797466420672876</v>
      </c>
      <c r="D75" s="321">
        <f>+OLD...Tabs!J113+OLD...Tabs!K113</f>
        <v>73.261922503725799</v>
      </c>
      <c r="E75" s="321">
        <f>+OLD...Tabs!J144+OLD...Tabs!K144</f>
        <v>73.302051853030065</v>
      </c>
      <c r="F75" s="321">
        <f>+OLD...Tabs!J175+OLD...Tabs!K175</f>
        <v>71.585142223548971</v>
      </c>
      <c r="G75" s="321">
        <f>+OLD...Tabs!J205+OLD...Tabs!K205</f>
        <v>84.360902255639104</v>
      </c>
      <c r="H75" s="119">
        <f>+OLD...Tabs!J20+OLD...Tabs!K20</f>
        <v>79.197451526166802</v>
      </c>
      <c r="I75" s="339"/>
      <c r="J75" s="357"/>
      <c r="K75" s="357"/>
      <c r="L75" s="357"/>
      <c r="M75" s="357"/>
    </row>
    <row r="76" spans="1:16" ht="15.75" customHeight="1">
      <c r="A76" s="28" t="s">
        <v>150</v>
      </c>
      <c r="B76" s="321">
        <f>+OLD...Tabs!J53+OLD...Tabs!K53</f>
        <v>82.215110961153712</v>
      </c>
      <c r="C76" s="321">
        <f>+OLD...Tabs!J84+OLD...Tabs!K84</f>
        <v>0</v>
      </c>
      <c r="D76" s="321">
        <f>+OLD...Tabs!J114+OLD...Tabs!K114</f>
        <v>85.718002645215847</v>
      </c>
      <c r="E76" s="321">
        <f>+OLD...Tabs!J145+OLD...Tabs!K145</f>
        <v>49.562522785271597</v>
      </c>
      <c r="F76" s="321">
        <f>+OLD...Tabs!J176+OLD...Tabs!K176</f>
        <v>51.603993127297244</v>
      </c>
      <c r="G76" s="321">
        <f>+OLD...Tabs!J206+OLD...Tabs!K206</f>
        <v>0</v>
      </c>
      <c r="H76" s="119">
        <f>+OLD...Tabs!J21+OLD...Tabs!K21</f>
        <v>79.227303319194974</v>
      </c>
      <c r="I76" s="339"/>
      <c r="J76" s="357"/>
      <c r="K76" s="357"/>
      <c r="L76" s="357"/>
      <c r="M76" s="357"/>
    </row>
    <row r="77" spans="1:16" s="25" customFormat="1">
      <c r="A77" s="28" t="s">
        <v>151</v>
      </c>
      <c r="B77" s="321">
        <f>+OLD...Tabs!J54+OLD...Tabs!K54</f>
        <v>80.754328390811168</v>
      </c>
      <c r="C77" s="321">
        <f>+OLD...Tabs!J85+OLD...Tabs!K85</f>
        <v>0</v>
      </c>
      <c r="D77" s="321">
        <f>+OLD...Tabs!J115+OLD...Tabs!K115</f>
        <v>89.620713614255934</v>
      </c>
      <c r="E77" s="321">
        <f>+OLD...Tabs!J146+OLD...Tabs!K146</f>
        <v>0</v>
      </c>
      <c r="F77" s="321">
        <f>+OLD...Tabs!J177+OLD...Tabs!K177</f>
        <v>75.885532831814928</v>
      </c>
      <c r="G77" s="321">
        <f>+OLD...Tabs!J207+OLD...Tabs!K207</f>
        <v>56.928406466512698</v>
      </c>
      <c r="H77" s="119">
        <f>+OLD...Tabs!J22+OLD...Tabs!K22</f>
        <v>81.418676244227811</v>
      </c>
      <c r="I77" s="339"/>
      <c r="J77" s="357"/>
      <c r="K77" s="357"/>
      <c r="L77" s="357"/>
      <c r="M77" s="357"/>
      <c r="N77" s="15"/>
      <c r="O77" s="15"/>
      <c r="P77" s="15"/>
    </row>
    <row r="78" spans="1:16" s="25" customFormat="1" ht="27.75" customHeight="1">
      <c r="A78" s="28"/>
      <c r="B78" s="321"/>
      <c r="C78" s="321"/>
      <c r="D78" s="321"/>
      <c r="E78" s="321"/>
      <c r="F78" s="321"/>
      <c r="G78" s="321"/>
      <c r="H78" s="119"/>
      <c r="I78" s="339"/>
      <c r="J78" s="357"/>
      <c r="K78" s="357"/>
      <c r="L78" s="357"/>
      <c r="M78" s="357"/>
      <c r="N78" s="15"/>
      <c r="O78" s="15"/>
      <c r="P78" s="15"/>
    </row>
    <row r="79" spans="1:16" s="25" customFormat="1">
      <c r="A79" s="28" t="s">
        <v>152</v>
      </c>
      <c r="B79" s="321">
        <f>+OLD...Tabs!J56+OLD...Tabs!K56</f>
        <v>73.19701421669437</v>
      </c>
      <c r="C79" s="321">
        <f>+OLD...Tabs!J87+OLD...Tabs!K87</f>
        <v>69.033549370949288</v>
      </c>
      <c r="D79" s="321">
        <f>+OLD...Tabs!J117+OLD...Tabs!K117</f>
        <v>54.109197274774289</v>
      </c>
      <c r="E79" s="321">
        <f>+OLD...Tabs!J148+OLD...Tabs!K148</f>
        <v>0</v>
      </c>
      <c r="F79" s="321">
        <f>+OLD...Tabs!J179+OLD...Tabs!K179</f>
        <v>20.975392825378002</v>
      </c>
      <c r="G79" s="321">
        <f>+OLD...Tabs!J209+OLD...Tabs!K209</f>
        <v>0</v>
      </c>
      <c r="H79" s="119">
        <f>+OLD...Tabs!J24+OLD...Tabs!K24</f>
        <v>63.981004852182004</v>
      </c>
      <c r="I79" s="339"/>
      <c r="J79" s="357"/>
      <c r="K79" s="357"/>
      <c r="L79" s="357"/>
      <c r="M79" s="357"/>
      <c r="N79" s="15"/>
      <c r="O79" s="15"/>
      <c r="P79" s="15"/>
    </row>
    <row r="80" spans="1:16">
      <c r="A80" s="28" t="s">
        <v>153</v>
      </c>
      <c r="B80" s="321">
        <f>+OLD...Tabs!J57+OLD...Tabs!K57</f>
        <v>87.382357921693583</v>
      </c>
      <c r="C80" s="321">
        <f>+OLD...Tabs!J88+OLD...Tabs!K88</f>
        <v>67.691778981085349</v>
      </c>
      <c r="D80" s="321">
        <f>+OLD...Tabs!J118+OLD...Tabs!K118</f>
        <v>54.596126499915137</v>
      </c>
      <c r="E80" s="321">
        <f>+OLD...Tabs!J149+OLD...Tabs!K149</f>
        <v>32.224206157706789</v>
      </c>
      <c r="F80" s="321">
        <f>+OLD...Tabs!J180+OLD...Tabs!K180</f>
        <v>34.699367088607602</v>
      </c>
      <c r="G80" s="321">
        <f>+OLD...Tabs!J210+OLD...Tabs!K210</f>
        <v>84.86486486486487</v>
      </c>
      <c r="H80" s="119">
        <f>+OLD...Tabs!J25+OLD...Tabs!K25</f>
        <v>72.589764617911655</v>
      </c>
      <c r="I80" s="339"/>
      <c r="J80" s="357"/>
      <c r="K80" s="357"/>
      <c r="L80" s="357"/>
      <c r="M80" s="357"/>
    </row>
    <row r="81" spans="1:16" s="28" customFormat="1">
      <c r="A81" s="28" t="s">
        <v>154</v>
      </c>
      <c r="B81" s="321">
        <f>+OLD...Tabs!J58+OLD...Tabs!K58</f>
        <v>89.437593683210849</v>
      </c>
      <c r="C81" s="321">
        <f>+OLD...Tabs!J89+OLD...Tabs!K89</f>
        <v>95.189604215026023</v>
      </c>
      <c r="D81" s="321">
        <f>+OLD...Tabs!J119+OLD...Tabs!K119</f>
        <v>86.768993901652323</v>
      </c>
      <c r="E81" s="321">
        <f>+OLD...Tabs!J150+OLD...Tabs!K150</f>
        <v>0</v>
      </c>
      <c r="F81" s="321">
        <f>+OLD...Tabs!J181+OLD...Tabs!K181</f>
        <v>100</v>
      </c>
      <c r="G81" s="321">
        <f>+OLD...Tabs!J211+OLD...Tabs!K211</f>
        <v>0</v>
      </c>
      <c r="H81" s="119">
        <f>+OLD...Tabs!J26+OLD...Tabs!K26</f>
        <v>90.446027535014807</v>
      </c>
      <c r="I81" s="339"/>
      <c r="J81" s="357"/>
      <c r="K81" s="357"/>
      <c r="L81" s="357"/>
      <c r="M81" s="357"/>
      <c r="N81" s="15"/>
      <c r="O81" s="15"/>
      <c r="P81" s="15"/>
    </row>
    <row r="82" spans="1:16">
      <c r="A82" s="220" t="s">
        <v>155</v>
      </c>
      <c r="B82" s="328">
        <f>+OLD...Tabs!J59+OLD...Tabs!K59</f>
        <v>71.146570632237299</v>
      </c>
      <c r="C82" s="328">
        <f>+OLD...Tabs!J90+OLD...Tabs!K90</f>
        <v>0</v>
      </c>
      <c r="D82" s="328">
        <f>+OLD...Tabs!J120+OLD...Tabs!K120</f>
        <v>70.409067081216904</v>
      </c>
      <c r="E82" s="328">
        <f>+OLD...Tabs!J151+OLD...Tabs!K151</f>
        <v>0</v>
      </c>
      <c r="F82" s="328">
        <f>+OLD...Tabs!J182+OLD...Tabs!K182</f>
        <v>57.079545454545453</v>
      </c>
      <c r="G82" s="328">
        <f>+OLD...Tabs!J212+OLD...Tabs!K212</f>
        <v>52.534113060428844</v>
      </c>
      <c r="H82" s="120">
        <f>+OLD...Tabs!J27+OLD...Tabs!K27</f>
        <v>69.253833777747772</v>
      </c>
      <c r="I82" s="339"/>
      <c r="J82" s="357"/>
      <c r="K82" s="357"/>
      <c r="L82" s="357"/>
      <c r="M82" s="357"/>
    </row>
    <row r="83" spans="1:16" ht="34.5" customHeight="1">
      <c r="A83" s="690" t="s">
        <v>283</v>
      </c>
      <c r="B83" s="690"/>
      <c r="C83" s="690"/>
      <c r="D83" s="690"/>
      <c r="E83" s="690"/>
      <c r="F83" s="690"/>
      <c r="G83" s="690"/>
      <c r="H83" s="690"/>
      <c r="I83" s="25"/>
      <c r="J83" s="25"/>
      <c r="K83" s="25"/>
      <c r="L83" s="25"/>
      <c r="M83" s="26"/>
      <c r="N83" s="25"/>
      <c r="O83" s="25"/>
      <c r="P83" s="25"/>
    </row>
    <row r="84" spans="1:16" s="32" customFormat="1" ht="12.75">
      <c r="A84" s="25"/>
      <c r="B84" s="25"/>
      <c r="C84" s="25"/>
      <c r="D84" s="25"/>
      <c r="E84" s="25"/>
      <c r="F84" s="25"/>
      <c r="G84" s="25"/>
      <c r="H84" s="27" t="s">
        <v>899</v>
      </c>
      <c r="I84" s="25"/>
      <c r="J84" s="25"/>
      <c r="K84" s="25"/>
      <c r="L84" s="25"/>
      <c r="M84" s="26"/>
      <c r="N84" s="25"/>
      <c r="O84" s="25"/>
      <c r="P84" s="25"/>
    </row>
    <row r="85" spans="1:16" s="32" customFormat="1" ht="18">
      <c r="A85" s="16" t="s">
        <v>160</v>
      </c>
      <c r="B85" s="34"/>
      <c r="C85" s="34"/>
      <c r="D85" s="34"/>
      <c r="E85" s="34"/>
      <c r="F85" s="34"/>
      <c r="G85" s="17"/>
      <c r="H85" s="17"/>
      <c r="I85" s="150"/>
      <c r="J85" s="33"/>
      <c r="K85" s="33"/>
      <c r="L85" s="33"/>
      <c r="M85" s="355"/>
      <c r="N85" s="15"/>
      <c r="O85" s="15"/>
      <c r="P85" s="15"/>
    </row>
    <row r="86" spans="1:16" ht="11.25" customHeight="1">
      <c r="A86" s="18"/>
      <c r="B86" s="19"/>
      <c r="C86" s="19"/>
      <c r="D86" s="19"/>
      <c r="E86" s="19"/>
      <c r="F86" s="19"/>
      <c r="G86" s="19"/>
      <c r="H86" s="19"/>
      <c r="I86" s="335"/>
      <c r="J86" s="335"/>
      <c r="K86" s="335"/>
      <c r="L86" s="335"/>
      <c r="M86" s="336"/>
      <c r="N86" s="28"/>
      <c r="O86" s="28"/>
      <c r="P86" s="28"/>
    </row>
    <row r="87" spans="1:16" ht="15.75" customHeight="1">
      <c r="A87" s="344" t="s">
        <v>161</v>
      </c>
      <c r="B87" s="34"/>
      <c r="C87" s="34"/>
      <c r="D87" s="34"/>
      <c r="E87" s="34"/>
      <c r="F87" s="34"/>
      <c r="G87" s="17"/>
      <c r="H87" s="17"/>
      <c r="I87" s="150"/>
      <c r="J87" s="33"/>
      <c r="K87" s="33"/>
      <c r="L87" s="33"/>
      <c r="M87" s="355"/>
    </row>
    <row r="88" spans="1:16" ht="15.75" customHeight="1">
      <c r="A88" s="344" t="s">
        <v>281</v>
      </c>
      <c r="B88" s="19"/>
      <c r="C88" s="19"/>
      <c r="D88" s="19"/>
      <c r="E88" s="19"/>
      <c r="F88" s="19"/>
      <c r="G88" s="17"/>
      <c r="H88" s="17"/>
      <c r="I88" s="150"/>
      <c r="J88" s="33"/>
      <c r="K88" s="33"/>
      <c r="L88" s="33"/>
      <c r="M88" s="355"/>
    </row>
    <row r="89" spans="1:16" ht="15.75" customHeight="1">
      <c r="A89" s="358"/>
      <c r="B89" s="335"/>
      <c r="C89" s="335"/>
      <c r="D89" s="335"/>
      <c r="E89" s="335"/>
      <c r="F89" s="335"/>
      <c r="G89" s="33"/>
      <c r="H89" s="33"/>
      <c r="I89" s="150"/>
      <c r="J89" s="33"/>
      <c r="K89" s="33"/>
      <c r="L89" s="33"/>
      <c r="M89" s="355"/>
    </row>
    <row r="90" spans="1:16" ht="15.75" customHeight="1">
      <c r="A90" s="348"/>
      <c r="B90" s="349" t="s">
        <v>55</v>
      </c>
      <c r="C90" s="349"/>
      <c r="D90" s="349"/>
      <c r="E90" s="349"/>
      <c r="F90" s="349"/>
      <c r="G90" s="349"/>
      <c r="H90" s="349"/>
      <c r="I90" s="154"/>
      <c r="J90" s="154"/>
      <c r="K90" s="154"/>
      <c r="L90" s="154"/>
      <c r="M90" s="154"/>
      <c r="N90" s="154"/>
      <c r="O90" s="32"/>
      <c r="P90" s="32"/>
    </row>
    <row r="91" spans="1:16" ht="15.75" customHeight="1">
      <c r="A91" s="348"/>
      <c r="B91" s="349">
        <v>1</v>
      </c>
      <c r="C91" s="349">
        <v>2</v>
      </c>
      <c r="D91" s="349">
        <v>3</v>
      </c>
      <c r="E91" s="349">
        <v>4</v>
      </c>
      <c r="F91" s="349">
        <v>5</v>
      </c>
      <c r="G91" s="349">
        <v>6</v>
      </c>
      <c r="H91" s="23" t="s">
        <v>248</v>
      </c>
      <c r="I91" s="154"/>
      <c r="J91" s="154"/>
      <c r="K91" s="154"/>
      <c r="L91" s="154"/>
      <c r="M91" s="154"/>
      <c r="N91" s="154"/>
      <c r="O91" s="32"/>
      <c r="P91" s="32"/>
    </row>
    <row r="92" spans="1:16">
      <c r="A92" s="28" t="s">
        <v>141</v>
      </c>
      <c r="B92" s="341">
        <f>+OLD...Tabs!L41</f>
        <v>14.143201423928511</v>
      </c>
      <c r="C92" s="341">
        <f>+OLD...Tabs!L72</f>
        <v>21.415519201162574</v>
      </c>
      <c r="D92" s="341">
        <f>+OLD...Tabs!L102</f>
        <v>33.249682010381932</v>
      </c>
      <c r="E92" s="341">
        <f>+OLD...Tabs!L133</f>
        <v>39.763741328287971</v>
      </c>
      <c r="F92" s="341">
        <f>+OLD...Tabs!L164</f>
        <v>74.898851297849035</v>
      </c>
      <c r="G92" s="341">
        <f>+OLD...Tabs!L194</f>
        <v>0</v>
      </c>
      <c r="H92" s="118">
        <f>+OLD...Tabs!L9</f>
        <v>28.018736688770066</v>
      </c>
      <c r="I92" s="339"/>
      <c r="J92" s="357"/>
      <c r="K92" s="357"/>
      <c r="L92" s="357"/>
      <c r="M92" s="357"/>
      <c r="N92" s="123"/>
    </row>
    <row r="93" spans="1:16">
      <c r="A93" s="28" t="s">
        <v>142</v>
      </c>
      <c r="B93" s="321">
        <f>+OLD...Tabs!L42</f>
        <v>20.626063199133977</v>
      </c>
      <c r="C93" s="321">
        <f>+OLD...Tabs!L73</f>
        <v>23.517711476142587</v>
      </c>
      <c r="D93" s="321">
        <f>+OLD...Tabs!L103</f>
        <v>57.347485741367201</v>
      </c>
      <c r="E93" s="321">
        <f>+OLD...Tabs!L134</f>
        <v>49.965183262644807</v>
      </c>
      <c r="F93" s="321">
        <f>+OLD...Tabs!L165</f>
        <v>57.676348547717836</v>
      </c>
      <c r="G93" s="321">
        <f>+OLD...Tabs!L195</f>
        <v>30.740037950664135</v>
      </c>
      <c r="H93" s="119">
        <f>+OLD...Tabs!L10</f>
        <v>33.264265171886244</v>
      </c>
      <c r="I93" s="339"/>
      <c r="J93" s="357"/>
      <c r="K93" s="357"/>
      <c r="L93" s="357"/>
      <c r="M93" s="357"/>
      <c r="N93" s="123"/>
    </row>
    <row r="94" spans="1:16">
      <c r="A94" s="28" t="s">
        <v>143</v>
      </c>
      <c r="B94" s="321">
        <f>+OLD...Tabs!L43</f>
        <v>4.6445880452342481</v>
      </c>
      <c r="C94" s="321">
        <f>+OLD...Tabs!L74</f>
        <v>0</v>
      </c>
      <c r="D94" s="321">
        <f>+OLD...Tabs!L104</f>
        <v>2.0795930580490727</v>
      </c>
      <c r="E94" s="321">
        <f>+OLD...Tabs!L135</f>
        <v>0</v>
      </c>
      <c r="F94" s="321">
        <f>+OLD...Tabs!L166</f>
        <v>0</v>
      </c>
      <c r="G94" s="321">
        <f>+OLD...Tabs!L196</f>
        <v>0</v>
      </c>
      <c r="H94" s="119">
        <f>+OLD...Tabs!L11</f>
        <v>4.3395487865632338</v>
      </c>
      <c r="I94" s="339"/>
      <c r="J94" s="357"/>
      <c r="K94" s="357"/>
      <c r="L94" s="357"/>
      <c r="M94" s="357"/>
      <c r="N94" s="123"/>
    </row>
    <row r="95" spans="1:16">
      <c r="A95" s="28" t="s">
        <v>174</v>
      </c>
      <c r="B95" s="321">
        <f>+OLD...Tabs!L44</f>
        <v>13.550869186337399</v>
      </c>
      <c r="C95" s="321">
        <f>+OLD...Tabs!L75</f>
        <v>0</v>
      </c>
      <c r="D95" s="321">
        <f>+OLD...Tabs!L105</f>
        <v>25.815739397308818</v>
      </c>
      <c r="E95" s="321">
        <f>+OLD...Tabs!L136</f>
        <v>36.674029081538748</v>
      </c>
      <c r="F95" s="321">
        <f>+OLD...Tabs!L167</f>
        <v>0</v>
      </c>
      <c r="G95" s="321">
        <f>+OLD...Tabs!L197</f>
        <v>0</v>
      </c>
      <c r="H95" s="119">
        <f>+OLD...Tabs!L12</f>
        <v>15.201046949415195</v>
      </c>
      <c r="I95" s="339"/>
      <c r="J95" s="357"/>
      <c r="K95" s="357"/>
      <c r="L95" s="357"/>
      <c r="M95" s="357"/>
      <c r="N95" s="123"/>
    </row>
    <row r="96" spans="1:16">
      <c r="A96" s="28"/>
      <c r="B96" s="321"/>
      <c r="C96" s="321"/>
      <c r="D96" s="321"/>
      <c r="E96" s="321"/>
      <c r="F96" s="321"/>
      <c r="G96" s="321"/>
      <c r="H96" s="119"/>
      <c r="I96" s="339"/>
      <c r="J96" s="357"/>
      <c r="K96" s="357"/>
      <c r="L96" s="357"/>
      <c r="M96" s="357"/>
      <c r="N96" s="123"/>
    </row>
    <row r="97" spans="1:16">
      <c r="A97" s="28" t="s">
        <v>145</v>
      </c>
      <c r="B97" s="321">
        <f>+OLD...Tabs!L46</f>
        <v>0</v>
      </c>
      <c r="C97" s="321">
        <f>+OLD...Tabs!L77</f>
        <v>0</v>
      </c>
      <c r="D97" s="321">
        <f>+OLD...Tabs!L107</f>
        <v>0</v>
      </c>
      <c r="E97" s="321">
        <f>+OLD...Tabs!L138</f>
        <v>0</v>
      </c>
      <c r="F97" s="321">
        <f>+OLD...Tabs!L169</f>
        <v>0</v>
      </c>
      <c r="G97" s="321">
        <f>+OLD...Tabs!L199</f>
        <v>0</v>
      </c>
      <c r="H97" s="119">
        <f>+OLD...Tabs!L14</f>
        <v>0</v>
      </c>
      <c r="I97" s="339"/>
      <c r="J97" s="357"/>
      <c r="K97" s="357"/>
      <c r="L97" s="357"/>
      <c r="M97" s="357"/>
      <c r="N97" s="123"/>
    </row>
    <row r="98" spans="1:16">
      <c r="A98" s="28" t="s">
        <v>146</v>
      </c>
      <c r="B98" s="321">
        <f>+OLD...Tabs!L47</f>
        <v>12.049519946925033</v>
      </c>
      <c r="C98" s="321">
        <f>+OLD...Tabs!L78</f>
        <v>0</v>
      </c>
      <c r="D98" s="321">
        <f>+OLD...Tabs!L108</f>
        <v>46.525913719918719</v>
      </c>
      <c r="E98" s="321">
        <f>+OLD...Tabs!L139</f>
        <v>35.25398028809704</v>
      </c>
      <c r="F98" s="321">
        <f>+OLD...Tabs!L170</f>
        <v>0</v>
      </c>
      <c r="G98" s="321">
        <f>+OLD...Tabs!L200</f>
        <v>0</v>
      </c>
      <c r="H98" s="119">
        <f>+OLD...Tabs!L15</f>
        <v>29.952267660217561</v>
      </c>
      <c r="I98" s="339"/>
      <c r="J98" s="357"/>
      <c r="K98" s="357"/>
      <c r="L98" s="357"/>
      <c r="M98" s="357"/>
      <c r="N98" s="123"/>
    </row>
    <row r="99" spans="1:16">
      <c r="A99" s="28" t="s">
        <v>147</v>
      </c>
      <c r="B99" s="321">
        <f>+OLD...Tabs!L48</f>
        <v>0</v>
      </c>
      <c r="C99" s="321">
        <f>+OLD...Tabs!L79</f>
        <v>0</v>
      </c>
      <c r="D99" s="321">
        <f>+OLD...Tabs!L109</f>
        <v>0</v>
      </c>
      <c r="E99" s="321">
        <f>+OLD...Tabs!L140</f>
        <v>0</v>
      </c>
      <c r="F99" s="321">
        <f>+OLD...Tabs!L171</f>
        <v>0</v>
      </c>
      <c r="G99" s="321">
        <f>+OLD...Tabs!L201</f>
        <v>0</v>
      </c>
      <c r="H99" s="119">
        <f>+OLD...Tabs!L16</f>
        <v>0</v>
      </c>
      <c r="I99" s="339"/>
      <c r="J99" s="357"/>
      <c r="K99" s="357"/>
      <c r="L99" s="357"/>
      <c r="M99" s="357"/>
      <c r="N99" s="123"/>
    </row>
    <row r="100" spans="1:16">
      <c r="A100" s="28" t="s">
        <v>177</v>
      </c>
      <c r="B100" s="321">
        <f>+OLD...Tabs!L49</f>
        <v>4.8348768801942166</v>
      </c>
      <c r="C100" s="321">
        <f>+OLD...Tabs!L80</f>
        <v>18.259183453624907</v>
      </c>
      <c r="D100" s="321">
        <f>+OLD...Tabs!L110</f>
        <v>18.445104960059446</v>
      </c>
      <c r="E100" s="321">
        <f>+OLD...Tabs!L141</f>
        <v>22.233169718032318</v>
      </c>
      <c r="F100" s="321">
        <f>+OLD...Tabs!L172</f>
        <v>8.2058636073932441</v>
      </c>
      <c r="G100" s="321">
        <f>+OLD...Tabs!L202</f>
        <v>0</v>
      </c>
      <c r="H100" s="119">
        <f>+OLD...Tabs!L17</f>
        <v>39.694387025486357</v>
      </c>
      <c r="I100" s="339"/>
      <c r="J100" s="357"/>
      <c r="K100" s="357"/>
      <c r="L100" s="357"/>
      <c r="M100" s="357"/>
      <c r="N100" s="123"/>
    </row>
    <row r="101" spans="1:16">
      <c r="A101" s="28"/>
      <c r="B101" s="321"/>
      <c r="C101" s="321"/>
      <c r="D101" s="321"/>
      <c r="E101" s="321"/>
      <c r="F101" s="321"/>
      <c r="G101" s="321"/>
      <c r="H101" s="119"/>
      <c r="I101" s="339"/>
      <c r="J101" s="357"/>
      <c r="K101" s="357"/>
      <c r="L101" s="357"/>
      <c r="M101" s="357"/>
      <c r="N101" s="123"/>
    </row>
    <row r="102" spans="1:16">
      <c r="A102" s="28" t="s">
        <v>148</v>
      </c>
      <c r="B102" s="321">
        <f>+OLD...Tabs!L51</f>
        <v>26.301576446244763</v>
      </c>
      <c r="C102" s="321">
        <f>+OLD...Tabs!L82</f>
        <v>12.978721251429208</v>
      </c>
      <c r="D102" s="321">
        <f>+OLD...Tabs!L112</f>
        <v>0</v>
      </c>
      <c r="E102" s="321">
        <f>+OLD...Tabs!L143</f>
        <v>53.341394424891497</v>
      </c>
      <c r="F102" s="321">
        <f>+OLD...Tabs!L174</f>
        <v>27.940825578620853</v>
      </c>
      <c r="G102" s="321">
        <f>+OLD...Tabs!L204</f>
        <v>0</v>
      </c>
      <c r="H102" s="119">
        <f>+OLD...Tabs!L19</f>
        <v>26.083093827001129</v>
      </c>
      <c r="I102" s="339"/>
      <c r="J102" s="357"/>
      <c r="K102" s="357"/>
      <c r="L102" s="357"/>
      <c r="M102" s="357"/>
      <c r="N102" s="123"/>
    </row>
    <row r="103" spans="1:16">
      <c r="A103" s="28" t="s">
        <v>149</v>
      </c>
      <c r="B103" s="321">
        <f>+OLD...Tabs!L52</f>
        <v>13.934362618531749</v>
      </c>
      <c r="C103" s="321">
        <f>+OLD...Tabs!L83</f>
        <v>45.202533579327117</v>
      </c>
      <c r="D103" s="321">
        <f>+OLD...Tabs!L113</f>
        <v>26.738077496274219</v>
      </c>
      <c r="E103" s="321">
        <f>+OLD...Tabs!L144</f>
        <v>26.697948146969935</v>
      </c>
      <c r="F103" s="321">
        <f>+OLD...Tabs!L175</f>
        <v>28.414857776451019</v>
      </c>
      <c r="G103" s="321">
        <f>+OLD...Tabs!L205</f>
        <v>15.639097744360903</v>
      </c>
      <c r="H103" s="119">
        <f>+OLD...Tabs!L20</f>
        <v>20.802548473833198</v>
      </c>
      <c r="I103" s="339"/>
      <c r="J103" s="357"/>
      <c r="K103" s="357"/>
      <c r="L103" s="357"/>
      <c r="M103" s="357"/>
      <c r="N103" s="123"/>
    </row>
    <row r="104" spans="1:16">
      <c r="A104" s="28" t="s">
        <v>150</v>
      </c>
      <c r="B104" s="321">
        <f>+OLD...Tabs!L53</f>
        <v>17.393974699960722</v>
      </c>
      <c r="C104" s="321">
        <f>+OLD...Tabs!L84</f>
        <v>0</v>
      </c>
      <c r="D104" s="321">
        <f>+OLD...Tabs!L114</f>
        <v>14.281997354784156</v>
      </c>
      <c r="E104" s="321">
        <f>+OLD...Tabs!L145</f>
        <v>50.437477214728396</v>
      </c>
      <c r="F104" s="321">
        <f>+OLD...Tabs!L176</f>
        <v>48.396006872702763</v>
      </c>
      <c r="G104" s="321">
        <f>+OLD...Tabs!L206</f>
        <v>0</v>
      </c>
      <c r="H104" s="119">
        <f>+OLD...Tabs!L21</f>
        <v>20.461764576383835</v>
      </c>
      <c r="I104" s="339"/>
      <c r="J104" s="357"/>
      <c r="K104" s="357"/>
      <c r="L104" s="357"/>
      <c r="M104" s="357"/>
      <c r="N104" s="123"/>
    </row>
    <row r="105" spans="1:16" s="25" customFormat="1">
      <c r="A105" s="28" t="s">
        <v>151</v>
      </c>
      <c r="B105" s="321">
        <f>+OLD...Tabs!L54</f>
        <v>19.245671609188825</v>
      </c>
      <c r="C105" s="321">
        <f>+OLD...Tabs!L85</f>
        <v>0</v>
      </c>
      <c r="D105" s="321">
        <f>+OLD...Tabs!L115</f>
        <v>10.379286385744063</v>
      </c>
      <c r="E105" s="321">
        <f>+OLD...Tabs!L146</f>
        <v>0</v>
      </c>
      <c r="F105" s="321">
        <f>+OLD...Tabs!L177</f>
        <v>24.114467168185083</v>
      </c>
      <c r="G105" s="321">
        <f>+OLD...Tabs!L207</f>
        <v>43.071593533487295</v>
      </c>
      <c r="H105" s="119">
        <f>+OLD...Tabs!L22</f>
        <v>18.581323755772189</v>
      </c>
      <c r="I105" s="339"/>
      <c r="J105" s="357"/>
      <c r="K105" s="357"/>
      <c r="L105" s="357"/>
      <c r="M105" s="357"/>
      <c r="N105" s="123"/>
      <c r="O105" s="15"/>
      <c r="P105" s="15"/>
    </row>
    <row r="106" spans="1:16" s="25" customFormat="1">
      <c r="A106" s="28"/>
      <c r="B106" s="321"/>
      <c r="C106" s="321"/>
      <c r="D106" s="321"/>
      <c r="E106" s="321"/>
      <c r="F106" s="321"/>
      <c r="G106" s="321"/>
      <c r="H106" s="119"/>
      <c r="I106" s="339"/>
      <c r="J106" s="357"/>
      <c r="K106" s="357"/>
      <c r="L106" s="357"/>
      <c r="M106" s="357"/>
      <c r="N106" s="123"/>
      <c r="O106" s="15"/>
      <c r="P106" s="15"/>
    </row>
    <row r="107" spans="1:16" s="25" customFormat="1">
      <c r="A107" s="28" t="s">
        <v>152</v>
      </c>
      <c r="B107" s="321">
        <f>+OLD...Tabs!L56</f>
        <v>21.535624982656927</v>
      </c>
      <c r="C107" s="321">
        <f>+OLD...Tabs!L87</f>
        <v>25.92133689159995</v>
      </c>
      <c r="D107" s="321">
        <f>+OLD...Tabs!L117</f>
        <v>42.15411571348929</v>
      </c>
      <c r="E107" s="321">
        <f>+OLD...Tabs!L148</f>
        <v>0</v>
      </c>
      <c r="F107" s="321">
        <f>+OLD...Tabs!L179</f>
        <v>78.980136377112359</v>
      </c>
      <c r="G107" s="321">
        <f>+OLD...Tabs!L209</f>
        <v>0</v>
      </c>
      <c r="H107" s="119">
        <f>+OLD...Tabs!L24</f>
        <v>31.500926862772612</v>
      </c>
      <c r="I107" s="339"/>
      <c r="J107" s="357"/>
      <c r="K107" s="357"/>
      <c r="L107" s="357"/>
      <c r="M107" s="357"/>
      <c r="N107" s="123"/>
      <c r="O107" s="15"/>
      <c r="P107" s="15"/>
    </row>
    <row r="108" spans="1:16" s="25" customFormat="1">
      <c r="A108" s="28" t="s">
        <v>153</v>
      </c>
      <c r="B108" s="321">
        <f>+OLD...Tabs!L57</f>
        <v>12.617642078306407</v>
      </c>
      <c r="C108" s="321">
        <f>+OLD...Tabs!L88</f>
        <v>32.308221018914644</v>
      </c>
      <c r="D108" s="321">
        <f>+OLD...Tabs!L118</f>
        <v>45.403873500084863</v>
      </c>
      <c r="E108" s="321">
        <f>+OLD...Tabs!L149</f>
        <v>67.775793842293211</v>
      </c>
      <c r="F108" s="321">
        <f>+OLD...Tabs!L180</f>
        <v>65.300632911392412</v>
      </c>
      <c r="G108" s="321">
        <f>+OLD...Tabs!L210</f>
        <v>15.135135135135137</v>
      </c>
      <c r="H108" s="119">
        <f>+OLD...Tabs!L25</f>
        <v>27.410235382088345</v>
      </c>
      <c r="I108" s="339"/>
      <c r="J108" s="357"/>
      <c r="K108" s="357"/>
      <c r="L108" s="357"/>
      <c r="M108" s="357"/>
      <c r="N108" s="123"/>
      <c r="O108" s="15"/>
      <c r="P108" s="15"/>
    </row>
    <row r="109" spans="1:16">
      <c r="A109" s="28" t="s">
        <v>154</v>
      </c>
      <c r="B109" s="321">
        <f>+OLD...Tabs!L58</f>
        <v>10.562406316789156</v>
      </c>
      <c r="C109" s="321">
        <f>+OLD...Tabs!L89</f>
        <v>4.8103957849739754</v>
      </c>
      <c r="D109" s="321">
        <f>+OLD...Tabs!L119</f>
        <v>13.231006098347683</v>
      </c>
      <c r="E109" s="321">
        <f>+OLD...Tabs!L150</f>
        <v>0</v>
      </c>
      <c r="F109" s="321">
        <f>+OLD...Tabs!L181</f>
        <v>0</v>
      </c>
      <c r="G109" s="321">
        <f>+OLD...Tabs!L211</f>
        <v>0</v>
      </c>
      <c r="H109" s="119">
        <f>+OLD...Tabs!L26</f>
        <v>9.5539724649851934</v>
      </c>
      <c r="I109" s="339"/>
      <c r="J109" s="357"/>
      <c r="K109" s="357"/>
      <c r="L109" s="357"/>
      <c r="M109" s="357"/>
      <c r="N109" s="123"/>
    </row>
    <row r="110" spans="1:16">
      <c r="A110" s="220" t="s">
        <v>155</v>
      </c>
      <c r="B110" s="328">
        <f>+OLD...Tabs!L59</f>
        <v>28.853429367762701</v>
      </c>
      <c r="C110" s="328">
        <f>+OLD...Tabs!L90</f>
        <v>0</v>
      </c>
      <c r="D110" s="328">
        <f>+OLD...Tabs!L120</f>
        <v>29.590932918783103</v>
      </c>
      <c r="E110" s="328">
        <f>+OLD...Tabs!L151</f>
        <v>0</v>
      </c>
      <c r="F110" s="328">
        <f>+OLD...Tabs!L182</f>
        <v>42.920454545454547</v>
      </c>
      <c r="G110" s="328">
        <f>+OLD...Tabs!L212</f>
        <v>47.465886939571149</v>
      </c>
      <c r="H110" s="120">
        <f>+OLD...Tabs!L27</f>
        <v>30.746166222252224</v>
      </c>
      <c r="I110" s="339"/>
      <c r="J110" s="357"/>
      <c r="K110" s="357"/>
      <c r="L110" s="357"/>
      <c r="M110" s="357"/>
      <c r="N110" s="123"/>
      <c r="O110" s="123"/>
      <c r="P110" s="123"/>
    </row>
    <row r="111" spans="1:16" ht="35.25" customHeight="1">
      <c r="A111" s="689" t="s">
        <v>283</v>
      </c>
      <c r="B111" s="689"/>
      <c r="C111" s="689"/>
      <c r="D111" s="689"/>
      <c r="E111" s="689"/>
      <c r="F111" s="689"/>
      <c r="G111" s="689"/>
      <c r="H111" s="689"/>
      <c r="I111" s="359"/>
      <c r="J111" s="360"/>
      <c r="K111" s="360"/>
      <c r="L111" s="360"/>
      <c r="M111" s="360"/>
      <c r="N111" s="360"/>
      <c r="O111" s="360"/>
      <c r="P111" s="360"/>
    </row>
    <row r="112" spans="1:16" ht="24" customHeight="1">
      <c r="A112" s="666" t="s">
        <v>243</v>
      </c>
      <c r="B112" s="667"/>
      <c r="C112" s="667"/>
      <c r="D112" s="667"/>
      <c r="E112" s="667"/>
      <c r="F112" s="667"/>
      <c r="G112" s="667"/>
      <c r="H112" s="667"/>
      <c r="I112" s="26"/>
      <c r="J112" s="26"/>
      <c r="K112" s="26"/>
      <c r="L112" s="26"/>
      <c r="M112" s="26"/>
      <c r="N112" s="26"/>
      <c r="O112" s="25"/>
      <c r="P112" s="25"/>
    </row>
    <row r="113" spans="1:16">
      <c r="A113" s="25"/>
      <c r="B113" s="25"/>
      <c r="C113" s="25"/>
      <c r="D113" s="25"/>
      <c r="E113" s="25"/>
      <c r="F113" s="25"/>
      <c r="G113" s="25"/>
      <c r="H113" s="27" t="s">
        <v>899</v>
      </c>
      <c r="I113" s="26"/>
      <c r="J113" s="26"/>
      <c r="K113" s="26"/>
      <c r="L113" s="26"/>
      <c r="M113" s="26"/>
      <c r="N113" s="26"/>
      <c r="O113" s="25"/>
      <c r="P113" s="25"/>
    </row>
  </sheetData>
  <mergeCells count="10">
    <mergeCell ref="A112:H112"/>
    <mergeCell ref="A111:H111"/>
    <mergeCell ref="B5:H5"/>
    <mergeCell ref="I5:M5"/>
    <mergeCell ref="A28:P28"/>
    <mergeCell ref="A30:P30"/>
    <mergeCell ref="A53:P53"/>
    <mergeCell ref="A26:P26"/>
    <mergeCell ref="A54:P54"/>
    <mergeCell ref="A83:H83"/>
  </mergeCells>
  <pageMargins left="0.7" right="0.7" top="0.75" bottom="0.75" header="0.3" footer="0.3"/>
  <pageSetup firstPageNumber="87" orientation="landscape" useFirstPageNumber="1" r:id="rId1"/>
  <headerFooter>
    <oddHeader>&amp;R&amp;"Arial,Regular"&amp;8SREB-State Data Exchange</oddHeader>
    <oddFooter>&amp;CC-&amp;P</oddFooter>
  </headerFooter>
  <rowBreaks count="3" manualBreakCount="3">
    <brk id="27" max="15" man="1"/>
    <brk id="55" max="15" man="1"/>
    <brk id="84" max="1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O532"/>
  <sheetViews>
    <sheetView showZeros="0" view="pageBreakPreview" zoomScaleNormal="100" zoomScaleSheetLayoutView="100" workbookViewId="0"/>
  </sheetViews>
  <sheetFormatPr defaultRowHeight="12.75"/>
  <cols>
    <col min="1" max="1" width="13.42578125" style="28" customWidth="1"/>
    <col min="2" max="2" width="9.140625" style="28" customWidth="1"/>
    <col min="3" max="3" width="9.42578125" style="28" bestFit="1" customWidth="1"/>
    <col min="4" max="4" width="9.85546875" style="28" bestFit="1" customWidth="1"/>
    <col min="5" max="5" width="5.7109375" style="28" bestFit="1" customWidth="1"/>
    <col min="6" max="6" width="11.42578125" style="28" customWidth="1"/>
    <col min="7" max="7" width="7.85546875" style="28" bestFit="1" customWidth="1"/>
    <col min="8" max="8" width="12.28515625" style="65" bestFit="1" customWidth="1"/>
    <col min="9" max="9" width="13" style="88" customWidth="1"/>
    <col min="10" max="11" width="9" style="28" customWidth="1"/>
    <col min="12" max="12" width="10" style="28" bestFit="1" customWidth="1"/>
    <col min="13" max="13" width="6.42578125" style="28" bestFit="1" customWidth="1"/>
    <col min="14" max="14" width="11.28515625" style="28" customWidth="1"/>
    <col min="15" max="15" width="7.85546875" style="28" bestFit="1" customWidth="1"/>
    <col min="16" max="16" width="12.28515625" style="28" bestFit="1" customWidth="1"/>
    <col min="17" max="17" width="11.5703125" style="92" bestFit="1" customWidth="1"/>
    <col min="18" max="18" width="11.5703125" style="94" bestFit="1" customWidth="1"/>
    <col min="19" max="16384" width="9.140625" style="91"/>
  </cols>
  <sheetData>
    <row r="1" spans="1:41" ht="18">
      <c r="A1" s="16" t="s">
        <v>200</v>
      </c>
      <c r="B1" s="34"/>
      <c r="C1" s="34"/>
      <c r="D1" s="34"/>
      <c r="E1" s="34"/>
      <c r="F1" s="34"/>
      <c r="G1" s="34"/>
      <c r="H1" s="35"/>
      <c r="I1" s="16" t="s">
        <v>215</v>
      </c>
      <c r="J1" s="19"/>
      <c r="K1" s="19"/>
      <c r="L1" s="34"/>
      <c r="M1" s="19"/>
      <c r="N1" s="19"/>
      <c r="O1" s="19"/>
      <c r="P1" s="19"/>
      <c r="Q1" s="89"/>
      <c r="R1" s="90"/>
    </row>
    <row r="2" spans="1:41" ht="15">
      <c r="A2" s="18"/>
      <c r="B2" s="19"/>
      <c r="C2" s="19"/>
      <c r="D2" s="19"/>
      <c r="E2" s="19"/>
      <c r="F2" s="19"/>
      <c r="G2" s="19"/>
      <c r="H2" s="36"/>
      <c r="I2" s="18"/>
      <c r="J2" s="19"/>
      <c r="K2" s="19"/>
      <c r="L2" s="19"/>
      <c r="M2" s="19"/>
      <c r="N2" s="19"/>
      <c r="O2" s="19"/>
      <c r="P2" s="19"/>
      <c r="Q2" s="683"/>
      <c r="R2" s="684"/>
      <c r="S2" s="684"/>
      <c r="T2" s="684"/>
      <c r="U2" s="684"/>
      <c r="V2" s="684"/>
      <c r="W2" s="684"/>
      <c r="X2" s="684"/>
    </row>
    <row r="3" spans="1:41" ht="15.75">
      <c r="A3" s="37" t="s">
        <v>162</v>
      </c>
      <c r="B3" s="19"/>
      <c r="C3" s="19"/>
      <c r="D3" s="19"/>
      <c r="E3" s="19"/>
      <c r="F3" s="19"/>
      <c r="G3" s="19"/>
      <c r="H3" s="36"/>
      <c r="I3" s="37" t="s">
        <v>163</v>
      </c>
      <c r="J3" s="19"/>
      <c r="K3" s="19"/>
      <c r="L3" s="19"/>
      <c r="M3" s="19"/>
      <c r="N3" s="19"/>
      <c r="O3" s="19"/>
      <c r="P3" s="19"/>
      <c r="R3" s="93" t="s">
        <v>39</v>
      </c>
    </row>
    <row r="4" spans="1:41" ht="18.75">
      <c r="A4" s="37" t="s">
        <v>900</v>
      </c>
      <c r="B4" s="19"/>
      <c r="C4" s="19"/>
      <c r="D4" s="19"/>
      <c r="E4" s="19"/>
      <c r="F4" s="19"/>
      <c r="G4" s="19"/>
      <c r="H4" s="36"/>
      <c r="I4" s="37" t="s">
        <v>900</v>
      </c>
      <c r="J4" s="19"/>
      <c r="K4" s="19"/>
      <c r="L4" s="19"/>
      <c r="M4" s="19"/>
      <c r="N4" s="19"/>
      <c r="O4" s="19"/>
      <c r="P4" s="19"/>
      <c r="R4" s="93" t="s">
        <v>39</v>
      </c>
    </row>
    <row r="5" spans="1:41">
      <c r="A5" s="39"/>
      <c r="B5" s="40"/>
      <c r="C5" s="40"/>
      <c r="D5" s="40"/>
      <c r="E5" s="40"/>
      <c r="F5" s="40"/>
      <c r="G5" s="40"/>
      <c r="H5" s="40"/>
      <c r="I5" s="41"/>
      <c r="L5" s="42"/>
      <c r="P5" s="39"/>
    </row>
    <row r="6" spans="1:41" s="48" customFormat="1" ht="12">
      <c r="A6" s="43"/>
      <c r="B6" s="44" t="s">
        <v>164</v>
      </c>
      <c r="C6" s="44"/>
      <c r="D6" s="44"/>
      <c r="E6" s="44"/>
      <c r="F6" s="44"/>
      <c r="G6" s="44"/>
      <c r="H6" s="45"/>
      <c r="I6" s="43"/>
      <c r="J6" s="44" t="s">
        <v>164</v>
      </c>
      <c r="K6" s="44"/>
      <c r="L6" s="44"/>
      <c r="M6" s="44"/>
      <c r="N6" s="44"/>
      <c r="O6" s="44"/>
      <c r="P6" s="45"/>
      <c r="Q6" s="46"/>
      <c r="R6" s="47"/>
    </row>
    <row r="7" spans="1:41" s="48" customFormat="1" ht="12">
      <c r="A7" s="43"/>
      <c r="B7" s="44" t="s">
        <v>165</v>
      </c>
      <c r="C7" s="44"/>
      <c r="D7" s="670" t="s">
        <v>166</v>
      </c>
      <c r="E7" s="668"/>
      <c r="F7" s="668"/>
      <c r="G7" s="668"/>
      <c r="H7" s="49" t="s">
        <v>39</v>
      </c>
      <c r="I7" s="43"/>
      <c r="J7" s="44" t="s">
        <v>165</v>
      </c>
      <c r="K7" s="44"/>
      <c r="L7" s="670" t="s">
        <v>166</v>
      </c>
      <c r="M7" s="668"/>
      <c r="N7" s="668"/>
      <c r="O7" s="668"/>
      <c r="P7" s="49" t="s">
        <v>39</v>
      </c>
      <c r="Q7" s="46"/>
      <c r="R7" s="47"/>
    </row>
    <row r="8" spans="1:41" s="48" customFormat="1" ht="40.5" customHeight="1">
      <c r="A8" s="43"/>
      <c r="B8" s="50" t="s">
        <v>167</v>
      </c>
      <c r="C8" s="51" t="s">
        <v>168</v>
      </c>
      <c r="D8" s="52" t="s">
        <v>169</v>
      </c>
      <c r="E8" s="53" t="s">
        <v>7</v>
      </c>
      <c r="F8" s="50" t="s">
        <v>170</v>
      </c>
      <c r="G8" s="54" t="s">
        <v>246</v>
      </c>
      <c r="H8" s="55" t="s">
        <v>172</v>
      </c>
      <c r="I8" s="43"/>
      <c r="J8" s="50" t="s">
        <v>167</v>
      </c>
      <c r="K8" s="51" t="s">
        <v>168</v>
      </c>
      <c r="L8" s="52" t="s">
        <v>169</v>
      </c>
      <c r="M8" s="53" t="s">
        <v>7</v>
      </c>
      <c r="N8" s="50" t="s">
        <v>170</v>
      </c>
      <c r="O8" s="54" t="s">
        <v>246</v>
      </c>
      <c r="P8" s="55" t="s">
        <v>172</v>
      </c>
      <c r="Q8" s="73" t="s">
        <v>173</v>
      </c>
      <c r="R8" s="73" t="s">
        <v>173</v>
      </c>
      <c r="T8" s="73"/>
    </row>
    <row r="9" spans="1:41" ht="15.75" customHeight="1">
      <c r="A9" s="58" t="s">
        <v>141</v>
      </c>
      <c r="B9" s="82">
        <f>('Pivot Table for Data Exchange'!$J$7)*100</f>
        <v>87.655015386612305</v>
      </c>
      <c r="C9" s="59">
        <f>('Pivot Table for Data Exchange'!$J$10)*100</f>
        <v>0.30472763502871508</v>
      </c>
      <c r="D9" s="109">
        <f>SUM(E9:G9)</f>
        <v>12.04025697835899</v>
      </c>
      <c r="E9" s="59">
        <f>('Pivot Table for Data Exchange'!$J$13)*100</f>
        <v>11.951020035346243</v>
      </c>
      <c r="F9" s="59">
        <f>('Pivot Table for Data Exchange'!$J$16)*100</f>
        <v>7.5535917418870988E-2</v>
      </c>
      <c r="G9" s="315">
        <f>('Pivot Table for Data Exchange'!$J$19)*100</f>
        <v>1.3701025593876363E-2</v>
      </c>
      <c r="H9" s="221">
        <f>('Pivot Table for Data Exchange'!$J$22)*100</f>
        <v>0</v>
      </c>
      <c r="I9" s="62" t="s">
        <v>141</v>
      </c>
      <c r="J9" s="59">
        <f>('Pivot Table for Data Exchange'!$J$25)*100</f>
        <v>69.0343008646811</v>
      </c>
      <c r="K9" s="59">
        <f>('Pivot Table for Data Exchange'!$J$28)*100</f>
        <v>1.7961070874288672</v>
      </c>
      <c r="L9" s="227">
        <f>SUM(M9:O9)</f>
        <v>29.169592047890031</v>
      </c>
      <c r="M9" s="59">
        <f>('Pivot Table for Data Exchange'!$J$31)*100</f>
        <v>29.013469071022097</v>
      </c>
      <c r="N9" s="59">
        <f>('Pivot Table for Data Exchange'!$J$34)*100</f>
        <v>0.12840883896238267</v>
      </c>
      <c r="O9" s="315">
        <f>('Pivot Table for Data Exchange'!$J$37)*100</f>
        <v>2.7714137905550218E-2</v>
      </c>
      <c r="P9" s="221">
        <f>('Pivot Table for Data Exchange'!$J$40)*100</f>
        <v>0</v>
      </c>
      <c r="Q9" s="97">
        <f>SUM(B9,C9,D9,H9)</f>
        <v>100</v>
      </c>
      <c r="R9" s="97">
        <f>SUM(J9,K9,L9,P9)</f>
        <v>100</v>
      </c>
      <c r="S9" s="98"/>
      <c r="T9" s="99"/>
      <c r="U9" s="99"/>
      <c r="V9" s="99"/>
      <c r="W9" s="99"/>
      <c r="X9" s="99"/>
      <c r="Y9" s="99"/>
      <c r="Z9" s="99"/>
      <c r="AA9" s="99"/>
      <c r="AB9" s="99"/>
      <c r="AC9" s="99"/>
      <c r="AD9" s="99"/>
      <c r="AE9" s="99"/>
      <c r="AF9" s="98"/>
      <c r="AG9" s="98"/>
      <c r="AH9" s="98"/>
      <c r="AI9" s="98"/>
      <c r="AJ9" s="98"/>
      <c r="AK9" s="98"/>
      <c r="AL9" s="98"/>
      <c r="AM9" s="98"/>
      <c r="AN9" s="98"/>
      <c r="AO9" s="98"/>
    </row>
    <row r="10" spans="1:41" ht="15.75" customHeight="1">
      <c r="A10" s="65" t="s">
        <v>142</v>
      </c>
      <c r="B10" s="59">
        <f>('Pivot Table for Data Exchange'!$J$43)*100</f>
        <v>80.042813562738573</v>
      </c>
      <c r="C10" s="59">
        <f>('Pivot Table for Data Exchange'!$J$46)*100</f>
        <v>3.3480982081047661</v>
      </c>
      <c r="D10" s="109">
        <f t="shared" ref="D10:D15" si="0">SUM(E10:G10)</f>
        <v>16.430934975718635</v>
      </c>
      <c r="E10" s="59">
        <f>('Pivot Table for Data Exchange'!$J$49)*100</f>
        <v>16.118350542196296</v>
      </c>
      <c r="F10" s="59">
        <f>('Pivot Table for Data Exchange'!$J$52)*100</f>
        <v>0.24397295477462549</v>
      </c>
      <c r="G10" s="223">
        <f>('Pivot Table for Data Exchange'!$J$55)*100</f>
        <v>6.8611478747712742E-2</v>
      </c>
      <c r="H10" s="221">
        <f>('Pivot Table for Data Exchange'!$J$58)*100</f>
        <v>0.17815325343802657</v>
      </c>
      <c r="I10" s="65" t="s">
        <v>142</v>
      </c>
      <c r="J10" s="59">
        <f>('Pivot Table for Data Exchange'!$J$61)*100</f>
        <v>59.359919417609085</v>
      </c>
      <c r="K10" s="59">
        <f>('Pivot Table for Data Exchange'!$J$64)*100</f>
        <v>5.5180623597820606</v>
      </c>
      <c r="L10" s="227">
        <f t="shared" ref="L10:L15" si="1">SUM(M10:O10)</f>
        <v>35.122018222608851</v>
      </c>
      <c r="M10" s="59">
        <f>('Pivot Table for Data Exchange'!$J$67)*100</f>
        <v>33.608656502296903</v>
      </c>
      <c r="N10" s="59">
        <f>('Pivot Table for Data Exchange'!$J$70)*100</f>
        <v>1.3641011553195062</v>
      </c>
      <c r="O10" s="66">
        <f>('Pivot Table for Data Exchange'!$J$73)*100</f>
        <v>0.14926056499244542</v>
      </c>
      <c r="P10" s="61">
        <f>('Pivot Table for Data Exchange'!$J$76)*100</f>
        <v>0</v>
      </c>
      <c r="Q10" s="97">
        <f>SUM(B10,C10,D10,H10)</f>
        <v>100.00000000000001</v>
      </c>
      <c r="R10" s="97">
        <f t="shared" ref="R10:R23" si="2">SUM(J10,K10,L10,P10)</f>
        <v>100</v>
      </c>
      <c r="S10" s="98"/>
      <c r="T10" s="99"/>
      <c r="U10" s="99"/>
      <c r="V10" s="99"/>
      <c r="W10" s="99"/>
      <c r="X10" s="99"/>
      <c r="Y10" s="99"/>
      <c r="Z10" s="99"/>
      <c r="AA10" s="99"/>
      <c r="AB10" s="99"/>
      <c r="AC10" s="99"/>
      <c r="AD10" s="99"/>
      <c r="AE10" s="99"/>
      <c r="AF10" s="98"/>
      <c r="AG10" s="98"/>
      <c r="AH10" s="98"/>
      <c r="AI10" s="98"/>
      <c r="AJ10" s="98"/>
      <c r="AK10" s="98"/>
      <c r="AL10" s="98"/>
      <c r="AM10" s="98"/>
      <c r="AN10" s="98"/>
      <c r="AO10" s="98"/>
    </row>
    <row r="11" spans="1:41" ht="15.75" customHeight="1">
      <c r="A11" s="65" t="s">
        <v>143</v>
      </c>
      <c r="B11" s="59">
        <f>('Pivot Table for Data Exchange'!$J$79)*100</f>
        <v>97.33929118501969</v>
      </c>
      <c r="C11" s="221">
        <f>('Pivot Table for Data Exchange'!$J$82)*100</f>
        <v>0</v>
      </c>
      <c r="D11" s="109">
        <f t="shared" si="0"/>
        <v>2.6607088149803109</v>
      </c>
      <c r="E11" s="59">
        <f>('Pivot Table for Data Exchange'!$J$85)*100</f>
        <v>2.6607088149803109</v>
      </c>
      <c r="F11" s="221">
        <f>('Pivot Table for Data Exchange'!$J$88)*100</f>
        <v>0</v>
      </c>
      <c r="G11" s="223">
        <f>('Pivot Table for Data Exchange'!$J$91)*100</f>
        <v>0</v>
      </c>
      <c r="H11" s="221">
        <f>('Pivot Table for Data Exchange'!$J$94)*100</f>
        <v>0</v>
      </c>
      <c r="I11" s="65" t="s">
        <v>143</v>
      </c>
      <c r="J11" s="59">
        <f>('Pivot Table for Data Exchange'!$J$97)*100</f>
        <v>93.015966665437517</v>
      </c>
      <c r="K11" s="221">
        <f>('Pivot Table for Data Exchange'!$J$100)*100</f>
        <v>0</v>
      </c>
      <c r="L11" s="227">
        <f t="shared" si="1"/>
        <v>6.9840333345624837</v>
      </c>
      <c r="M11" s="59">
        <f>('Pivot Table for Data Exchange'!$J$103)*100</f>
        <v>6.9840333345624837</v>
      </c>
      <c r="N11" s="221">
        <f>('Pivot Table for Data Exchange'!$J$106)*100</f>
        <v>0</v>
      </c>
      <c r="O11" s="223">
        <f>('Pivot Table for Data Exchange'!$J$109)*100</f>
        <v>0</v>
      </c>
      <c r="P11" s="221">
        <f>('Pivot Table for Data Exchange'!$J$112)*100</f>
        <v>0</v>
      </c>
      <c r="Q11" s="97">
        <f t="shared" ref="Q11:Q23" si="3">SUM(B11,C11,D11,H11)</f>
        <v>100</v>
      </c>
      <c r="R11" s="97">
        <f t="shared" si="2"/>
        <v>100</v>
      </c>
      <c r="S11" s="98"/>
      <c r="T11" s="99"/>
      <c r="U11" s="99"/>
      <c r="V11" s="99"/>
      <c r="W11" s="99"/>
      <c r="X11" s="99"/>
      <c r="Y11" s="99"/>
      <c r="Z11" s="99"/>
      <c r="AA11" s="99"/>
      <c r="AB11" s="99"/>
      <c r="AC11" s="99"/>
      <c r="AD11" s="99"/>
      <c r="AE11" s="99"/>
      <c r="AF11" s="98"/>
      <c r="AG11" s="98"/>
      <c r="AH11" s="98"/>
      <c r="AI11" s="98"/>
      <c r="AJ11" s="98"/>
      <c r="AK11" s="98"/>
      <c r="AL11" s="98"/>
      <c r="AM11" s="98"/>
      <c r="AN11" s="98"/>
      <c r="AO11" s="98"/>
    </row>
    <row r="12" spans="1:41" ht="15.75" customHeight="1">
      <c r="A12" s="65" t="s">
        <v>247</v>
      </c>
      <c r="B12" s="59">
        <f>('Pivot Table for Data Exchange'!$J$115)*100</f>
        <v>75.232431171830044</v>
      </c>
      <c r="C12" s="59">
        <f>('Pivot Table for Data Exchange'!$J$118)*100</f>
        <v>7.3951302337774649</v>
      </c>
      <c r="D12" s="109">
        <f t="shared" si="0"/>
        <v>17.273667579385407</v>
      </c>
      <c r="E12" s="59">
        <f>('Pivot Table for Data Exchange'!$J$121)*100</f>
        <v>16.866356166466417</v>
      </c>
      <c r="F12" s="221">
        <f>('Pivot Table for Data Exchange'!$J$124)*100</f>
        <v>0.33254167898785325</v>
      </c>
      <c r="G12" s="223">
        <f>('Pivot Table for Data Exchange'!$J$127)*100</f>
        <v>7.4769733931138532E-2</v>
      </c>
      <c r="H12" s="59">
        <f>('Pivot Table for Data Exchange'!$J$130)*100</f>
        <v>9.8771015007073054E-2</v>
      </c>
      <c r="I12" s="65" t="s">
        <v>247</v>
      </c>
      <c r="J12" s="59">
        <f>('Pivot Table for Data Exchange'!$J$133)*100</f>
        <v>71.386785296702897</v>
      </c>
      <c r="K12" s="59">
        <f>('Pivot Table for Data Exchange'!$J$136)*100</f>
        <v>8.3295752426080405</v>
      </c>
      <c r="L12" s="227">
        <f t="shared" si="1"/>
        <v>20.235813153360859</v>
      </c>
      <c r="M12" s="59">
        <f>('Pivot Table for Data Exchange'!$J$139)*100</f>
        <v>19.724626172860045</v>
      </c>
      <c r="N12" s="221">
        <f>('Pivot Table for Data Exchange'!$J$142)*100</f>
        <v>0.49394525014155111</v>
      </c>
      <c r="O12" s="68">
        <f>('Pivot Table for Data Exchange'!$J$145)*100</f>
        <v>1.7241730359264809E-2</v>
      </c>
      <c r="P12" s="67">
        <f>('Pivot Table for Data Exchange'!$J$148)*100</f>
        <v>4.7826307328211935E-2</v>
      </c>
      <c r="Q12" s="97">
        <f t="shared" si="3"/>
        <v>99.999999999999986</v>
      </c>
      <c r="R12" s="97">
        <f t="shared" si="2"/>
        <v>100.00000000000001</v>
      </c>
      <c r="S12" s="98"/>
      <c r="T12" s="99"/>
      <c r="U12" s="99"/>
      <c r="V12" s="99"/>
      <c r="W12" s="99"/>
      <c r="X12" s="99"/>
      <c r="Y12" s="99"/>
      <c r="Z12" s="99"/>
      <c r="AA12" s="99"/>
      <c r="AB12" s="99"/>
      <c r="AC12" s="99"/>
      <c r="AD12" s="99"/>
      <c r="AE12" s="99"/>
      <c r="AF12" s="98"/>
      <c r="AG12" s="98"/>
      <c r="AH12" s="98"/>
      <c r="AI12" s="98"/>
      <c r="AJ12" s="98"/>
      <c r="AK12" s="98"/>
      <c r="AL12" s="98"/>
      <c r="AM12" s="98"/>
      <c r="AN12" s="98"/>
      <c r="AO12" s="98"/>
    </row>
    <row r="13" spans="1:41" ht="9.75" customHeight="1">
      <c r="A13" s="65"/>
      <c r="B13" s="59"/>
      <c r="C13" s="59"/>
      <c r="D13" s="109"/>
      <c r="E13" s="59"/>
      <c r="F13" s="59"/>
      <c r="G13" s="66"/>
      <c r="H13" s="59"/>
      <c r="I13" s="65"/>
      <c r="J13" s="59"/>
      <c r="K13" s="59"/>
      <c r="L13" s="227"/>
      <c r="M13" s="59"/>
      <c r="N13" s="59"/>
      <c r="O13" s="66"/>
      <c r="P13" s="59"/>
      <c r="Q13" s="97">
        <f t="shared" si="3"/>
        <v>0</v>
      </c>
      <c r="R13" s="97">
        <f t="shared" si="2"/>
        <v>0</v>
      </c>
      <c r="S13" s="98"/>
      <c r="T13" s="99"/>
      <c r="U13" s="99"/>
      <c r="V13" s="99"/>
      <c r="W13" s="99"/>
      <c r="X13" s="99"/>
      <c r="Y13" s="99"/>
      <c r="Z13" s="99"/>
      <c r="AA13" s="99"/>
      <c r="AB13" s="99"/>
      <c r="AC13" s="99"/>
      <c r="AD13" s="99"/>
      <c r="AE13" s="99"/>
      <c r="AF13" s="98"/>
      <c r="AG13" s="98"/>
      <c r="AH13" s="98"/>
      <c r="AI13" s="98"/>
      <c r="AJ13" s="98"/>
      <c r="AK13" s="98"/>
      <c r="AL13" s="98"/>
      <c r="AM13" s="98"/>
      <c r="AN13" s="98"/>
      <c r="AO13" s="98"/>
    </row>
    <row r="14" spans="1:41" ht="15.75" customHeight="1">
      <c r="A14" s="65" t="s">
        <v>145</v>
      </c>
      <c r="B14" s="59">
        <f>('Pivot Table for Data Exchange'!$J$151)*100</f>
        <v>88.131817092884475</v>
      </c>
      <c r="C14" s="59">
        <f>('Pivot Table for Data Exchange'!$J$154)*100</f>
        <v>2.0515605204828433</v>
      </c>
      <c r="D14" s="109">
        <f t="shared" si="0"/>
        <v>9.7925708822266202</v>
      </c>
      <c r="E14" s="59">
        <f>('Pivot Table for Data Exchange'!$J$157)*100</f>
        <v>9.6738327660740833</v>
      </c>
      <c r="F14" s="67">
        <f>('Pivot Table for Data Exchange'!$J$160)*100</f>
        <v>1.0687639072040126E-2</v>
      </c>
      <c r="G14" s="66">
        <f>('Pivot Table for Data Exchange'!$J$163)*100</f>
        <v>0.10805047708049614</v>
      </c>
      <c r="H14" s="67">
        <f>('Pivot Table for Data Exchange'!$J$166)*100</f>
        <v>2.4051504406061221E-2</v>
      </c>
      <c r="I14" s="65" t="s">
        <v>145</v>
      </c>
      <c r="J14" s="59">
        <f>('Pivot Table for Data Exchange'!$J$169)*100</f>
        <v>79.058134243614887</v>
      </c>
      <c r="K14" s="59">
        <f>('Pivot Table for Data Exchange'!$J$172)*100</f>
        <v>6.8559216188200631</v>
      </c>
      <c r="L14" s="227">
        <f t="shared" si="1"/>
        <v>14.082507210672622</v>
      </c>
      <c r="M14" s="59">
        <f>('Pivot Table for Data Exchange'!$J$175)*100</f>
        <v>13.85506857356536</v>
      </c>
      <c r="N14" s="61">
        <f>('Pivot Table for Data Exchange'!$J$178)*100</f>
        <v>1.2888475846652573E-3</v>
      </c>
      <c r="O14" s="223">
        <f>('Pivot Table for Data Exchange'!$J$181)*100</f>
        <v>0.22614978952259715</v>
      </c>
      <c r="P14" s="61">
        <f>('Pivot Table for Data Exchange'!$J$184)*100</f>
        <v>3.4369268924406855E-3</v>
      </c>
      <c r="Q14" s="97">
        <f t="shared" si="3"/>
        <v>100</v>
      </c>
      <c r="R14" s="97">
        <f t="shared" si="2"/>
        <v>100</v>
      </c>
      <c r="S14" s="98"/>
      <c r="T14" s="99"/>
      <c r="U14" s="99"/>
      <c r="V14" s="99"/>
      <c r="W14" s="99"/>
      <c r="X14" s="99"/>
      <c r="Y14" s="99"/>
      <c r="Z14" s="99"/>
      <c r="AA14" s="99"/>
      <c r="AB14" s="99"/>
      <c r="AC14" s="99"/>
      <c r="AD14" s="99"/>
      <c r="AE14" s="99"/>
      <c r="AF14" s="98"/>
      <c r="AG14" s="98"/>
      <c r="AH14" s="98"/>
      <c r="AI14" s="98"/>
      <c r="AJ14" s="98"/>
      <c r="AK14" s="98"/>
      <c r="AL14" s="98"/>
      <c r="AM14" s="98"/>
      <c r="AN14" s="98"/>
      <c r="AO14" s="98"/>
    </row>
    <row r="15" spans="1:41" ht="15.75" customHeight="1">
      <c r="A15" s="65" t="s">
        <v>146</v>
      </c>
      <c r="B15" s="59">
        <f>('Pivot Table for Data Exchange'!$J$187)*100</f>
        <v>82.277872475615311</v>
      </c>
      <c r="C15" s="59">
        <f>('Pivot Table for Data Exchange'!$J$190)*100</f>
        <v>4.0759018441640169</v>
      </c>
      <c r="D15" s="109">
        <f t="shared" si="0"/>
        <v>13.646225680220676</v>
      </c>
      <c r="E15" s="59">
        <f>('Pivot Table for Data Exchange'!$J$193)*100</f>
        <v>12.315224662982615</v>
      </c>
      <c r="F15" s="59">
        <f>('Pivot Table for Data Exchange'!$J$196)*100</f>
        <v>1.304004496619898</v>
      </c>
      <c r="G15" s="68">
        <f>('Pivot Table for Data Exchange'!$J$199)*100</f>
        <v>2.6996520618163048E-2</v>
      </c>
      <c r="H15" s="221">
        <f>('Pivot Table for Data Exchange'!$J$202)*100</f>
        <v>0</v>
      </c>
      <c r="I15" s="65" t="s">
        <v>146</v>
      </c>
      <c r="J15" s="59">
        <f>('Pivot Table for Data Exchange'!$J$205)*100</f>
        <v>64.254652821960462</v>
      </c>
      <c r="K15" s="59">
        <f>('Pivot Table for Data Exchange'!$J$208)*100</f>
        <v>3.4467635631381608</v>
      </c>
      <c r="L15" s="227">
        <f t="shared" si="1"/>
        <v>32.298583614901382</v>
      </c>
      <c r="M15" s="59">
        <f>('Pivot Table for Data Exchange'!$J$211)*100</f>
        <v>31.368945772155339</v>
      </c>
      <c r="N15" s="59">
        <f>('Pivot Table for Data Exchange'!$J$214)*100</f>
        <v>0.92407854667646749</v>
      </c>
      <c r="O15" s="68">
        <f>('Pivot Table for Data Exchange'!$J$217)*100</f>
        <v>5.5592960695776787E-3</v>
      </c>
      <c r="P15" s="221">
        <f>('Pivot Table for Data Exchange'!$J$220)*100</f>
        <v>0</v>
      </c>
      <c r="Q15" s="97">
        <f t="shared" si="3"/>
        <v>100.00000000000001</v>
      </c>
      <c r="R15" s="97">
        <f t="shared" si="2"/>
        <v>100</v>
      </c>
      <c r="S15" s="98"/>
      <c r="T15" s="99"/>
      <c r="U15" s="99"/>
      <c r="V15" s="99"/>
      <c r="W15" s="99"/>
      <c r="X15" s="99"/>
      <c r="Y15" s="99"/>
      <c r="Z15" s="99"/>
      <c r="AA15" s="99"/>
      <c r="AB15" s="99"/>
      <c r="AC15" s="99"/>
      <c r="AD15" s="99"/>
      <c r="AE15" s="99"/>
      <c r="AF15" s="98"/>
      <c r="AG15" s="98"/>
      <c r="AH15" s="98"/>
      <c r="AI15" s="98"/>
      <c r="AJ15" s="98"/>
      <c r="AK15" s="98"/>
      <c r="AL15" s="98"/>
      <c r="AM15" s="98"/>
      <c r="AN15" s="98"/>
      <c r="AO15" s="98"/>
    </row>
    <row r="16" spans="1:41" ht="15.75" customHeight="1">
      <c r="A16" s="222" t="s">
        <v>147</v>
      </c>
      <c r="B16" s="221">
        <f>('Pivot Table for Data Exchange'!$J$223)*100</f>
        <v>0</v>
      </c>
      <c r="C16" s="59">
        <f>('Pivot Table for Data Exchange'!$J$226)*100</f>
        <v>0</v>
      </c>
      <c r="D16" s="109">
        <f>SUM(E16:G16)</f>
        <v>0</v>
      </c>
      <c r="E16" s="59">
        <f>('Pivot Table for Data Exchange'!$J$229)*100</f>
        <v>0</v>
      </c>
      <c r="F16" s="221">
        <f>('Pivot Table for Data Exchange'!$J$232)*100</f>
        <v>0</v>
      </c>
      <c r="G16" s="223">
        <f>('Pivot Table for Data Exchange'!$J$235)*100</f>
        <v>0</v>
      </c>
      <c r="H16" s="59">
        <f>('Pivot Table for Data Exchange'!$J$238)*100</f>
        <v>0</v>
      </c>
      <c r="I16" s="222" t="s">
        <v>147</v>
      </c>
      <c r="J16" s="59">
        <f>('Pivot Table for Data Exchange'!$J$241)*100</f>
        <v>0</v>
      </c>
      <c r="K16" s="59">
        <f>('Pivot Table for Data Exchange'!$J$244)*100</f>
        <v>0</v>
      </c>
      <c r="L16" s="227">
        <f>SUM(M16:O16)</f>
        <v>0</v>
      </c>
      <c r="M16" s="59">
        <f>('Pivot Table for Data Exchange'!$J$247)*100</f>
        <v>0</v>
      </c>
      <c r="N16" s="59">
        <f>('Pivot Table for Data Exchange'!$J$250)*100</f>
        <v>0</v>
      </c>
      <c r="O16" s="223">
        <f>('Pivot Table for Data Exchange'!$J$253)*100</f>
        <v>0</v>
      </c>
      <c r="P16" s="59">
        <f>('Pivot Table for Data Exchange'!$J$256)*100</f>
        <v>0</v>
      </c>
      <c r="Q16" s="97">
        <f>SUM(B16,C16,D16,H16)</f>
        <v>0</v>
      </c>
      <c r="R16" s="97">
        <f>SUM(J16,K16,L16,P16)</f>
        <v>0</v>
      </c>
      <c r="S16" s="98"/>
      <c r="T16" s="99"/>
      <c r="U16" s="99"/>
      <c r="V16" s="99"/>
      <c r="W16" s="99"/>
      <c r="X16" s="99"/>
      <c r="Y16" s="99"/>
      <c r="Z16" s="99"/>
      <c r="AA16" s="99"/>
      <c r="AB16" s="99"/>
      <c r="AC16" s="99"/>
      <c r="AD16" s="99"/>
      <c r="AE16" s="99"/>
      <c r="AF16" s="98"/>
      <c r="AG16" s="98"/>
      <c r="AH16" s="98"/>
      <c r="AI16" s="98"/>
      <c r="AJ16" s="98"/>
      <c r="AK16" s="98"/>
      <c r="AL16" s="98"/>
      <c r="AM16" s="98"/>
      <c r="AN16" s="98"/>
      <c r="AO16" s="98"/>
    </row>
    <row r="17" spans="1:41" ht="15.75" customHeight="1">
      <c r="A17" s="65" t="s">
        <v>177</v>
      </c>
      <c r="B17" s="59">
        <f>('Pivot Table for Data Exchange'!$J$259)*100</f>
        <v>74.255076189362413</v>
      </c>
      <c r="C17" s="59">
        <f>('Pivot Table for Data Exchange'!$J$262)*100</f>
        <v>1.7846061562854805</v>
      </c>
      <c r="D17" s="109">
        <f>SUM(E17:G17)</f>
        <v>23.960286509936548</v>
      </c>
      <c r="E17" s="59">
        <f>('Pivot Table for Data Exchange'!$J$265)*100</f>
        <v>23.865046887139023</v>
      </c>
      <c r="F17" s="221">
        <f>('Pivot Table for Data Exchange'!$J$268)*100</f>
        <v>9.523962279752532E-2</v>
      </c>
      <c r="G17" s="223">
        <f>('Pivot Table for Data Exchange'!$J$271)*100</f>
        <v>0</v>
      </c>
      <c r="H17" s="664">
        <f>('Pivot Table for Data Exchange'!$J$274)*100</f>
        <v>3.1144415564919992E-5</v>
      </c>
      <c r="I17" s="65" t="s">
        <v>177</v>
      </c>
      <c r="J17" s="59">
        <f>('Pivot Table for Data Exchange'!$J$277)*100</f>
        <v>51.514457853388762</v>
      </c>
      <c r="K17" s="59">
        <f>('Pivot Table for Data Exchange'!$J$280)*100</f>
        <v>9.1016469749965445</v>
      </c>
      <c r="L17" s="227">
        <f>SUM(M17:O17)</f>
        <v>39.383895171614697</v>
      </c>
      <c r="M17" s="59">
        <f>('Pivot Table for Data Exchange'!$J$283)*100</f>
        <v>38.799720981492548</v>
      </c>
      <c r="N17" s="59">
        <f>('Pivot Table for Data Exchange'!$J$286)*100</f>
        <v>0.58417419012214555</v>
      </c>
      <c r="O17" s="66">
        <f>('Pivot Table for Data Exchange'!$J$289)*100</f>
        <v>0</v>
      </c>
      <c r="P17" s="221">
        <f>('Pivot Table for Data Exchange'!$J$292)*100</f>
        <v>0</v>
      </c>
      <c r="Q17" s="97">
        <f>SUM(B17,C17,D17,H17)</f>
        <v>100</v>
      </c>
      <c r="R17" s="97">
        <f>SUM(J17,K17,L17,P17)</f>
        <v>100</v>
      </c>
      <c r="S17" s="98"/>
      <c r="T17" s="99"/>
      <c r="U17" s="99"/>
      <c r="V17" s="99"/>
      <c r="W17" s="99"/>
      <c r="X17" s="99"/>
      <c r="Y17" s="99"/>
      <c r="Z17" s="99"/>
      <c r="AA17" s="99"/>
      <c r="AB17" s="99"/>
      <c r="AC17" s="99"/>
      <c r="AD17" s="99"/>
      <c r="AE17" s="99"/>
      <c r="AF17" s="98"/>
      <c r="AG17" s="98"/>
      <c r="AH17" s="98"/>
      <c r="AI17" s="98"/>
      <c r="AJ17" s="98"/>
      <c r="AK17" s="98"/>
      <c r="AL17" s="98"/>
      <c r="AM17" s="98"/>
      <c r="AN17" s="98"/>
      <c r="AO17" s="98"/>
    </row>
    <row r="18" spans="1:41" ht="11.25" customHeight="1">
      <c r="A18" s="65"/>
      <c r="B18" s="59"/>
      <c r="C18" s="59"/>
      <c r="D18" s="109"/>
      <c r="E18" s="59"/>
      <c r="F18" s="59"/>
      <c r="G18" s="66"/>
      <c r="H18" s="59"/>
      <c r="I18" s="65"/>
      <c r="J18" s="59"/>
      <c r="K18" s="59"/>
      <c r="L18" s="227"/>
      <c r="M18" s="59"/>
      <c r="N18" s="59"/>
      <c r="O18" s="66"/>
      <c r="P18" s="59"/>
      <c r="Q18" s="97">
        <f t="shared" si="3"/>
        <v>0</v>
      </c>
      <c r="R18" s="97">
        <f t="shared" si="2"/>
        <v>0</v>
      </c>
      <c r="S18" s="98"/>
      <c r="T18" s="99"/>
      <c r="U18" s="99"/>
      <c r="V18" s="99"/>
      <c r="W18" s="99"/>
      <c r="X18" s="99"/>
      <c r="Y18" s="99"/>
      <c r="Z18" s="99"/>
      <c r="AA18" s="99"/>
      <c r="AB18" s="99"/>
      <c r="AC18" s="99"/>
      <c r="AD18" s="99"/>
      <c r="AE18" s="99"/>
      <c r="AF18" s="98"/>
      <c r="AG18" s="98"/>
      <c r="AH18" s="98"/>
      <c r="AI18" s="98"/>
      <c r="AJ18" s="98"/>
      <c r="AK18" s="98"/>
      <c r="AL18" s="98"/>
      <c r="AM18" s="98"/>
      <c r="AN18" s="98"/>
      <c r="AO18" s="98"/>
    </row>
    <row r="19" spans="1:41" ht="15.75" customHeight="1">
      <c r="A19" s="65" t="s">
        <v>148</v>
      </c>
      <c r="B19" s="59">
        <f>('Pivot Table for Data Exchange'!$J$295)*100</f>
        <v>81.902114174161909</v>
      </c>
      <c r="C19" s="59">
        <f>('Pivot Table for Data Exchange'!$J$298)*100</f>
        <v>6.2807105135511518</v>
      </c>
      <c r="D19" s="109">
        <f>SUM(E19:G19)</f>
        <v>11.726077999089027</v>
      </c>
      <c r="E19" s="59">
        <f>('Pivot Table for Data Exchange'!$J$301)*100</f>
        <v>10.77939381050053</v>
      </c>
      <c r="F19" s="59">
        <f>('Pivot Table for Data Exchange'!$J$304)*100</f>
        <v>0.94531943483272385</v>
      </c>
      <c r="G19" s="232">
        <f>('Pivot Table for Data Exchange'!$J$307)*100</f>
        <v>1.3647537557739035E-3</v>
      </c>
      <c r="H19" s="221">
        <f>('Pivot Table for Data Exchange'!$J$310)*100</f>
        <v>9.1097313197908064E-2</v>
      </c>
      <c r="I19" s="65" t="s">
        <v>148</v>
      </c>
      <c r="J19" s="59">
        <f>('Pivot Table for Data Exchange'!$J$313)*100</f>
        <v>60.426357629608042</v>
      </c>
      <c r="K19" s="59">
        <f>('Pivot Table for Data Exchange'!$J$316)*100</f>
        <v>8.7921401097531504</v>
      </c>
      <c r="L19" s="227">
        <f>SUM(M19:O19)</f>
        <v>30.734333715539158</v>
      </c>
      <c r="M19" s="59">
        <f>('Pivot Table for Data Exchange'!$J$319)*100</f>
        <v>29.884149451425984</v>
      </c>
      <c r="N19" s="59">
        <f>('Pivot Table for Data Exchange'!$J$322)*100</f>
        <v>0.8007148143745183</v>
      </c>
      <c r="O19" s="68">
        <f>('Pivot Table for Data Exchange'!$J$325)*100</f>
        <v>4.946944973865558E-2</v>
      </c>
      <c r="P19" s="67">
        <f>('Pivot Table for Data Exchange'!$J$328)*100</f>
        <v>4.7168545099648344E-2</v>
      </c>
      <c r="Q19" s="97">
        <f>SUM(B19,C19,D19,H19)</f>
        <v>100</v>
      </c>
      <c r="R19" s="97">
        <f>SUM(J19,K19,L19,P19)</f>
        <v>100</v>
      </c>
      <c r="S19" s="98"/>
      <c r="T19" s="99"/>
      <c r="U19" s="99"/>
      <c r="V19" s="99"/>
      <c r="W19" s="99"/>
      <c r="X19" s="99"/>
      <c r="Y19" s="99"/>
      <c r="Z19" s="99"/>
      <c r="AA19" s="99"/>
      <c r="AB19" s="99"/>
      <c r="AC19" s="99"/>
      <c r="AD19" s="99"/>
      <c r="AE19" s="99"/>
      <c r="AF19" s="98"/>
      <c r="AG19" s="98"/>
      <c r="AH19" s="98"/>
      <c r="AI19" s="98"/>
      <c r="AJ19" s="98"/>
      <c r="AK19" s="98"/>
      <c r="AL19" s="98"/>
      <c r="AM19" s="98"/>
      <c r="AN19" s="98"/>
      <c r="AO19" s="98"/>
    </row>
    <row r="20" spans="1:41" ht="15.75" customHeight="1">
      <c r="A20" s="65" t="s">
        <v>149</v>
      </c>
      <c r="B20" s="59">
        <f>('Pivot Table for Data Exchange'!$J$331)*100</f>
        <v>87.355741818974636</v>
      </c>
      <c r="C20" s="59">
        <f>('Pivot Table for Data Exchange'!$J$334)*100</f>
        <v>0.79909870717482578</v>
      </c>
      <c r="D20" s="109">
        <f>SUM(E20:G20)</f>
        <v>11.845159473850549</v>
      </c>
      <c r="E20" s="59">
        <f>('Pivot Table for Data Exchange'!$J$337)*100</f>
        <v>11.763617966238225</v>
      </c>
      <c r="F20" s="221">
        <f>('Pivot Table for Data Exchange'!$J$340)*100</f>
        <v>5.5382879026326229E-2</v>
      </c>
      <c r="G20" s="68">
        <f>('Pivot Table for Data Exchange'!$J$343)*100</f>
        <v>2.615862858599604E-2</v>
      </c>
      <c r="H20" s="221">
        <f>('Pivot Table for Data Exchange'!$J$346)*100</f>
        <v>0</v>
      </c>
      <c r="I20" s="65" t="s">
        <v>149</v>
      </c>
      <c r="J20" s="59">
        <f>('Pivot Table for Data Exchange'!$J$349)*100</f>
        <v>74.807432979125082</v>
      </c>
      <c r="K20" s="59">
        <f>('Pivot Table for Data Exchange'!$J$352)*100</f>
        <v>4.6907869895895145</v>
      </c>
      <c r="L20" s="227">
        <f>SUM(M20:O20)</f>
        <v>20.501780031285396</v>
      </c>
      <c r="M20" s="59">
        <f>('Pivot Table for Data Exchange'!$J$355)*100</f>
        <v>20.289255083877229</v>
      </c>
      <c r="N20" s="221">
        <f>('Pivot Table for Data Exchange'!$J$358)*100</f>
        <v>6.0278332164625928E-2</v>
      </c>
      <c r="O20" s="223">
        <f>('Pivot Table for Data Exchange'!$J$361)*100</f>
        <v>0.15224661524354063</v>
      </c>
      <c r="P20" s="221">
        <f>('Pivot Table for Data Exchange'!$J$364)*100</f>
        <v>0</v>
      </c>
      <c r="Q20" s="97">
        <f>SUM(B20,C20,D20,H20)</f>
        <v>100</v>
      </c>
      <c r="R20" s="97">
        <f>SUM(J20,K20,L20,P20)</f>
        <v>99.999999999999986</v>
      </c>
      <c r="S20" s="98"/>
      <c r="T20" s="99"/>
      <c r="U20" s="99"/>
      <c r="V20" s="99"/>
      <c r="W20" s="99"/>
      <c r="X20" s="99"/>
      <c r="Y20" s="99"/>
      <c r="Z20" s="99"/>
      <c r="AA20" s="99"/>
      <c r="AB20" s="99"/>
      <c r="AC20" s="99"/>
      <c r="AD20" s="99"/>
      <c r="AE20" s="99"/>
      <c r="AF20" s="98"/>
      <c r="AG20" s="98"/>
      <c r="AH20" s="98"/>
      <c r="AI20" s="98"/>
      <c r="AJ20" s="98"/>
      <c r="AK20" s="98"/>
      <c r="AL20" s="98"/>
      <c r="AM20" s="98"/>
      <c r="AN20" s="98"/>
      <c r="AO20" s="98"/>
    </row>
    <row r="21" spans="1:41" ht="15.75" customHeight="1">
      <c r="A21" s="65" t="s">
        <v>150</v>
      </c>
      <c r="B21" s="59">
        <f>('Pivot Table for Data Exchange'!$J$367)*100</f>
        <v>83.235597930951144</v>
      </c>
      <c r="C21" s="59">
        <f>('Pivot Table for Data Exchange'!$J$370)*100</f>
        <v>0.9006287444989729</v>
      </c>
      <c r="D21" s="109">
        <f>SUM(E21:G21)</f>
        <v>15.789633706630076</v>
      </c>
      <c r="E21" s="59">
        <f>('Pivot Table for Data Exchange'!$J$373)*100</f>
        <v>13.465461930358652</v>
      </c>
      <c r="F21" s="59">
        <f>('Pivot Table for Data Exchange'!$J$376)*100</f>
        <v>1.8399254705838788</v>
      </c>
      <c r="G21" s="66">
        <f>('Pivot Table for Data Exchange'!$J$379)*100</f>
        <v>0.48424630568754556</v>
      </c>
      <c r="H21" s="221">
        <f>('Pivot Table for Data Exchange'!$J$382)*100</f>
        <v>7.4139617919802919E-2</v>
      </c>
      <c r="I21" s="65" t="s">
        <v>150</v>
      </c>
      <c r="J21" s="59">
        <f>('Pivot Table for Data Exchange'!$J$385)*100</f>
        <v>62.62984408318335</v>
      </c>
      <c r="K21" s="59">
        <f>('Pivot Table for Data Exchange'!$J$388)*100</f>
        <v>7.0451456290501593</v>
      </c>
      <c r="L21" s="227">
        <f>SUM(M21:O21)</f>
        <v>30.178695386508267</v>
      </c>
      <c r="M21" s="59">
        <f>('Pivot Table for Data Exchange'!$J$391)*100</f>
        <v>25.752669623446963</v>
      </c>
      <c r="N21" s="59">
        <f>('Pivot Table for Data Exchange'!$J$394)*100</f>
        <v>2.3102790374807234</v>
      </c>
      <c r="O21" s="66">
        <f>('Pivot Table for Data Exchange'!$J$397)*100</f>
        <v>2.1157467255805833</v>
      </c>
      <c r="P21" s="59">
        <f>('Pivot Table for Data Exchange'!$J$400)*100</f>
        <v>0.14631490125822502</v>
      </c>
      <c r="Q21" s="97">
        <f>SUM(B21,C21,D21,H21)</f>
        <v>99.999999999999986</v>
      </c>
      <c r="R21" s="97">
        <f>SUM(J21,K21,L21,P21)</f>
        <v>100</v>
      </c>
      <c r="S21" s="98"/>
      <c r="T21" s="99"/>
      <c r="U21" s="99"/>
      <c r="V21" s="99"/>
      <c r="W21" s="99"/>
      <c r="X21" s="99"/>
      <c r="Y21" s="99"/>
      <c r="Z21" s="99"/>
      <c r="AA21" s="99"/>
      <c r="AB21" s="99"/>
      <c r="AC21" s="99"/>
      <c r="AD21" s="99"/>
      <c r="AE21" s="99"/>
      <c r="AF21" s="98"/>
      <c r="AG21" s="98"/>
      <c r="AH21" s="98"/>
      <c r="AI21" s="98"/>
      <c r="AJ21" s="98"/>
      <c r="AK21" s="98"/>
      <c r="AL21" s="98"/>
      <c r="AM21" s="98"/>
      <c r="AN21" s="98"/>
      <c r="AO21" s="98"/>
    </row>
    <row r="22" spans="1:41" ht="15.75" customHeight="1">
      <c r="A22" s="65" t="s">
        <v>151</v>
      </c>
      <c r="B22" s="59">
        <f>('Pivot Table for Data Exchange'!$J$403)*100</f>
        <v>89.538406974100354</v>
      </c>
      <c r="C22" s="59">
        <f>('Pivot Table for Data Exchange'!$J$406)*100</f>
        <v>3.2458620891531389</v>
      </c>
      <c r="D22" s="109">
        <f>SUM(E22:G22)</f>
        <v>7.2157309367464997</v>
      </c>
      <c r="E22" s="59">
        <f>('Pivot Table for Data Exchange'!$J$409)*100</f>
        <v>6.5929850549157303</v>
      </c>
      <c r="F22" s="59">
        <f>('Pivot Table for Data Exchange'!$J$412)*100</f>
        <v>0.46174959733910242</v>
      </c>
      <c r="G22" s="223">
        <f>('Pivot Table for Data Exchange'!$J$415)*100</f>
        <v>0.160996284491667</v>
      </c>
      <c r="H22" s="221">
        <f>('Pivot Table for Data Exchange'!$J$418)*100</f>
        <v>0</v>
      </c>
      <c r="I22" s="65" t="s">
        <v>151</v>
      </c>
      <c r="J22" s="59">
        <f>('Pivot Table for Data Exchange'!$J$421)*100</f>
        <v>70.199858061857555</v>
      </c>
      <c r="K22" s="59">
        <f>('Pivot Table for Data Exchange'!$J$424)*100</f>
        <v>11.852121059499554</v>
      </c>
      <c r="L22" s="227">
        <f>SUM(M22:O22)</f>
        <v>17.94802087864289</v>
      </c>
      <c r="M22" s="59">
        <f>('Pivot Table for Data Exchange'!$J$427)*100</f>
        <v>15.82209656372336</v>
      </c>
      <c r="N22" s="221">
        <f>('Pivot Table for Data Exchange'!$J$430)*100</f>
        <v>0.99099150660470225</v>
      </c>
      <c r="O22" s="66">
        <f>('Pivot Table for Data Exchange'!$J$433)*100</f>
        <v>1.1349328083148278</v>
      </c>
      <c r="P22" s="221">
        <f>('Pivot Table for Data Exchange'!$J$436)*100</f>
        <v>0</v>
      </c>
      <c r="Q22" s="97">
        <f>SUM(B22,C22,D22,H22)</f>
        <v>99.999999999999986</v>
      </c>
      <c r="R22" s="97">
        <f>SUM(J22,K22,L22,P22)</f>
        <v>100</v>
      </c>
      <c r="S22" s="98"/>
      <c r="T22" s="99"/>
      <c r="U22" s="99"/>
      <c r="V22" s="99"/>
      <c r="W22" s="99"/>
      <c r="X22" s="99"/>
      <c r="Y22" s="99"/>
      <c r="Z22" s="99"/>
      <c r="AA22" s="99"/>
      <c r="AB22" s="99"/>
      <c r="AC22" s="99"/>
      <c r="AD22" s="99"/>
      <c r="AE22" s="99"/>
      <c r="AF22" s="98"/>
      <c r="AG22" s="98"/>
      <c r="AH22" s="98"/>
      <c r="AI22" s="98"/>
      <c r="AJ22" s="98"/>
      <c r="AK22" s="98"/>
      <c r="AL22" s="98"/>
      <c r="AM22" s="98"/>
      <c r="AN22" s="98"/>
      <c r="AO22" s="98"/>
    </row>
    <row r="23" spans="1:41" ht="9.75" customHeight="1">
      <c r="A23" s="65"/>
      <c r="B23" s="59"/>
      <c r="C23" s="59"/>
      <c r="D23" s="109"/>
      <c r="E23" s="59"/>
      <c r="F23" s="59"/>
      <c r="G23" s="66"/>
      <c r="H23" s="59"/>
      <c r="I23" s="65"/>
      <c r="J23" s="59"/>
      <c r="K23" s="59"/>
      <c r="L23" s="227"/>
      <c r="M23" s="59"/>
      <c r="N23" s="59"/>
      <c r="O23" s="66"/>
      <c r="P23" s="59"/>
      <c r="Q23" s="97">
        <f t="shared" si="3"/>
        <v>0</v>
      </c>
      <c r="R23" s="97">
        <f t="shared" si="2"/>
        <v>0</v>
      </c>
      <c r="S23" s="98"/>
      <c r="T23" s="99"/>
      <c r="U23" s="99"/>
      <c r="V23" s="99"/>
      <c r="W23" s="99"/>
      <c r="X23" s="99"/>
      <c r="Y23" s="99"/>
      <c r="Z23" s="99"/>
      <c r="AA23" s="99"/>
      <c r="AB23" s="99"/>
      <c r="AC23" s="99"/>
      <c r="AD23" s="99"/>
      <c r="AE23" s="99"/>
      <c r="AF23" s="98"/>
      <c r="AG23" s="98"/>
      <c r="AH23" s="98"/>
      <c r="AI23" s="98"/>
      <c r="AJ23" s="98"/>
      <c r="AK23" s="98"/>
      <c r="AL23" s="98"/>
      <c r="AM23" s="98"/>
      <c r="AN23" s="98"/>
      <c r="AO23" s="98"/>
    </row>
    <row r="24" spans="1:41" ht="15.75" customHeight="1">
      <c r="A24" s="65" t="s">
        <v>152</v>
      </c>
      <c r="B24" s="59">
        <f>('Pivot Table for Data Exchange'!$J$439)*100</f>
        <v>80.226979842884845</v>
      </c>
      <c r="C24" s="59">
        <f>('Pivot Table for Data Exchange'!$J$442)*100</f>
        <v>2.6510795427708502</v>
      </c>
      <c r="D24" s="109">
        <f>SUM(E24:G24)</f>
        <v>16.487376553455903</v>
      </c>
      <c r="E24" s="59">
        <f>('Pivot Table for Data Exchange'!$J$445)*100</f>
        <v>11.500606827216545</v>
      </c>
      <c r="F24" s="59">
        <f>('Pivot Table for Data Exchange'!$J$448)*100</f>
        <v>0.3412502818070085</v>
      </c>
      <c r="G24" s="66">
        <f>('Pivot Table for Data Exchange'!$J$451)*100</f>
        <v>4.645519444432348</v>
      </c>
      <c r="H24" s="59">
        <f>('Pivot Table for Data Exchange'!$J$454)*100</f>
        <v>0.634564060888403</v>
      </c>
      <c r="I24" s="65" t="s">
        <v>152</v>
      </c>
      <c r="J24" s="59">
        <f>('Pivot Table for Data Exchange'!$J$457)*100</f>
        <v>59.45128507401958</v>
      </c>
      <c r="K24" s="59">
        <f>('Pivot Table for Data Exchange'!$J$460)*100</f>
        <v>3.8228109340746892</v>
      </c>
      <c r="L24" s="227">
        <f>SUM(M24:O24)</f>
        <v>32.548195110329324</v>
      </c>
      <c r="M24" s="59">
        <f>('Pivot Table for Data Exchange'!$J$463)*100</f>
        <v>28.911960865307414</v>
      </c>
      <c r="N24" s="59">
        <f>('Pivot Table for Data Exchange'!$J$466)*100</f>
        <v>0.25031598912718933</v>
      </c>
      <c r="O24" s="66">
        <f>('Pivot Table for Data Exchange'!$J$469)*100</f>
        <v>3.3859182558947252</v>
      </c>
      <c r="P24" s="59">
        <f>('Pivot Table for Data Exchange'!$J$472)*100</f>
        <v>4.177708881576403</v>
      </c>
      <c r="Q24" s="97">
        <f>SUM(B24,C24,D24,H24)</f>
        <v>100</v>
      </c>
      <c r="R24" s="97">
        <f>SUM(J24,K24,L24,P24)</f>
        <v>100</v>
      </c>
      <c r="S24" s="98"/>
      <c r="T24" s="99"/>
      <c r="U24" s="99"/>
      <c r="V24" s="99"/>
      <c r="W24" s="99"/>
      <c r="X24" s="99"/>
      <c r="Y24" s="99"/>
      <c r="Z24" s="99"/>
      <c r="AA24" s="99"/>
      <c r="AB24" s="99"/>
      <c r="AC24" s="99"/>
      <c r="AD24" s="99"/>
      <c r="AE24" s="99"/>
      <c r="AF24" s="98"/>
      <c r="AG24" s="98"/>
      <c r="AH24" s="98"/>
      <c r="AI24" s="98"/>
      <c r="AJ24" s="98"/>
      <c r="AK24" s="98"/>
      <c r="AL24" s="98"/>
      <c r="AM24" s="98"/>
      <c r="AN24" s="98"/>
      <c r="AO24" s="98"/>
    </row>
    <row r="25" spans="1:41" ht="15.75" customHeight="1">
      <c r="A25" s="65" t="s">
        <v>153</v>
      </c>
      <c r="B25" s="59">
        <f>('Pivot Table for Data Exchange'!$J$475)*100</f>
        <v>84.88984442880701</v>
      </c>
      <c r="C25" s="59">
        <f>('Pivot Table for Data Exchange'!$J$478)*100</f>
        <v>1.4870757340420215</v>
      </c>
      <c r="D25" s="109">
        <f>SUM(E25:G25)</f>
        <v>13.623079837150959</v>
      </c>
      <c r="E25" s="59">
        <f>('Pivot Table for Data Exchange'!$J$481)*100</f>
        <v>13.257304646047857</v>
      </c>
      <c r="F25" s="59">
        <f>('Pivot Table for Data Exchange'!$J$484)*100</f>
        <v>0.22528103225089485</v>
      </c>
      <c r="G25" s="66">
        <f>('Pivot Table for Data Exchange'!$J$487)*100</f>
        <v>0.14049415885220734</v>
      </c>
      <c r="H25" s="221">
        <f>('Pivot Table for Data Exchange'!$J$490)*100</f>
        <v>0</v>
      </c>
      <c r="I25" s="65" t="s">
        <v>153</v>
      </c>
      <c r="J25" s="59">
        <f>('Pivot Table for Data Exchange'!$J$493)*100</f>
        <v>69.451697603859927</v>
      </c>
      <c r="K25" s="59">
        <f>('Pivot Table for Data Exchange'!$J$496)*100</f>
        <v>3.0720737716945412</v>
      </c>
      <c r="L25" s="227">
        <f>SUM(M25:O25)</f>
        <v>27.476228624445532</v>
      </c>
      <c r="M25" s="59">
        <f>('Pivot Table for Data Exchange'!$J$499)*100</f>
        <v>26.645358327340933</v>
      </c>
      <c r="N25" s="59">
        <f>('Pivot Table for Data Exchange'!$J$502)*100</f>
        <v>0.26639981115962758</v>
      </c>
      <c r="O25" s="66">
        <f>('Pivot Table for Data Exchange'!$J$505)*100</f>
        <v>0.56447048594497207</v>
      </c>
      <c r="P25" s="221">
        <f>('Pivot Table for Data Exchange'!$J$508)*100</f>
        <v>0</v>
      </c>
      <c r="Q25" s="97">
        <f>SUM(B25,C25,D25,H25)</f>
        <v>99.999999999999986</v>
      </c>
      <c r="R25" s="97">
        <f>SUM(J25,K25,L25,P25)</f>
        <v>100</v>
      </c>
      <c r="S25" s="98"/>
      <c r="T25" s="99"/>
      <c r="U25" s="99"/>
      <c r="V25" s="99"/>
      <c r="W25" s="99"/>
      <c r="X25" s="99"/>
      <c r="Y25" s="99"/>
      <c r="Z25" s="99"/>
      <c r="AA25" s="99"/>
      <c r="AB25" s="99"/>
      <c r="AC25" s="99"/>
      <c r="AD25" s="99"/>
      <c r="AE25" s="99"/>
      <c r="AF25" s="98"/>
      <c r="AG25" s="98"/>
      <c r="AH25" s="98"/>
      <c r="AI25" s="98"/>
      <c r="AJ25" s="98"/>
      <c r="AK25" s="98"/>
      <c r="AL25" s="98"/>
      <c r="AM25" s="98"/>
      <c r="AN25" s="98"/>
      <c r="AO25" s="98"/>
    </row>
    <row r="26" spans="1:41" ht="15.75" customHeight="1">
      <c r="A26" s="65" t="s">
        <v>154</v>
      </c>
      <c r="B26" s="221">
        <f>('Pivot Table for Data Exchange'!$J$511)*100</f>
        <v>91.879945930126453</v>
      </c>
      <c r="C26" s="221">
        <f>('Pivot Table for Data Exchange'!$J$514)*100</f>
        <v>1.9084782786287238</v>
      </c>
      <c r="D26" s="227">
        <f>SUM(E26:G26)</f>
        <v>6.2115757912448339</v>
      </c>
      <c r="E26" s="221">
        <f>('Pivot Table for Data Exchange'!$J$517)*100</f>
        <v>5.4891370266494368</v>
      </c>
      <c r="F26" s="221">
        <f>('Pivot Table for Data Exchange'!$J$520)*100</f>
        <v>0.72243876459539691</v>
      </c>
      <c r="G26" s="223">
        <f>('Pivot Table for Data Exchange'!$J$523)*100</f>
        <v>0</v>
      </c>
      <c r="H26" s="221">
        <f>('Pivot Table for Data Exchange'!$J$526)*100</f>
        <v>0</v>
      </c>
      <c r="I26" s="65" t="s">
        <v>154</v>
      </c>
      <c r="J26" s="221">
        <f>('Pivot Table for Data Exchange'!$J$529)*100</f>
        <v>80.25196170454187</v>
      </c>
      <c r="K26" s="221">
        <f>('Pivot Table for Data Exchange'!$J$532)*100</f>
        <v>8.8961074850170707</v>
      </c>
      <c r="L26" s="227">
        <f>SUM(M26:O26)</f>
        <v>10.851930810441072</v>
      </c>
      <c r="M26" s="221">
        <f>('Pivot Table for Data Exchange'!$J$535)*100</f>
        <v>7.9750003424804747</v>
      </c>
      <c r="N26" s="221">
        <f>('Pivot Table for Data Exchange'!$J$538)*100</f>
        <v>2.8769304679605971</v>
      </c>
      <c r="O26" s="223">
        <f>('Pivot Table for Data Exchange'!$J$541)*100</f>
        <v>0</v>
      </c>
      <c r="P26" s="221">
        <f>('Pivot Table for Data Exchange'!$J$544)*100</f>
        <v>0</v>
      </c>
      <c r="Q26" s="97">
        <f>SUM(B26,C26,D26,H26)</f>
        <v>100.00000000000001</v>
      </c>
      <c r="R26" s="97">
        <f>SUM(J26,K26,L26,P26)</f>
        <v>100.00000000000001</v>
      </c>
      <c r="S26" s="98"/>
      <c r="T26" s="99"/>
      <c r="U26" s="99"/>
      <c r="V26" s="99"/>
      <c r="W26" s="99"/>
      <c r="X26" s="99"/>
      <c r="Y26" s="99"/>
      <c r="Z26" s="99"/>
      <c r="AA26" s="99"/>
      <c r="AB26" s="99"/>
      <c r="AC26" s="99"/>
      <c r="AD26" s="99"/>
      <c r="AE26" s="99"/>
      <c r="AF26" s="98"/>
      <c r="AG26" s="98"/>
      <c r="AH26" s="98"/>
      <c r="AI26" s="98"/>
      <c r="AJ26" s="98"/>
      <c r="AK26" s="98"/>
      <c r="AL26" s="98"/>
      <c r="AM26" s="98"/>
      <c r="AN26" s="98"/>
      <c r="AO26" s="98"/>
    </row>
    <row r="27" spans="1:41" ht="15.75" customHeight="1">
      <c r="A27" s="220" t="s">
        <v>155</v>
      </c>
      <c r="B27" s="224">
        <f>('Pivot Table for Data Exchange'!$J$547)*100</f>
        <v>84.702827103634931</v>
      </c>
      <c r="C27" s="224">
        <f>('Pivot Table for Data Exchange'!$J$550)*100</f>
        <v>3.4080678220273817</v>
      </c>
      <c r="D27" s="228">
        <f>SUM(E27:G27)</f>
        <v>11.889105074337694</v>
      </c>
      <c r="E27" s="224">
        <f>('Pivot Table for Data Exchange'!$J$553)*100</f>
        <v>11.0749205723715</v>
      </c>
      <c r="F27" s="224">
        <f>('Pivot Table for Data Exchange'!$J$556)*100</f>
        <v>0.6726377634931191</v>
      </c>
      <c r="G27" s="225">
        <f>('Pivot Table for Data Exchange'!$J$559)*100</f>
        <v>0.14154673847307395</v>
      </c>
      <c r="H27" s="224">
        <f>('Pivot Table for Data Exchange'!$J$562)*100</f>
        <v>0</v>
      </c>
      <c r="I27" s="220" t="s">
        <v>155</v>
      </c>
      <c r="J27" s="224">
        <f>('Pivot Table for Data Exchange'!$J$565)*100</f>
        <v>55.117682893060859</v>
      </c>
      <c r="K27" s="224">
        <f>('Pivot Table for Data Exchange'!$J$568)*100</f>
        <v>14.399401894002326</v>
      </c>
      <c r="L27" s="228">
        <f>SUM(M27:O27)</f>
        <v>30.482915212936813</v>
      </c>
      <c r="M27" s="224">
        <f>('Pivot Table for Data Exchange'!$J$571)*100</f>
        <v>29.428476491111482</v>
      </c>
      <c r="N27" s="224">
        <f>('Pivot Table for Data Exchange'!$J$574)*100</f>
        <v>0.90768123165531378</v>
      </c>
      <c r="O27" s="225">
        <f>('Pivot Table for Data Exchange'!$J$577)*100</f>
        <v>0.14675749017001716</v>
      </c>
      <c r="P27" s="224">
        <f>('Pivot Table for Data Exchange'!$J$580)*100</f>
        <v>0</v>
      </c>
      <c r="Q27" s="226">
        <f t="shared" ref="Q27:Q90" si="4">SUM(B27,C27,D27,H27)</f>
        <v>100</v>
      </c>
      <c r="R27" s="226">
        <f t="shared" ref="R27:R90" si="5">SUM(J27,K27,L27,P27)</f>
        <v>100</v>
      </c>
      <c r="S27" s="98"/>
      <c r="T27" s="99"/>
      <c r="U27" s="99"/>
      <c r="V27" s="99"/>
      <c r="W27" s="99"/>
      <c r="X27" s="99"/>
      <c r="Y27" s="99"/>
      <c r="Z27" s="99"/>
      <c r="AA27" s="99"/>
      <c r="AB27" s="99"/>
      <c r="AC27" s="99"/>
      <c r="AD27" s="99"/>
      <c r="AE27" s="99"/>
      <c r="AF27" s="98"/>
      <c r="AG27" s="98"/>
      <c r="AH27" s="98"/>
      <c r="AI27" s="98"/>
      <c r="AJ27" s="98"/>
      <c r="AK27" s="98"/>
      <c r="AL27" s="98"/>
      <c r="AM27" s="98"/>
      <c r="AN27" s="98"/>
      <c r="AO27" s="98"/>
    </row>
    <row r="28" spans="1:41" s="103" customFormat="1" ht="33" customHeight="1">
      <c r="A28" s="681" t="s">
        <v>921</v>
      </c>
      <c r="B28" s="682"/>
      <c r="C28" s="682"/>
      <c r="D28" s="682"/>
      <c r="E28" s="682"/>
      <c r="F28" s="682"/>
      <c r="G28" s="682"/>
      <c r="H28" s="682"/>
      <c r="I28" s="681" t="s">
        <v>921</v>
      </c>
      <c r="J28" s="682"/>
      <c r="K28" s="682"/>
      <c r="L28" s="682"/>
      <c r="M28" s="682"/>
      <c r="N28" s="682"/>
      <c r="O28" s="682"/>
      <c r="P28" s="682"/>
      <c r="Q28" s="226">
        <f>SUM(B28,C28,D28,H28)</f>
        <v>0</v>
      </c>
      <c r="R28" s="226">
        <f>SUM(J28,K28,L28,P28)</f>
        <v>0</v>
      </c>
    </row>
    <row r="29" spans="1:41" s="103" customFormat="1" ht="10.5" customHeight="1">
      <c r="A29" s="691" t="s">
        <v>244</v>
      </c>
      <c r="B29" s="69"/>
      <c r="C29" s="69"/>
      <c r="D29" s="70"/>
      <c r="E29" s="69"/>
      <c r="F29" s="70"/>
      <c r="G29" s="70"/>
      <c r="H29" s="69"/>
      <c r="I29" s="691" t="s">
        <v>244</v>
      </c>
      <c r="J29" s="69"/>
      <c r="K29" s="69"/>
      <c r="L29" s="70"/>
      <c r="M29" s="69"/>
      <c r="N29" s="70"/>
      <c r="O29" s="70"/>
      <c r="P29" s="69"/>
      <c r="Q29" s="226">
        <f t="shared" si="4"/>
        <v>0</v>
      </c>
      <c r="R29" s="226">
        <f t="shared" si="5"/>
        <v>0</v>
      </c>
      <c r="S29" s="102"/>
      <c r="T29" s="98"/>
      <c r="U29" s="102"/>
      <c r="V29" s="102"/>
      <c r="W29" s="102"/>
      <c r="X29" s="102"/>
      <c r="Y29" s="102"/>
      <c r="Z29" s="102"/>
      <c r="AA29" s="102"/>
      <c r="AB29" s="102"/>
      <c r="AC29" s="102"/>
      <c r="AD29" s="102"/>
      <c r="AE29" s="102"/>
      <c r="AF29" s="102"/>
      <c r="AG29" s="102"/>
      <c r="AH29" s="102"/>
      <c r="AI29" s="102"/>
      <c r="AJ29" s="102"/>
      <c r="AK29" s="102"/>
      <c r="AL29" s="102"/>
      <c r="AM29" s="102"/>
      <c r="AN29" s="102"/>
      <c r="AO29" s="102"/>
    </row>
    <row r="30" spans="1:41" s="103" customFormat="1" ht="21.75" customHeight="1">
      <c r="A30" s="666" t="s">
        <v>245</v>
      </c>
      <c r="B30" s="680"/>
      <c r="C30" s="680"/>
      <c r="D30" s="680"/>
      <c r="E30" s="680"/>
      <c r="F30" s="680"/>
      <c r="G30" s="680"/>
      <c r="H30" s="680"/>
      <c r="I30" s="666" t="s">
        <v>245</v>
      </c>
      <c r="J30" s="680"/>
      <c r="K30" s="680"/>
      <c r="L30" s="680"/>
      <c r="M30" s="680"/>
      <c r="N30" s="680"/>
      <c r="O30" s="680"/>
      <c r="P30" s="680"/>
      <c r="Q30" s="226">
        <f t="shared" si="4"/>
        <v>0</v>
      </c>
      <c r="R30" s="226">
        <f t="shared" si="5"/>
        <v>0</v>
      </c>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row>
    <row r="31" spans="1:41" s="103" customFormat="1" ht="13.5" customHeight="1">
      <c r="A31" s="30"/>
      <c r="B31" s="110"/>
      <c r="C31" s="110"/>
      <c r="D31" s="110"/>
      <c r="E31" s="110"/>
      <c r="F31" s="110"/>
      <c r="G31" s="110"/>
      <c r="I31" s="30"/>
      <c r="J31" s="110"/>
      <c r="K31" s="110"/>
      <c r="L31" s="110"/>
      <c r="M31" s="110"/>
      <c r="N31" s="110"/>
      <c r="O31" s="110"/>
      <c r="P31" s="110"/>
      <c r="Q31" s="226">
        <f t="shared" si="4"/>
        <v>0</v>
      </c>
      <c r="R31" s="226">
        <f t="shared" si="5"/>
        <v>0</v>
      </c>
    </row>
    <row r="32" spans="1:41">
      <c r="H32" s="27" t="s">
        <v>899</v>
      </c>
      <c r="I32" s="28"/>
      <c r="P32" s="27" t="s">
        <v>899</v>
      </c>
      <c r="Q32" s="226">
        <f>SUM(B32,C32,D32,H32)</f>
        <v>0</v>
      </c>
      <c r="R32" s="226">
        <f t="shared" si="5"/>
        <v>0</v>
      </c>
    </row>
    <row r="33" spans="1:41" ht="18">
      <c r="A33" s="16" t="s">
        <v>201</v>
      </c>
      <c r="B33" s="34"/>
      <c r="C33" s="34"/>
      <c r="D33" s="34"/>
      <c r="E33" s="34"/>
      <c r="F33" s="34"/>
      <c r="G33" s="34"/>
      <c r="H33" s="35"/>
      <c r="I33" s="16" t="s">
        <v>216</v>
      </c>
      <c r="J33" s="19"/>
      <c r="K33" s="19"/>
      <c r="L33" s="34"/>
      <c r="M33" s="19"/>
      <c r="N33" s="19"/>
      <c r="O33" s="19"/>
      <c r="P33" s="19"/>
      <c r="Q33" s="226">
        <f t="shared" si="4"/>
        <v>0</v>
      </c>
      <c r="R33" s="226">
        <f t="shared" si="5"/>
        <v>0</v>
      </c>
    </row>
    <row r="34" spans="1:41">
      <c r="A34" s="18"/>
      <c r="B34" s="19"/>
      <c r="C34" s="19"/>
      <c r="D34" s="19"/>
      <c r="E34" s="19"/>
      <c r="F34" s="19"/>
      <c r="G34" s="19"/>
      <c r="H34" s="36"/>
      <c r="I34" s="18"/>
      <c r="J34" s="19"/>
      <c r="K34" s="19"/>
      <c r="L34" s="19"/>
      <c r="M34" s="19"/>
      <c r="N34" s="19"/>
      <c r="O34" s="19"/>
      <c r="P34" s="19"/>
      <c r="Q34" s="226">
        <f t="shared" si="4"/>
        <v>0</v>
      </c>
      <c r="R34" s="226">
        <f t="shared" si="5"/>
        <v>0</v>
      </c>
    </row>
    <row r="35" spans="1:41" ht="15.75">
      <c r="A35" s="37" t="s">
        <v>162</v>
      </c>
      <c r="B35" s="19"/>
      <c r="C35" s="19"/>
      <c r="D35" s="19"/>
      <c r="E35" s="19"/>
      <c r="F35" s="19"/>
      <c r="G35" s="19"/>
      <c r="H35" s="36"/>
      <c r="I35" s="37" t="s">
        <v>163</v>
      </c>
      <c r="J35" s="19"/>
      <c r="K35" s="19"/>
      <c r="L35" s="19"/>
      <c r="M35" s="19"/>
      <c r="N35" s="19"/>
      <c r="O35" s="19"/>
      <c r="P35" s="19"/>
      <c r="Q35" s="226">
        <f t="shared" si="4"/>
        <v>0</v>
      </c>
      <c r="R35" s="226">
        <f t="shared" si="5"/>
        <v>0</v>
      </c>
    </row>
    <row r="36" spans="1:41" ht="15.75">
      <c r="A36" s="37" t="s">
        <v>901</v>
      </c>
      <c r="B36" s="19"/>
      <c r="C36" s="19"/>
      <c r="D36" s="19"/>
      <c r="E36" s="19"/>
      <c r="F36" s="19"/>
      <c r="G36" s="19"/>
      <c r="H36" s="36"/>
      <c r="I36" s="37" t="s">
        <v>901</v>
      </c>
      <c r="J36" s="19"/>
      <c r="K36" s="19"/>
      <c r="L36" s="19"/>
      <c r="M36" s="19"/>
      <c r="N36" s="19"/>
      <c r="O36" s="19"/>
      <c r="P36" s="19"/>
      <c r="Q36" s="226">
        <f t="shared" si="4"/>
        <v>0</v>
      </c>
      <c r="R36" s="226">
        <f t="shared" si="5"/>
        <v>0</v>
      </c>
    </row>
    <row r="37" spans="1:41">
      <c r="A37" s="39"/>
      <c r="B37" s="40"/>
      <c r="C37" s="40"/>
      <c r="D37" s="40"/>
      <c r="E37" s="40"/>
      <c r="F37" s="40"/>
      <c r="G37" s="40"/>
      <c r="H37" s="40"/>
      <c r="I37" s="41"/>
      <c r="L37" s="42"/>
      <c r="P37" s="39"/>
      <c r="Q37" s="226">
        <f t="shared" si="4"/>
        <v>0</v>
      </c>
      <c r="R37" s="226">
        <f t="shared" si="5"/>
        <v>0</v>
      </c>
    </row>
    <row r="38" spans="1:41" s="57" customFormat="1">
      <c r="A38" s="43"/>
      <c r="B38" s="44" t="s">
        <v>164</v>
      </c>
      <c r="C38" s="44"/>
      <c r="D38" s="44"/>
      <c r="E38" s="44"/>
      <c r="F38" s="44"/>
      <c r="G38" s="44"/>
      <c r="H38" s="45"/>
      <c r="I38" s="43"/>
      <c r="J38" s="44" t="s">
        <v>164</v>
      </c>
      <c r="K38" s="44"/>
      <c r="L38" s="44"/>
      <c r="M38" s="44"/>
      <c r="N38" s="44"/>
      <c r="O38" s="44"/>
      <c r="P38" s="45"/>
      <c r="Q38" s="226">
        <f t="shared" si="4"/>
        <v>0</v>
      </c>
      <c r="R38" s="226">
        <f t="shared" si="5"/>
        <v>0</v>
      </c>
    </row>
    <row r="39" spans="1:41" s="57" customFormat="1">
      <c r="A39" s="43"/>
      <c r="B39" s="44" t="s">
        <v>165</v>
      </c>
      <c r="C39" s="44"/>
      <c r="D39" s="670" t="s">
        <v>166</v>
      </c>
      <c r="E39" s="668"/>
      <c r="F39" s="668"/>
      <c r="G39" s="668"/>
      <c r="H39" s="49" t="s">
        <v>39</v>
      </c>
      <c r="I39" s="43"/>
      <c r="J39" s="44" t="s">
        <v>165</v>
      </c>
      <c r="K39" s="44"/>
      <c r="L39" s="670" t="s">
        <v>166</v>
      </c>
      <c r="M39" s="668"/>
      <c r="N39" s="668"/>
      <c r="O39" s="668"/>
      <c r="P39" s="49" t="s">
        <v>39</v>
      </c>
      <c r="Q39" s="226">
        <f t="shared" si="4"/>
        <v>0</v>
      </c>
      <c r="R39" s="226">
        <f t="shared" si="5"/>
        <v>0</v>
      </c>
    </row>
    <row r="40" spans="1:41" s="57" customFormat="1" ht="40.5" customHeight="1">
      <c r="A40" s="43"/>
      <c r="B40" s="50" t="s">
        <v>167</v>
      </c>
      <c r="C40" s="51" t="s">
        <v>168</v>
      </c>
      <c r="D40" s="52" t="s">
        <v>169</v>
      </c>
      <c r="E40" s="53" t="s">
        <v>7</v>
      </c>
      <c r="F40" s="50" t="s">
        <v>170</v>
      </c>
      <c r="G40" s="54" t="s">
        <v>171</v>
      </c>
      <c r="H40" s="55" t="s">
        <v>172</v>
      </c>
      <c r="I40" s="43"/>
      <c r="J40" s="50" t="s">
        <v>167</v>
      </c>
      <c r="K40" s="51" t="s">
        <v>168</v>
      </c>
      <c r="L40" s="52" t="s">
        <v>169</v>
      </c>
      <c r="M40" s="53" t="s">
        <v>7</v>
      </c>
      <c r="N40" s="50" t="s">
        <v>170</v>
      </c>
      <c r="O40" s="54" t="s">
        <v>171</v>
      </c>
      <c r="P40" s="55" t="s">
        <v>172</v>
      </c>
      <c r="Q40" s="226">
        <f t="shared" si="4"/>
        <v>0</v>
      </c>
      <c r="R40" s="226">
        <f t="shared" si="5"/>
        <v>0</v>
      </c>
      <c r="T40" s="56"/>
    </row>
    <row r="41" spans="1:41" ht="15.75" customHeight="1">
      <c r="A41" s="58" t="s">
        <v>141</v>
      </c>
      <c r="B41" s="82">
        <f>('Pivot Table for Data Exchange'!$C$7)*100</f>
        <v>93.555745868708385</v>
      </c>
      <c r="C41" s="67">
        <f>('Pivot Table for Data Exchange'!$C$10)*100</f>
        <v>2.6100748890718173E-2</v>
      </c>
      <c r="D41" s="227">
        <f>SUM(E41:G41)</f>
        <v>6.4181533824008952</v>
      </c>
      <c r="E41" s="221">
        <f>('Pivot Table for Data Exchange'!$C$13)*100</f>
        <v>6.3772368237950214</v>
      </c>
      <c r="F41" s="67">
        <f>('Pivot Table for Data Exchange'!$C$16)*100</f>
        <v>4.0916558605873843E-2</v>
      </c>
      <c r="G41" s="60">
        <f>('Pivot Table for Data Exchange'!$C$19)*100</f>
        <v>0</v>
      </c>
      <c r="H41" s="221">
        <f>('Pivot Table for Data Exchange'!$C$22)*100</f>
        <v>0</v>
      </c>
      <c r="I41" s="229" t="s">
        <v>141</v>
      </c>
      <c r="J41" s="221">
        <f>('Pivot Table for Data Exchange'!$C$25)*100</f>
        <v>81.173313478213657</v>
      </c>
      <c r="K41" s="221">
        <f>('Pivot Table for Data Exchange'!$C$28)*100</f>
        <v>2.8469346073701791</v>
      </c>
      <c r="L41" s="227">
        <f>SUM(M41:O41)</f>
        <v>15.979751914416161</v>
      </c>
      <c r="M41" s="221">
        <f>('Pivot Table for Data Exchange'!$C$31)*100</f>
        <v>15.804468436047383</v>
      </c>
      <c r="N41" s="221">
        <f>('Pivot Table for Data Exchange'!$C$34)*100</f>
        <v>0.17528347836877783</v>
      </c>
      <c r="O41" s="60">
        <f>('Pivot Table for Data Exchange'!$C$37)*100</f>
        <v>0</v>
      </c>
      <c r="P41" s="221">
        <f>('Pivot Table for Data Exchange'!$C$40)*100</f>
        <v>0</v>
      </c>
      <c r="Q41" s="226">
        <f t="shared" si="4"/>
        <v>100</v>
      </c>
      <c r="R41" s="226">
        <f t="shared" si="5"/>
        <v>99.999999999999986</v>
      </c>
      <c r="S41" s="98"/>
      <c r="T41" s="98"/>
      <c r="U41" s="98"/>
      <c r="V41" s="98"/>
      <c r="W41" s="98"/>
      <c r="X41" s="98"/>
      <c r="Y41" s="98"/>
      <c r="Z41" s="98"/>
      <c r="AA41" s="98"/>
      <c r="AB41" s="98"/>
      <c r="AC41" s="98"/>
      <c r="AD41" s="98"/>
      <c r="AE41" s="98"/>
      <c r="AF41" s="98"/>
      <c r="AG41" s="98"/>
      <c r="AH41" s="98"/>
      <c r="AI41" s="98"/>
      <c r="AJ41" s="98"/>
      <c r="AK41" s="98"/>
      <c r="AL41" s="98"/>
      <c r="AM41" s="98"/>
      <c r="AN41" s="98"/>
      <c r="AO41" s="98"/>
    </row>
    <row r="42" spans="1:41" ht="15.75" customHeight="1">
      <c r="A42" s="65" t="s">
        <v>142</v>
      </c>
      <c r="B42" s="221">
        <f>('Pivot Table for Data Exchange'!$C$43)*100</f>
        <v>88.802610975301633</v>
      </c>
      <c r="C42" s="221">
        <f>('Pivot Table for Data Exchange'!$C$46)*100</f>
        <v>1.5447948668843554</v>
      </c>
      <c r="D42" s="227">
        <f t="shared" ref="D42:D44" si="6">SUM(E42:G42)</f>
        <v>9.073235732896455</v>
      </c>
      <c r="E42" s="221">
        <f>('Pivot Table for Data Exchange'!$C$49)*100</f>
        <v>8.9557547189548377</v>
      </c>
      <c r="F42" s="221">
        <f>('Pivot Table for Data Exchange'!$C$52)*100</f>
        <v>0.11748101394161677</v>
      </c>
      <c r="G42" s="232">
        <f>('Pivot Table for Data Exchange'!$C$55)*100</f>
        <v>0</v>
      </c>
      <c r="H42" s="221">
        <f>('Pivot Table for Data Exchange'!$C$58)*100</f>
        <v>0.57935842491756206</v>
      </c>
      <c r="I42" s="87" t="s">
        <v>142</v>
      </c>
      <c r="J42" s="221">
        <f>('Pivot Table for Data Exchange'!$C$61)*100</f>
        <v>72.800311816330122</v>
      </c>
      <c r="K42" s="221">
        <f>('Pivot Table for Data Exchange'!$C$64)*100</f>
        <v>3.9542837025674555</v>
      </c>
      <c r="L42" s="227">
        <f t="shared" ref="L42:L44" si="7">SUM(M42:O42)</f>
        <v>23.245404481102419</v>
      </c>
      <c r="M42" s="221">
        <f>('Pivot Table for Data Exchange'!$C$67)*100</f>
        <v>23.226544622425628</v>
      </c>
      <c r="N42" s="61">
        <f>('Pivot Table for Data Exchange'!$C$70)*100</f>
        <v>3.7719717353584632E-3</v>
      </c>
      <c r="O42" s="68">
        <f>('Pivot Table for Data Exchange'!$C$73)*100</f>
        <v>1.5087886941433853E-2</v>
      </c>
      <c r="P42" s="67">
        <f>('Pivot Table for Data Exchange'!$C$76)*100</f>
        <v>0</v>
      </c>
      <c r="Q42" s="226">
        <f t="shared" si="4"/>
        <v>100</v>
      </c>
      <c r="R42" s="226">
        <f t="shared" si="5"/>
        <v>100</v>
      </c>
      <c r="S42" s="98"/>
      <c r="T42" s="98"/>
      <c r="U42" s="98"/>
      <c r="V42" s="98"/>
      <c r="W42" s="98"/>
      <c r="X42" s="98"/>
      <c r="Y42" s="98"/>
      <c r="Z42" s="98"/>
      <c r="AA42" s="98"/>
      <c r="AB42" s="98"/>
      <c r="AC42" s="98"/>
      <c r="AD42" s="98"/>
      <c r="AE42" s="98"/>
      <c r="AF42" s="98"/>
      <c r="AG42" s="98"/>
      <c r="AH42" s="98"/>
      <c r="AI42" s="98"/>
      <c r="AJ42" s="98"/>
      <c r="AK42" s="98"/>
      <c r="AL42" s="98"/>
      <c r="AM42" s="98"/>
      <c r="AN42" s="98"/>
      <c r="AO42" s="98"/>
    </row>
    <row r="43" spans="1:41" ht="15.75" customHeight="1">
      <c r="A43" s="65" t="s">
        <v>143</v>
      </c>
      <c r="B43" s="221">
        <f>('Pivot Table for Data Exchange'!$C$79)*100</f>
        <v>97.167301032749194</v>
      </c>
      <c r="C43" s="221">
        <f>('Pivot Table for Data Exchange'!$C$82)*100</f>
        <v>0</v>
      </c>
      <c r="D43" s="227">
        <f t="shared" si="6"/>
        <v>2.8326989672508134</v>
      </c>
      <c r="E43" s="221">
        <f>('Pivot Table for Data Exchange'!$C$85)*100</f>
        <v>2.8326989672508134</v>
      </c>
      <c r="F43" s="221">
        <f>('Pivot Table for Data Exchange'!$C$88)*100</f>
        <v>0</v>
      </c>
      <c r="G43" s="223">
        <f>('Pivot Table for Data Exchange'!$C$91)*100</f>
        <v>0</v>
      </c>
      <c r="H43" s="221">
        <f>('Pivot Table for Data Exchange'!$C$94)*100</f>
        <v>0</v>
      </c>
      <c r="I43" s="87" t="s">
        <v>143</v>
      </c>
      <c r="J43" s="221">
        <f>('Pivot Table for Data Exchange'!$C$97)*100</f>
        <v>92.366048295160113</v>
      </c>
      <c r="K43" s="221">
        <f>('Pivot Table for Data Exchange'!$C$100)*100</f>
        <v>0</v>
      </c>
      <c r="L43" s="227">
        <f t="shared" si="7"/>
        <v>7.6339517048398795</v>
      </c>
      <c r="M43" s="221">
        <f>('Pivot Table for Data Exchange'!$C$103)*100</f>
        <v>7.6339517048398795</v>
      </c>
      <c r="N43" s="221">
        <f>('Pivot Table for Data Exchange'!$C$106)*100</f>
        <v>0</v>
      </c>
      <c r="O43" s="223">
        <f>('Pivot Table for Data Exchange'!$C$109)*100</f>
        <v>0</v>
      </c>
      <c r="P43" s="221">
        <f>('Pivot Table for Data Exchange'!$C$112)*100</f>
        <v>0</v>
      </c>
      <c r="Q43" s="226">
        <f t="shared" si="4"/>
        <v>100</v>
      </c>
      <c r="R43" s="226">
        <f t="shared" si="5"/>
        <v>99.999999999999986</v>
      </c>
      <c r="S43" s="98"/>
      <c r="T43" s="104"/>
      <c r="U43" s="98"/>
      <c r="V43" s="98"/>
      <c r="W43" s="98"/>
      <c r="X43" s="98"/>
      <c r="Y43" s="98"/>
      <c r="Z43" s="98"/>
      <c r="AA43" s="98"/>
      <c r="AB43" s="98"/>
      <c r="AC43" s="98"/>
      <c r="AD43" s="98"/>
      <c r="AE43" s="98"/>
      <c r="AF43" s="98"/>
      <c r="AG43" s="98"/>
      <c r="AH43" s="98"/>
      <c r="AI43" s="98"/>
      <c r="AJ43" s="98"/>
      <c r="AK43" s="98"/>
      <c r="AL43" s="98"/>
      <c r="AM43" s="98"/>
      <c r="AN43" s="98"/>
      <c r="AO43" s="98"/>
    </row>
    <row r="44" spans="1:41" ht="15.75" customHeight="1">
      <c r="A44" s="65" t="s">
        <v>174</v>
      </c>
      <c r="B44" s="221">
        <f>('Pivot Table for Data Exchange'!$C$115)*100</f>
        <v>73.246710411389742</v>
      </c>
      <c r="C44" s="221">
        <f>('Pivot Table for Data Exchange'!$C$118)*100</f>
        <v>8.638490433711036</v>
      </c>
      <c r="D44" s="227">
        <f t="shared" si="6"/>
        <v>17.994315416839164</v>
      </c>
      <c r="E44" s="221">
        <f>('Pivot Table for Data Exchange'!$C$121)*100</f>
        <v>17.817913212438459</v>
      </c>
      <c r="F44" s="221">
        <f>('Pivot Table for Data Exchange'!$C$124)*100</f>
        <v>8.5195922505818394E-2</v>
      </c>
      <c r="G44" s="223">
        <f>('Pivot Table for Data Exchange'!$C$127)*100</f>
        <v>9.1206281894889329E-2</v>
      </c>
      <c r="H44" s="221">
        <f>('Pivot Table for Data Exchange'!$C$130)*100</f>
        <v>0.12048373806005695</v>
      </c>
      <c r="I44" s="87" t="s">
        <v>174</v>
      </c>
      <c r="J44" s="221">
        <f>('Pivot Table for Data Exchange'!$C$133)*100</f>
        <v>73.248570617990111</v>
      </c>
      <c r="K44" s="221">
        <f>('Pivot Table for Data Exchange'!$C$136)*100</f>
        <v>7.5453400608326628</v>
      </c>
      <c r="L44" s="227">
        <f t="shared" si="7"/>
        <v>19.152180781117167</v>
      </c>
      <c r="M44" s="221">
        <f>('Pivot Table for Data Exchange'!$C$139)*100</f>
        <v>18.982837649841571</v>
      </c>
      <c r="N44" s="221">
        <f>('Pivot Table for Data Exchange'!$C$142)*100</f>
        <v>0.14990871194235303</v>
      </c>
      <c r="O44" s="68">
        <f>('Pivot Table for Data Exchange'!$C$145)*100</f>
        <v>1.943441933324316E-2</v>
      </c>
      <c r="P44" s="221">
        <f>('Pivot Table for Data Exchange'!$C$148)*100</f>
        <v>5.3908540060051385E-2</v>
      </c>
      <c r="Q44" s="226">
        <f t="shared" si="4"/>
        <v>100.00000000000001</v>
      </c>
      <c r="R44" s="226">
        <f t="shared" si="5"/>
        <v>99.999999999999986</v>
      </c>
      <c r="S44" s="98"/>
      <c r="U44" s="98"/>
      <c r="V44" s="98"/>
      <c r="W44" s="98"/>
      <c r="X44" s="98"/>
      <c r="Y44" s="98"/>
      <c r="Z44" s="98"/>
      <c r="AA44" s="98"/>
      <c r="AB44" s="98"/>
      <c r="AC44" s="98"/>
      <c r="AD44" s="98"/>
      <c r="AE44" s="98"/>
      <c r="AF44" s="98"/>
      <c r="AG44" s="98"/>
      <c r="AH44" s="98"/>
      <c r="AI44" s="98"/>
      <c r="AJ44" s="98"/>
      <c r="AK44" s="98"/>
      <c r="AL44" s="98"/>
      <c r="AM44" s="98"/>
      <c r="AN44" s="98"/>
      <c r="AO44" s="98"/>
    </row>
    <row r="45" spans="1:41" ht="10.5" customHeight="1">
      <c r="A45" s="65"/>
      <c r="B45" s="221"/>
      <c r="C45" s="221"/>
      <c r="D45" s="227"/>
      <c r="E45" s="221"/>
      <c r="F45" s="221"/>
      <c r="G45" s="223"/>
      <c r="H45" s="221"/>
      <c r="I45" s="87"/>
      <c r="J45" s="221"/>
      <c r="K45" s="221"/>
      <c r="L45" s="227"/>
      <c r="M45" s="221"/>
      <c r="N45" s="221"/>
      <c r="O45" s="223"/>
      <c r="P45" s="221"/>
      <c r="Q45" s="226">
        <f t="shared" si="4"/>
        <v>0</v>
      </c>
      <c r="R45" s="226">
        <f t="shared" si="5"/>
        <v>0</v>
      </c>
      <c r="S45" s="98"/>
      <c r="U45" s="98"/>
      <c r="V45" s="98"/>
      <c r="W45" s="98"/>
      <c r="X45" s="98"/>
      <c r="Y45" s="98"/>
      <c r="Z45" s="98"/>
      <c r="AA45" s="98"/>
      <c r="AB45" s="98"/>
      <c r="AC45" s="98"/>
      <c r="AD45" s="98"/>
      <c r="AE45" s="98"/>
      <c r="AF45" s="98"/>
      <c r="AG45" s="98"/>
      <c r="AH45" s="98"/>
      <c r="AI45" s="98"/>
      <c r="AJ45" s="98"/>
      <c r="AK45" s="98"/>
      <c r="AL45" s="98"/>
      <c r="AM45" s="98"/>
      <c r="AN45" s="98"/>
      <c r="AO45" s="98"/>
    </row>
    <row r="46" spans="1:41" ht="15.75" customHeight="1">
      <c r="A46" s="65" t="s">
        <v>145</v>
      </c>
      <c r="B46" s="221">
        <f>('Pivot Table for Data Exchange'!$C$151)*100</f>
        <v>94.973720875211399</v>
      </c>
      <c r="C46" s="221">
        <f>('Pivot Table for Data Exchange'!$C$154)*100</f>
        <v>1.5704383943358367</v>
      </c>
      <c r="D46" s="227">
        <f t="shared" ref="D46:D47" si="8">SUM(E46:G46)</f>
        <v>3.4558407304527652</v>
      </c>
      <c r="E46" s="221">
        <f>('Pivot Table for Data Exchange'!$C$157)*100</f>
        <v>3.2957299708204451</v>
      </c>
      <c r="F46" s="221">
        <f>('Pivot Table for Data Exchange'!$C$160)*100</f>
        <v>0</v>
      </c>
      <c r="G46" s="223">
        <f>('Pivot Table for Data Exchange'!$C$163)*100</f>
        <v>0.16011075963232008</v>
      </c>
      <c r="H46" s="221">
        <f>('Pivot Table for Data Exchange'!$C$166)*100</f>
        <v>0</v>
      </c>
      <c r="I46" s="87" t="s">
        <v>145</v>
      </c>
      <c r="J46" s="221">
        <f>('Pivot Table for Data Exchange'!$C$169)*100</f>
        <v>86.975544957847092</v>
      </c>
      <c r="K46" s="221">
        <f>('Pivot Table for Data Exchange'!$C$172)*100</f>
        <v>9.4600359315420235</v>
      </c>
      <c r="L46" s="227">
        <f t="shared" ref="L46:L47" si="9">SUM(M46:O46)</f>
        <v>3.564419110610876</v>
      </c>
      <c r="M46" s="221">
        <f>('Pivot Table for Data Exchange'!$C$175)*100</f>
        <v>3.0482438950078903</v>
      </c>
      <c r="N46" s="221">
        <f>('Pivot Table for Data Exchange'!$C$178)*100</f>
        <v>0</v>
      </c>
      <c r="O46" s="223">
        <f>('Pivot Table for Data Exchange'!$C$181)*100</f>
        <v>0.51617521560298574</v>
      </c>
      <c r="P46" s="221">
        <f>('Pivot Table for Data Exchange'!$C$184)*100</f>
        <v>0</v>
      </c>
      <c r="Q46" s="226">
        <f t="shared" si="4"/>
        <v>100</v>
      </c>
      <c r="R46" s="226">
        <f t="shared" si="5"/>
        <v>99.999999999999986</v>
      </c>
      <c r="S46" s="98"/>
      <c r="T46" s="98"/>
      <c r="U46" s="98"/>
      <c r="V46" s="98"/>
      <c r="W46" s="98"/>
      <c r="X46" s="98"/>
      <c r="Y46" s="98"/>
      <c r="Z46" s="98"/>
      <c r="AA46" s="98"/>
      <c r="AB46" s="98"/>
      <c r="AC46" s="98"/>
      <c r="AD46" s="98"/>
      <c r="AE46" s="98"/>
      <c r="AF46" s="98"/>
      <c r="AG46" s="98"/>
      <c r="AH46" s="98"/>
      <c r="AI46" s="98"/>
      <c r="AJ46" s="98"/>
      <c r="AK46" s="98"/>
      <c r="AL46" s="98"/>
      <c r="AM46" s="98"/>
      <c r="AN46" s="98"/>
      <c r="AO46" s="98"/>
    </row>
    <row r="47" spans="1:41" ht="15.75" customHeight="1">
      <c r="A47" s="65" t="s">
        <v>146</v>
      </c>
      <c r="B47" s="221">
        <f>('Pivot Table for Data Exchange'!$C$187)*100</f>
        <v>90.983301241813706</v>
      </c>
      <c r="C47" s="221">
        <f>('Pivot Table for Data Exchange'!$C$190)*100</f>
        <v>1.6300652538514748</v>
      </c>
      <c r="D47" s="227">
        <f t="shared" si="8"/>
        <v>7.386633504334819</v>
      </c>
      <c r="E47" s="221">
        <f>('Pivot Table for Data Exchange'!$C$193)*100</f>
        <v>7.0616452799845488</v>
      </c>
      <c r="F47" s="221">
        <f>('Pivot Table for Data Exchange'!$C$196)*100</f>
        <v>0.32498822435026986</v>
      </c>
      <c r="G47" s="223">
        <f>('Pivot Table for Data Exchange'!$C$199)*100</f>
        <v>0</v>
      </c>
      <c r="H47" s="221">
        <f>('Pivot Table for Data Exchange'!$C$202)*100</f>
        <v>0</v>
      </c>
      <c r="I47" s="87" t="s">
        <v>146</v>
      </c>
      <c r="J47" s="221">
        <f>('Pivot Table for Data Exchange'!$C$205)*100</f>
        <v>81.149999682916146</v>
      </c>
      <c r="K47" s="221">
        <f>('Pivot Table for Data Exchange'!$C$208)*100</f>
        <v>4.016183959362535</v>
      </c>
      <c r="L47" s="227">
        <f t="shared" si="9"/>
        <v>14.833816357721307</v>
      </c>
      <c r="M47" s="221">
        <f>('Pivot Table for Data Exchange'!$C$211)*100</f>
        <v>14.362629766562874</v>
      </c>
      <c r="N47" s="221">
        <f>('Pivot Table for Data Exchange'!$C$214)*100</f>
        <v>0.47118659115843409</v>
      </c>
      <c r="O47" s="223">
        <f>('Pivot Table for Data Exchange'!$C$217)*100</f>
        <v>0</v>
      </c>
      <c r="P47" s="221">
        <f>('Pivot Table for Data Exchange'!$C$220)*100</f>
        <v>0</v>
      </c>
      <c r="Q47" s="226">
        <f t="shared" si="4"/>
        <v>100</v>
      </c>
      <c r="R47" s="226">
        <f t="shared" si="5"/>
        <v>99.999999999999986</v>
      </c>
      <c r="S47" s="98"/>
      <c r="T47" s="98"/>
      <c r="U47" s="98"/>
      <c r="V47" s="98"/>
      <c r="W47" s="98"/>
      <c r="X47" s="98"/>
      <c r="Y47" s="98"/>
      <c r="Z47" s="98"/>
      <c r="AA47" s="98"/>
      <c r="AB47" s="98"/>
      <c r="AC47" s="98"/>
      <c r="AD47" s="98"/>
      <c r="AE47" s="98"/>
      <c r="AF47" s="98"/>
      <c r="AG47" s="98"/>
      <c r="AH47" s="98"/>
      <c r="AI47" s="98"/>
      <c r="AJ47" s="98"/>
      <c r="AK47" s="98"/>
      <c r="AL47" s="98"/>
      <c r="AM47" s="98"/>
      <c r="AN47" s="98"/>
      <c r="AO47" s="98"/>
    </row>
    <row r="48" spans="1:41" ht="15.75" customHeight="1">
      <c r="A48" s="222" t="s">
        <v>147</v>
      </c>
      <c r="B48" s="221">
        <f>('Pivot Table for Data Exchange'!$C$223)*100</f>
        <v>0</v>
      </c>
      <c r="C48" s="221">
        <f>('Pivot Table for Data Exchange'!$C$226)*100</f>
        <v>0</v>
      </c>
      <c r="D48" s="227">
        <f>SUM(E48:G48)</f>
        <v>0</v>
      </c>
      <c r="E48" s="221">
        <f>('Pivot Table for Data Exchange'!$C$229)*100</f>
        <v>0</v>
      </c>
      <c r="F48" s="221">
        <f>('Pivot Table for Data Exchange'!$C$232)*100</f>
        <v>0</v>
      </c>
      <c r="G48" s="223">
        <f>('Pivot Table for Data Exchange'!$C$235)*100</f>
        <v>0</v>
      </c>
      <c r="H48" s="221">
        <f>('Pivot Table for Data Exchange'!$C$238)*100</f>
        <v>0</v>
      </c>
      <c r="I48" s="87" t="s">
        <v>147</v>
      </c>
      <c r="J48" s="221">
        <f>('Pivot Table for Data Exchange'!$C$241)*100</f>
        <v>0</v>
      </c>
      <c r="K48" s="221">
        <f>('Pivot Table for Data Exchange'!$C$244)*100</f>
        <v>0</v>
      </c>
      <c r="L48" s="227">
        <f>SUM(M48:O48)</f>
        <v>0</v>
      </c>
      <c r="M48" s="221">
        <f>('Pivot Table for Data Exchange'!$C$247)*100</f>
        <v>0</v>
      </c>
      <c r="N48" s="221">
        <f>('Pivot Table for Data Exchange'!$C$250)*100</f>
        <v>0</v>
      </c>
      <c r="O48" s="223">
        <f>('Pivot Table for Data Exchange'!$C$253)*100</f>
        <v>0</v>
      </c>
      <c r="P48" s="221">
        <f>('Pivot Table for Data Exchange'!$C$256)*100</f>
        <v>0</v>
      </c>
      <c r="Q48" s="226">
        <f t="shared" si="4"/>
        <v>0</v>
      </c>
      <c r="R48" s="226">
        <f t="shared" si="5"/>
        <v>0</v>
      </c>
      <c r="S48" s="98"/>
      <c r="T48" s="104"/>
      <c r="U48" s="98"/>
      <c r="V48" s="98"/>
      <c r="W48" s="98"/>
      <c r="X48" s="98"/>
      <c r="Y48" s="98"/>
      <c r="Z48" s="98"/>
      <c r="AA48" s="98"/>
      <c r="AB48" s="98"/>
      <c r="AC48" s="98"/>
      <c r="AD48" s="98"/>
      <c r="AE48" s="98"/>
      <c r="AF48" s="98"/>
      <c r="AG48" s="98"/>
      <c r="AH48" s="98"/>
      <c r="AI48" s="98"/>
      <c r="AJ48" s="98"/>
      <c r="AK48" s="98"/>
      <c r="AL48" s="98"/>
      <c r="AM48" s="98"/>
      <c r="AN48" s="98"/>
      <c r="AO48" s="98"/>
    </row>
    <row r="49" spans="1:41" ht="15.75" customHeight="1">
      <c r="A49" s="65" t="s">
        <v>177</v>
      </c>
      <c r="B49" s="221">
        <f>('Pivot Table for Data Exchange'!$C$259)*100</f>
        <v>94.767651532829774</v>
      </c>
      <c r="C49" s="221">
        <f>('Pivot Table for Data Exchange'!$C$262)*100</f>
        <v>2.536809253257895</v>
      </c>
      <c r="D49" s="227">
        <f>SUM(E49:G49)</f>
        <v>2.6955392139123315</v>
      </c>
      <c r="E49" s="221">
        <f>('Pivot Table for Data Exchange'!$C$265)*100</f>
        <v>2.5974560778475619</v>
      </c>
      <c r="F49" s="221">
        <f>('Pivot Table for Data Exchange'!$C$268)*100</f>
        <v>9.8083136064769802E-2</v>
      </c>
      <c r="G49" s="223">
        <f>('Pivot Table for Data Exchange'!$C$271)*100</f>
        <v>0</v>
      </c>
      <c r="H49" s="221">
        <f>('Pivot Table for Data Exchange'!$C$274)*100</f>
        <v>0</v>
      </c>
      <c r="I49" s="87" t="s">
        <v>177</v>
      </c>
      <c r="J49" s="221">
        <f>('Pivot Table for Data Exchange'!$C$277)*100</f>
        <v>75.759194655063652</v>
      </c>
      <c r="K49" s="221">
        <f>('Pivot Table for Data Exchange'!$C$280)*100</f>
        <v>19.030393532524041</v>
      </c>
      <c r="L49" s="227">
        <f>SUM(M49:O49)</f>
        <v>5.2104118124123016</v>
      </c>
      <c r="M49" s="221">
        <f>('Pivot Table for Data Exchange'!$C$283)*100</f>
        <v>4.64978566187356</v>
      </c>
      <c r="N49" s="221">
        <f>('Pivot Table for Data Exchange'!$C$286)*100</f>
        <v>0.56062615053874176</v>
      </c>
      <c r="O49" s="223">
        <f>('Pivot Table for Data Exchange'!$C$289)*100</f>
        <v>0</v>
      </c>
      <c r="P49" s="221">
        <f>('Pivot Table for Data Exchange'!$C$292)*100</f>
        <v>0</v>
      </c>
      <c r="Q49" s="226">
        <f t="shared" si="4"/>
        <v>100</v>
      </c>
      <c r="R49" s="226">
        <f t="shared" si="5"/>
        <v>100</v>
      </c>
      <c r="S49" s="98"/>
      <c r="U49" s="98"/>
      <c r="V49" s="98"/>
      <c r="W49" s="98"/>
      <c r="X49" s="98"/>
      <c r="Y49" s="98"/>
      <c r="Z49" s="98"/>
      <c r="AA49" s="98"/>
      <c r="AB49" s="98"/>
      <c r="AC49" s="98"/>
      <c r="AD49" s="98"/>
      <c r="AE49" s="98"/>
      <c r="AF49" s="98"/>
      <c r="AG49" s="98"/>
      <c r="AH49" s="98"/>
      <c r="AI49" s="98"/>
      <c r="AJ49" s="98"/>
      <c r="AK49" s="98"/>
      <c r="AL49" s="98"/>
      <c r="AM49" s="98"/>
      <c r="AN49" s="98"/>
      <c r="AO49" s="98"/>
    </row>
    <row r="50" spans="1:41" ht="12" customHeight="1">
      <c r="A50" s="65"/>
      <c r="B50" s="221"/>
      <c r="C50" s="221"/>
      <c r="D50" s="227"/>
      <c r="E50" s="221"/>
      <c r="F50" s="221"/>
      <c r="G50" s="223"/>
      <c r="H50" s="221"/>
      <c r="I50" s="87"/>
      <c r="J50" s="221"/>
      <c r="K50" s="221"/>
      <c r="L50" s="227"/>
      <c r="M50" s="221"/>
      <c r="N50" s="221"/>
      <c r="O50" s="223"/>
      <c r="P50" s="221"/>
      <c r="Q50" s="226">
        <f t="shared" si="4"/>
        <v>0</v>
      </c>
      <c r="R50" s="226">
        <f t="shared" si="5"/>
        <v>0</v>
      </c>
      <c r="S50" s="98"/>
      <c r="U50" s="98"/>
      <c r="V50" s="98"/>
      <c r="W50" s="98"/>
      <c r="X50" s="98"/>
      <c r="Y50" s="98"/>
      <c r="Z50" s="98"/>
      <c r="AA50" s="98"/>
      <c r="AB50" s="98"/>
      <c r="AC50" s="98"/>
      <c r="AD50" s="98"/>
      <c r="AE50" s="98"/>
      <c r="AF50" s="98"/>
      <c r="AG50" s="98"/>
      <c r="AH50" s="98"/>
      <c r="AI50" s="98"/>
      <c r="AJ50" s="98"/>
      <c r="AK50" s="98"/>
      <c r="AL50" s="98"/>
      <c r="AM50" s="98"/>
      <c r="AN50" s="98"/>
      <c r="AO50" s="98"/>
    </row>
    <row r="51" spans="1:41" ht="15.75" customHeight="1">
      <c r="A51" s="65" t="s">
        <v>148</v>
      </c>
      <c r="B51" s="221">
        <f>('Pivot Table for Data Exchange'!$C$295)*100</f>
        <v>83.728080079205753</v>
      </c>
      <c r="C51" s="221">
        <f>('Pivot Table for Data Exchange'!$C$298)*100</f>
        <v>6.4264108525785293</v>
      </c>
      <c r="D51" s="227">
        <f>SUM(E51:G51)</f>
        <v>9.845509068215712</v>
      </c>
      <c r="E51" s="221">
        <f>('Pivot Table for Data Exchange'!$C$301)*100</f>
        <v>9.0309949603102719</v>
      </c>
      <c r="F51" s="221">
        <f>('Pivot Table for Data Exchange'!$C$304)*100</f>
        <v>0.81451410790543943</v>
      </c>
      <c r="G51" s="232">
        <f>('Pivot Table for Data Exchange'!$C$307)*100</f>
        <v>0</v>
      </c>
      <c r="H51" s="221">
        <f>('Pivot Table for Data Exchange'!$C$310)*100</f>
        <v>0</v>
      </c>
      <c r="I51" s="87" t="s">
        <v>148</v>
      </c>
      <c r="J51" s="221">
        <f>('Pivot Table for Data Exchange'!$C$313)*100</f>
        <v>65.11719433269198</v>
      </c>
      <c r="K51" s="221">
        <f>('Pivot Table for Data Exchange'!$C$316)*100</f>
        <v>8.3776456183312913</v>
      </c>
      <c r="L51" s="227">
        <f>SUM(M51:O51)</f>
        <v>26.505160048976737</v>
      </c>
      <c r="M51" s="221">
        <f>('Pivot Table for Data Exchange'!$C$319)*100</f>
        <v>25.68392513556061</v>
      </c>
      <c r="N51" s="221">
        <f>('Pivot Table for Data Exchange'!$C$322)*100</f>
        <v>0.82123491341612731</v>
      </c>
      <c r="O51" s="223">
        <f>('Pivot Table for Data Exchange'!$C$325)*100</f>
        <v>0</v>
      </c>
      <c r="P51" s="67">
        <f>('Pivot Table for Data Exchange'!$C$328)*100</f>
        <v>0</v>
      </c>
      <c r="Q51" s="226">
        <f t="shared" si="4"/>
        <v>100</v>
      </c>
      <c r="R51" s="226">
        <f t="shared" si="5"/>
        <v>100</v>
      </c>
      <c r="S51" s="98"/>
      <c r="T51" s="98"/>
      <c r="U51" s="98"/>
      <c r="V51" s="98"/>
      <c r="W51" s="98"/>
      <c r="X51" s="98"/>
      <c r="Y51" s="98"/>
      <c r="Z51" s="98"/>
      <c r="AA51" s="98"/>
      <c r="AB51" s="98"/>
      <c r="AC51" s="98"/>
      <c r="AD51" s="98"/>
      <c r="AE51" s="98"/>
      <c r="AF51" s="98"/>
      <c r="AG51" s="98"/>
      <c r="AH51" s="98"/>
      <c r="AI51" s="98"/>
      <c r="AJ51" s="98"/>
      <c r="AK51" s="98"/>
      <c r="AL51" s="98"/>
      <c r="AM51" s="98"/>
      <c r="AN51" s="98"/>
      <c r="AO51" s="98"/>
    </row>
    <row r="52" spans="1:41" ht="15.75" customHeight="1">
      <c r="A52" s="65" t="s">
        <v>149</v>
      </c>
      <c r="B52" s="221">
        <f>('Pivot Table for Data Exchange'!$C$331)*100</f>
        <v>89.325722710302188</v>
      </c>
      <c r="C52" s="221">
        <f>('Pivot Table for Data Exchange'!$C$334)*100</f>
        <v>0.18334163905352638</v>
      </c>
      <c r="D52" s="227">
        <f>SUM(E52:G52)</f>
        <v>10.490935650644287</v>
      </c>
      <c r="E52" s="221">
        <f>('Pivot Table for Data Exchange'!$C$337)*100</f>
        <v>10.429971964814987</v>
      </c>
      <c r="F52" s="67">
        <f>('Pivot Table for Data Exchange'!$C$340)*100</f>
        <v>1.4779075352557545E-2</v>
      </c>
      <c r="G52" s="68">
        <f>('Pivot Table for Data Exchange'!$C$343)*100</f>
        <v>4.6184610476742334E-2</v>
      </c>
      <c r="H52" s="221">
        <f>('Pivot Table for Data Exchange'!$C$346)*100</f>
        <v>0</v>
      </c>
      <c r="I52" s="87" t="s">
        <v>149</v>
      </c>
      <c r="J52" s="221">
        <f>('Pivot Table for Data Exchange'!$C$349)*100</f>
        <v>82.430993423642619</v>
      </c>
      <c r="K52" s="221">
        <f>('Pivot Table for Data Exchange'!$C$352)*100</f>
        <v>4.2233250940632079</v>
      </c>
      <c r="L52" s="227">
        <f>SUM(M52:O52)</f>
        <v>13.345681482294175</v>
      </c>
      <c r="M52" s="221">
        <f>('Pivot Table for Data Exchange'!$C$355)*100</f>
        <v>13.083444660286073</v>
      </c>
      <c r="N52" s="67">
        <f>('Pivot Table for Data Exchange'!$C$358)*100</f>
        <v>1.9361209172050156E-2</v>
      </c>
      <c r="O52" s="223">
        <f>('Pivot Table for Data Exchange'!$C$361)*100</f>
        <v>0.24287561283605144</v>
      </c>
      <c r="P52" s="221">
        <f>('Pivot Table for Data Exchange'!$C$364)*100</f>
        <v>0</v>
      </c>
      <c r="Q52" s="226">
        <f t="shared" si="4"/>
        <v>100</v>
      </c>
      <c r="R52" s="226">
        <f t="shared" si="5"/>
        <v>100</v>
      </c>
      <c r="S52" s="98"/>
      <c r="T52" s="98"/>
      <c r="U52" s="98"/>
      <c r="V52" s="98"/>
      <c r="W52" s="98"/>
      <c r="X52" s="98"/>
      <c r="Y52" s="98"/>
      <c r="Z52" s="98"/>
      <c r="AA52" s="98"/>
      <c r="AB52" s="98"/>
      <c r="AC52" s="98"/>
      <c r="AD52" s="98"/>
      <c r="AE52" s="98"/>
      <c r="AF52" s="98"/>
      <c r="AG52" s="98"/>
      <c r="AH52" s="98"/>
      <c r="AI52" s="98"/>
      <c r="AJ52" s="98"/>
      <c r="AK52" s="98"/>
      <c r="AL52" s="98"/>
      <c r="AM52" s="98"/>
      <c r="AN52" s="98"/>
      <c r="AO52" s="98"/>
    </row>
    <row r="53" spans="1:41" ht="15.75" customHeight="1">
      <c r="A53" s="65" t="s">
        <v>150</v>
      </c>
      <c r="B53" s="221">
        <f>('Pivot Table for Data Exchange'!$C$367)*100</f>
        <v>86.651818634405259</v>
      </c>
      <c r="C53" s="221">
        <f>('Pivot Table for Data Exchange'!$C$370)*100</f>
        <v>1.1841991982062579</v>
      </c>
      <c r="D53" s="227">
        <f>SUM(E53:G53)</f>
        <v>12.021590785735409</v>
      </c>
      <c r="E53" s="221">
        <f>('Pivot Table for Data Exchange'!$C$373)*100</f>
        <v>10.279055665148174</v>
      </c>
      <c r="F53" s="221">
        <f>('Pivot Table for Data Exchange'!$C$376)*100</f>
        <v>1.5258786229510652</v>
      </c>
      <c r="G53" s="223">
        <f>('Pivot Table for Data Exchange'!$C$379)*100</f>
        <v>0.21665649763616832</v>
      </c>
      <c r="H53" s="221">
        <f>('Pivot Table for Data Exchange'!$C$382)*100</f>
        <v>0.14239138165307261</v>
      </c>
      <c r="I53" s="87" t="s">
        <v>150</v>
      </c>
      <c r="J53" s="221">
        <f>('Pivot Table for Data Exchange'!$C$385)*100</f>
        <v>61.115939392714459</v>
      </c>
      <c r="K53" s="221">
        <f>('Pivot Table for Data Exchange'!$C$388)*100</f>
        <v>10.868349603519482</v>
      </c>
      <c r="L53" s="227">
        <f>SUM(M53:O53)</f>
        <v>27.778563777108559</v>
      </c>
      <c r="M53" s="221">
        <f>('Pivot Table for Data Exchange'!$C$391)*100</f>
        <v>25.539813111816269</v>
      </c>
      <c r="N53" s="221">
        <f>('Pivot Table for Data Exchange'!$C$394)*100</f>
        <v>0.417702501499013</v>
      </c>
      <c r="O53" s="223">
        <f>('Pivot Table for Data Exchange'!$C$397)*100</f>
        <v>1.8210481637932776</v>
      </c>
      <c r="P53" s="221">
        <f>('Pivot Table for Data Exchange'!$C$400)*100</f>
        <v>0.23714722665750415</v>
      </c>
      <c r="Q53" s="226">
        <f t="shared" si="4"/>
        <v>100</v>
      </c>
      <c r="R53" s="226">
        <f t="shared" si="5"/>
        <v>100</v>
      </c>
      <c r="S53" s="98"/>
      <c r="T53" s="104"/>
      <c r="U53" s="98"/>
      <c r="V53" s="98"/>
      <c r="W53" s="98"/>
      <c r="X53" s="98"/>
      <c r="Y53" s="98"/>
      <c r="Z53" s="98"/>
      <c r="AA53" s="98"/>
      <c r="AB53" s="98"/>
      <c r="AC53" s="98"/>
      <c r="AD53" s="98"/>
      <c r="AE53" s="98"/>
      <c r="AF53" s="98"/>
      <c r="AG53" s="98"/>
      <c r="AH53" s="98"/>
      <c r="AI53" s="98"/>
      <c r="AJ53" s="98"/>
      <c r="AK53" s="98"/>
      <c r="AL53" s="98"/>
      <c r="AM53" s="98"/>
      <c r="AN53" s="98"/>
      <c r="AO53" s="98"/>
    </row>
    <row r="54" spans="1:41" ht="15.75" customHeight="1">
      <c r="A54" s="65" t="s">
        <v>151</v>
      </c>
      <c r="B54" s="221">
        <f>('Pivot Table for Data Exchange'!$C$403)*100</f>
        <v>87.81286108269353</v>
      </c>
      <c r="C54" s="221">
        <f>('Pivot Table for Data Exchange'!$C$406)*100</f>
        <v>4.1145797121601895</v>
      </c>
      <c r="D54" s="227">
        <f>SUM(E54:G54)</f>
        <v>8.0725592051462876</v>
      </c>
      <c r="E54" s="221">
        <f>('Pivot Table for Data Exchange'!$C$409)*100</f>
        <v>6.9097446390083528</v>
      </c>
      <c r="F54" s="221">
        <f>('Pivot Table for Data Exchange'!$C$412)*100</f>
        <v>0.85756001628907141</v>
      </c>
      <c r="G54" s="223">
        <f>('Pivot Table for Data Exchange'!$C$415)*100</f>
        <v>0.30525454984886258</v>
      </c>
      <c r="H54" s="221">
        <f>('Pivot Table for Data Exchange'!$C$418)*100</f>
        <v>0</v>
      </c>
      <c r="I54" s="87" t="s">
        <v>151</v>
      </c>
      <c r="J54" s="221">
        <f>('Pivot Table for Data Exchange'!$C$421)*100</f>
        <v>69.84900240664544</v>
      </c>
      <c r="K54" s="221">
        <f>('Pivot Table for Data Exchange'!$C$424)*100</f>
        <v>12.020805838056052</v>
      </c>
      <c r="L54" s="227">
        <f>SUM(M54:O54)</f>
        <v>18.130191755298501</v>
      </c>
      <c r="M54" s="221">
        <f>('Pivot Table for Data Exchange'!$C$427)*100</f>
        <v>15.269777191211862</v>
      </c>
      <c r="N54" s="221">
        <f>('Pivot Table for Data Exchange'!$C$430)*100</f>
        <v>1.3209378153870042</v>
      </c>
      <c r="O54" s="223">
        <f>('Pivot Table for Data Exchange'!$C$433)*100</f>
        <v>1.5394767486996352</v>
      </c>
      <c r="P54" s="221">
        <f>('Pivot Table for Data Exchange'!$C$436)*100</f>
        <v>0</v>
      </c>
      <c r="Q54" s="226">
        <f t="shared" si="4"/>
        <v>100.00000000000001</v>
      </c>
      <c r="R54" s="226">
        <f t="shared" si="5"/>
        <v>99.999999999999986</v>
      </c>
      <c r="S54" s="98"/>
      <c r="T54" s="98"/>
      <c r="U54" s="98"/>
      <c r="V54" s="98"/>
      <c r="W54" s="98"/>
      <c r="X54" s="98"/>
      <c r="Y54" s="98"/>
      <c r="Z54" s="98"/>
      <c r="AA54" s="98"/>
      <c r="AB54" s="98"/>
      <c r="AC54" s="98"/>
      <c r="AD54" s="98"/>
      <c r="AE54" s="98"/>
      <c r="AF54" s="98"/>
      <c r="AG54" s="98"/>
      <c r="AH54" s="98"/>
      <c r="AI54" s="98"/>
      <c r="AJ54" s="98"/>
      <c r="AK54" s="98"/>
      <c r="AL54" s="98"/>
      <c r="AM54" s="98"/>
      <c r="AN54" s="98"/>
      <c r="AO54" s="98"/>
    </row>
    <row r="55" spans="1:41" ht="14.25" customHeight="1">
      <c r="A55" s="65"/>
      <c r="B55" s="221"/>
      <c r="C55" s="221"/>
      <c r="D55" s="227"/>
      <c r="E55" s="221"/>
      <c r="F55" s="221"/>
      <c r="G55" s="223"/>
      <c r="H55" s="221"/>
      <c r="I55" s="87"/>
      <c r="J55" s="221"/>
      <c r="K55" s="221"/>
      <c r="L55" s="227"/>
      <c r="M55" s="221"/>
      <c r="N55" s="221"/>
      <c r="O55" s="223"/>
      <c r="P55" s="221"/>
      <c r="Q55" s="226">
        <f t="shared" si="4"/>
        <v>0</v>
      </c>
      <c r="R55" s="226">
        <f t="shared" si="5"/>
        <v>0</v>
      </c>
      <c r="S55" s="98"/>
      <c r="T55" s="98"/>
      <c r="U55" s="98"/>
      <c r="V55" s="98"/>
      <c r="W55" s="98"/>
      <c r="X55" s="98"/>
      <c r="Y55" s="98"/>
      <c r="Z55" s="98"/>
      <c r="AA55" s="98"/>
      <c r="AB55" s="98"/>
      <c r="AC55" s="98"/>
      <c r="AD55" s="98"/>
      <c r="AE55" s="98"/>
      <c r="AF55" s="98"/>
      <c r="AG55" s="98"/>
      <c r="AH55" s="98"/>
      <c r="AI55" s="98"/>
      <c r="AJ55" s="98"/>
      <c r="AK55" s="98"/>
      <c r="AL55" s="98"/>
      <c r="AM55" s="98"/>
      <c r="AN55" s="98"/>
      <c r="AO55" s="98"/>
    </row>
    <row r="56" spans="1:41" ht="15.75" customHeight="1">
      <c r="A56" s="65" t="s">
        <v>152</v>
      </c>
      <c r="B56" s="221">
        <f>('Pivot Table for Data Exchange'!$C$439)*100</f>
        <v>87.317172311810992</v>
      </c>
      <c r="C56" s="221">
        <f>('Pivot Table for Data Exchange'!$C$442)*100</f>
        <v>1.8827159566810137</v>
      </c>
      <c r="D56" s="227">
        <f>SUM(E56:G56)</f>
        <v>10.19529986794457</v>
      </c>
      <c r="E56" s="221">
        <f>('Pivot Table for Data Exchange'!$C$445)*100</f>
        <v>7.7124775861188617</v>
      </c>
      <c r="F56" s="234">
        <f>('Pivot Table for Data Exchange'!$C$448)*100</f>
        <v>3.0035351608843609E-4</v>
      </c>
      <c r="G56" s="223">
        <f>('Pivot Table for Data Exchange'!$C$451)*100</f>
        <v>2.4825219283096205</v>
      </c>
      <c r="H56" s="221">
        <f>('Pivot Table for Data Exchange'!$C$454)*100</f>
        <v>0.60481186356341421</v>
      </c>
      <c r="I56" s="87" t="s">
        <v>152</v>
      </c>
      <c r="J56" s="221">
        <f>('Pivot Table for Data Exchange'!$C$457)*100</f>
        <v>71.110061099796326</v>
      </c>
      <c r="K56" s="221">
        <f>('Pivot Table for Data Exchange'!$C$460)*100</f>
        <v>2.1435437881873729</v>
      </c>
      <c r="L56" s="227">
        <f>SUM(M56:O56)</f>
        <v>22.192097759674134</v>
      </c>
      <c r="M56" s="221">
        <f>('Pivot Table for Data Exchange'!$C$463)*100</f>
        <v>19.248879837067211</v>
      </c>
      <c r="N56" s="221">
        <f>('Pivot Table for Data Exchange'!$C$466)*100</f>
        <v>0.24114052953156823</v>
      </c>
      <c r="O56" s="223">
        <f>('Pivot Table for Data Exchange'!$C$469)*100</f>
        <v>2.7020773930753563</v>
      </c>
      <c r="P56" s="221">
        <f>('Pivot Table for Data Exchange'!$C$472)*100</f>
        <v>4.554297352342159</v>
      </c>
      <c r="Q56" s="226">
        <f t="shared" si="4"/>
        <v>99.999999999999986</v>
      </c>
      <c r="R56" s="226">
        <f t="shared" si="5"/>
        <v>100</v>
      </c>
      <c r="S56" s="98"/>
      <c r="T56" s="98"/>
      <c r="U56" s="98"/>
      <c r="V56" s="98"/>
      <c r="W56" s="98"/>
      <c r="X56" s="98"/>
      <c r="Y56" s="98"/>
      <c r="Z56" s="98"/>
      <c r="AA56" s="98"/>
      <c r="AB56" s="98"/>
      <c r="AC56" s="98"/>
      <c r="AD56" s="98"/>
      <c r="AE56" s="98"/>
      <c r="AF56" s="98"/>
      <c r="AG56" s="98"/>
      <c r="AH56" s="98"/>
      <c r="AI56" s="98"/>
      <c r="AJ56" s="98"/>
      <c r="AK56" s="98"/>
      <c r="AL56" s="98"/>
      <c r="AM56" s="98"/>
      <c r="AN56" s="98"/>
      <c r="AO56" s="98"/>
    </row>
    <row r="57" spans="1:41" ht="15.75" customHeight="1">
      <c r="A57" s="65" t="s">
        <v>153</v>
      </c>
      <c r="B57" s="221">
        <f>('Pivot Table for Data Exchange'!$C$475)*100</f>
        <v>87.652971277046348</v>
      </c>
      <c r="C57" s="221">
        <f>('Pivot Table for Data Exchange'!$C$478)*100</f>
        <v>0.65449443384034089</v>
      </c>
      <c r="D57" s="227">
        <f>SUM(E57:G57)</f>
        <v>11.692534289113317</v>
      </c>
      <c r="E57" s="221">
        <f>('Pivot Table for Data Exchange'!$C$481)*100</f>
        <v>11.301852348197043</v>
      </c>
      <c r="F57" s="221">
        <f>('Pivot Table for Data Exchange'!$C$484)*100</f>
        <v>0.24621534782122748</v>
      </c>
      <c r="G57" s="223">
        <f>('Pivot Table for Data Exchange'!$C$487)*100</f>
        <v>0.14446659309504664</v>
      </c>
      <c r="H57" s="221">
        <f>('Pivot Table for Data Exchange'!$C$490)*100</f>
        <v>0</v>
      </c>
      <c r="I57" s="87" t="s">
        <v>153</v>
      </c>
      <c r="J57" s="221">
        <f>('Pivot Table for Data Exchange'!$C$493)*100</f>
        <v>84.526214414241977</v>
      </c>
      <c r="K57" s="221">
        <f>('Pivot Table for Data Exchange'!$C$496)*100</f>
        <v>1.7613651549913394</v>
      </c>
      <c r="L57" s="227">
        <f>SUM(M57:O57)</f>
        <v>13.712420430766684</v>
      </c>
      <c r="M57" s="221">
        <f>('Pivot Table for Data Exchange'!$C$499)*100</f>
        <v>13.069658806092916</v>
      </c>
      <c r="N57" s="221">
        <f>('Pivot Table for Data Exchange'!$C$502)*100</f>
        <v>0.21158109013406173</v>
      </c>
      <c r="O57" s="223">
        <f>('Pivot Table for Data Exchange'!$C$505)*100</f>
        <v>0.43118053453970767</v>
      </c>
      <c r="P57" s="221">
        <f>('Pivot Table for Data Exchange'!$C$508)*100</f>
        <v>0</v>
      </c>
      <c r="Q57" s="226">
        <f t="shared" si="4"/>
        <v>100</v>
      </c>
      <c r="R57" s="226">
        <f t="shared" si="5"/>
        <v>100</v>
      </c>
      <c r="S57" s="98"/>
      <c r="T57" s="98"/>
      <c r="U57" s="98"/>
      <c r="V57" s="98"/>
      <c r="W57" s="98"/>
      <c r="X57" s="98"/>
      <c r="Y57" s="98"/>
      <c r="Z57" s="98"/>
      <c r="AA57" s="98"/>
      <c r="AB57" s="98"/>
      <c r="AC57" s="98"/>
      <c r="AD57" s="98"/>
      <c r="AE57" s="98"/>
      <c r="AF57" s="98"/>
      <c r="AG57" s="98"/>
      <c r="AH57" s="98"/>
      <c r="AI57" s="98"/>
      <c r="AJ57" s="98"/>
      <c r="AK57" s="98"/>
      <c r="AL57" s="98"/>
      <c r="AM57" s="98"/>
      <c r="AN57" s="98"/>
      <c r="AO57" s="98"/>
    </row>
    <row r="58" spans="1:41" ht="15.75" customHeight="1">
      <c r="A58" s="65" t="s">
        <v>154</v>
      </c>
      <c r="B58" s="221">
        <f>('Pivot Table for Data Exchange'!$C$511)*100</f>
        <v>91.094224580532796</v>
      </c>
      <c r="C58" s="221">
        <f>('Pivot Table for Data Exchange'!$C$514)*100</f>
        <v>2.3976669131843429</v>
      </c>
      <c r="D58" s="227">
        <f>SUM(E58:G58)</f>
        <v>6.5081085062828521</v>
      </c>
      <c r="E58" s="221">
        <f>('Pivot Table for Data Exchange'!$C$517)*100</f>
        <v>5.1979235594306399</v>
      </c>
      <c r="F58" s="221">
        <f>('Pivot Table for Data Exchange'!$C$520)*100</f>
        <v>1.310184946852212</v>
      </c>
      <c r="G58" s="223">
        <f>('Pivot Table for Data Exchange'!$C$523)*100</f>
        <v>0</v>
      </c>
      <c r="H58" s="221">
        <f>('Pivot Table for Data Exchange'!$C$526)*100</f>
        <v>0</v>
      </c>
      <c r="I58" s="87" t="s">
        <v>154</v>
      </c>
      <c r="J58" s="221">
        <f>('Pivot Table for Data Exchange'!$C$529)*100</f>
        <v>78.305439137811035</v>
      </c>
      <c r="K58" s="221">
        <f>('Pivot Table for Data Exchange'!$C$532)*100</f>
        <v>10.228058700055135</v>
      </c>
      <c r="L58" s="227">
        <f>SUM(M58:O58)</f>
        <v>11.466502162133814</v>
      </c>
      <c r="M58" s="221">
        <f>('Pivot Table for Data Exchange'!$C$535)*100</f>
        <v>7.8886703054200034</v>
      </c>
      <c r="N58" s="221">
        <f>('Pivot Table for Data Exchange'!$C$538)*100</f>
        <v>3.5778318567138117</v>
      </c>
      <c r="O58" s="223">
        <f>('Pivot Table for Data Exchange'!$C$541)*100</f>
        <v>0</v>
      </c>
      <c r="P58" s="221">
        <f>('Pivot Table for Data Exchange'!$C$544)*100</f>
        <v>0</v>
      </c>
      <c r="Q58" s="226">
        <f t="shared" si="4"/>
        <v>99.999999999999986</v>
      </c>
      <c r="R58" s="226">
        <f t="shared" si="5"/>
        <v>99.999999999999972</v>
      </c>
      <c r="S58" s="98"/>
      <c r="T58" s="98"/>
      <c r="U58" s="98"/>
      <c r="V58" s="98"/>
      <c r="W58" s="98"/>
      <c r="X58" s="98"/>
      <c r="Y58" s="98"/>
      <c r="Z58" s="98"/>
      <c r="AA58" s="98"/>
      <c r="AB58" s="98"/>
      <c r="AC58" s="98"/>
      <c r="AD58" s="98"/>
      <c r="AE58" s="98"/>
      <c r="AF58" s="98"/>
      <c r="AG58" s="98"/>
      <c r="AH58" s="98"/>
      <c r="AI58" s="98"/>
      <c r="AJ58" s="98"/>
      <c r="AK58" s="98"/>
      <c r="AL58" s="98"/>
      <c r="AM58" s="98"/>
      <c r="AN58" s="98"/>
      <c r="AO58" s="98"/>
    </row>
    <row r="59" spans="1:41" ht="15.75" customHeight="1">
      <c r="A59" s="39" t="s">
        <v>155</v>
      </c>
      <c r="B59" s="224">
        <f>('Pivot Table for Data Exchange'!$C$547)*100</f>
        <v>90.833935765258516</v>
      </c>
      <c r="C59" s="224">
        <f>('Pivot Table for Data Exchange'!$C$550)*100</f>
        <v>0.13573466198319589</v>
      </c>
      <c r="D59" s="228">
        <f>SUM(E59:G59)</f>
        <v>9.03032957275828</v>
      </c>
      <c r="E59" s="224">
        <f>('Pivot Table for Data Exchange'!$C$553)*100</f>
        <v>8.7200146383458677</v>
      </c>
      <c r="F59" s="383">
        <f>('Pivot Table for Data Exchange'!$C$556)*100</f>
        <v>0</v>
      </c>
      <c r="G59" s="225">
        <f>('Pivot Table for Data Exchange'!$C$559)*100</f>
        <v>0.31031493441241143</v>
      </c>
      <c r="H59" s="224">
        <f>('Pivot Table for Data Exchange'!$C$562)*100</f>
        <v>0</v>
      </c>
      <c r="I59" s="230" t="s">
        <v>155</v>
      </c>
      <c r="J59" s="224">
        <f>('Pivot Table for Data Exchange'!$C$565)*100</f>
        <v>66.354199920674077</v>
      </c>
      <c r="K59" s="224">
        <f>('Pivot Table for Data Exchange'!$C$568)*100</f>
        <v>6.2183784620444804</v>
      </c>
      <c r="L59" s="228">
        <f>SUM(M59:O59)</f>
        <v>27.427421617281443</v>
      </c>
      <c r="M59" s="224">
        <f>('Pivot Table for Data Exchange'!$C$571)*100</f>
        <v>26.785075117779648</v>
      </c>
      <c r="N59" s="224">
        <f>('Pivot Table for Data Exchange'!$C$574)*100</f>
        <v>0.38598833328496385</v>
      </c>
      <c r="O59" s="225">
        <f>('Pivot Table for Data Exchange'!$C$577)*100</f>
        <v>0.25635816621683066</v>
      </c>
      <c r="P59" s="224">
        <f>('Pivot Table for Data Exchange'!$C$580)*100</f>
        <v>0</v>
      </c>
      <c r="Q59" s="226">
        <f t="shared" si="4"/>
        <v>99.999999999999986</v>
      </c>
      <c r="R59" s="226">
        <f t="shared" si="5"/>
        <v>100</v>
      </c>
      <c r="S59" s="98"/>
      <c r="T59" s="98"/>
      <c r="U59" s="98"/>
      <c r="V59" s="98"/>
      <c r="W59" s="98"/>
      <c r="X59" s="98"/>
      <c r="Y59" s="98"/>
      <c r="Z59" s="98"/>
      <c r="AA59" s="98"/>
      <c r="AB59" s="98"/>
      <c r="AC59" s="98"/>
      <c r="AD59" s="98"/>
      <c r="AE59" s="98"/>
      <c r="AF59" s="98"/>
      <c r="AG59" s="98"/>
      <c r="AH59" s="98"/>
      <c r="AI59" s="98"/>
      <c r="AJ59" s="98"/>
      <c r="AK59" s="98"/>
      <c r="AL59" s="98"/>
      <c r="AM59" s="98"/>
      <c r="AN59" s="98"/>
      <c r="AO59" s="98"/>
    </row>
    <row r="60" spans="1:41" s="103" customFormat="1" ht="12" customHeight="1">
      <c r="A60" s="691" t="s">
        <v>175</v>
      </c>
      <c r="B60" s="69"/>
      <c r="C60" s="69"/>
      <c r="D60" s="70"/>
      <c r="E60" s="69"/>
      <c r="F60" s="70"/>
      <c r="G60" s="70"/>
      <c r="H60" s="69"/>
      <c r="I60" s="691" t="s">
        <v>175</v>
      </c>
      <c r="J60" s="69"/>
      <c r="K60" s="69"/>
      <c r="L60" s="70"/>
      <c r="M60" s="69"/>
      <c r="N60" s="70"/>
      <c r="O60" s="70"/>
      <c r="P60" s="69"/>
      <c r="Q60" s="226">
        <f t="shared" si="4"/>
        <v>0</v>
      </c>
      <c r="R60" s="226">
        <f t="shared" si="5"/>
        <v>0</v>
      </c>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row>
    <row r="61" spans="1:41" s="103" customFormat="1" ht="24" customHeight="1">
      <c r="A61" s="666" t="s">
        <v>178</v>
      </c>
      <c r="B61" s="680"/>
      <c r="C61" s="680"/>
      <c r="D61" s="680"/>
      <c r="E61" s="680"/>
      <c r="F61" s="680"/>
      <c r="G61" s="680"/>
      <c r="H61" s="680"/>
      <c r="I61" s="666" t="s">
        <v>178</v>
      </c>
      <c r="J61" s="680"/>
      <c r="K61" s="680"/>
      <c r="L61" s="680"/>
      <c r="M61" s="680"/>
      <c r="N61" s="680"/>
      <c r="O61" s="680"/>
      <c r="P61" s="680"/>
      <c r="Q61" s="226">
        <f t="shared" si="4"/>
        <v>0</v>
      </c>
      <c r="R61" s="226">
        <f t="shared" si="5"/>
        <v>0</v>
      </c>
    </row>
    <row r="62" spans="1:41" s="103" customFormat="1" ht="13.5" customHeight="1">
      <c r="A62" s="681"/>
      <c r="B62" s="682"/>
      <c r="C62" s="682"/>
      <c r="D62" s="682"/>
      <c r="E62" s="682"/>
      <c r="F62" s="682"/>
      <c r="G62" s="682"/>
      <c r="H62" s="682"/>
      <c r="I62" s="681"/>
      <c r="J62" s="682"/>
      <c r="K62" s="682"/>
      <c r="L62" s="682"/>
      <c r="M62" s="682"/>
      <c r="N62" s="682"/>
      <c r="O62" s="682"/>
      <c r="P62" s="682"/>
      <c r="Q62" s="226">
        <f t="shared" si="4"/>
        <v>0</v>
      </c>
      <c r="R62" s="226">
        <f t="shared" si="5"/>
        <v>0</v>
      </c>
    </row>
    <row r="63" spans="1:41" s="103" customFormat="1" ht="13.5" customHeight="1">
      <c r="A63" s="25"/>
      <c r="B63" s="25"/>
      <c r="C63" s="25"/>
      <c r="D63" s="25"/>
      <c r="E63" s="25"/>
      <c r="F63" s="25"/>
      <c r="G63" s="25"/>
      <c r="H63" s="27" t="s">
        <v>899</v>
      </c>
      <c r="I63" s="25"/>
      <c r="J63" s="25"/>
      <c r="K63" s="25"/>
      <c r="L63" s="25"/>
      <c r="M63" s="25"/>
      <c r="N63" s="25"/>
      <c r="O63" s="25"/>
      <c r="P63" s="27" t="s">
        <v>899</v>
      </c>
      <c r="Q63" s="226">
        <f t="shared" si="4"/>
        <v>0</v>
      </c>
      <c r="R63" s="226">
        <f t="shared" si="5"/>
        <v>0</v>
      </c>
    </row>
    <row r="64" spans="1:41" ht="18">
      <c r="A64" s="16" t="s">
        <v>202</v>
      </c>
      <c r="B64" s="34"/>
      <c r="C64" s="34"/>
      <c r="D64" s="34"/>
      <c r="E64" s="34"/>
      <c r="F64" s="34"/>
      <c r="G64" s="34"/>
      <c r="H64" s="35"/>
      <c r="I64" s="16" t="s">
        <v>217</v>
      </c>
      <c r="J64" s="19"/>
      <c r="K64" s="19"/>
      <c r="L64" s="34"/>
      <c r="M64" s="19"/>
      <c r="N64" s="19"/>
      <c r="O64" s="19"/>
      <c r="P64" s="19"/>
      <c r="Q64" s="226">
        <f t="shared" si="4"/>
        <v>0</v>
      </c>
      <c r="R64" s="226">
        <f t="shared" si="5"/>
        <v>0</v>
      </c>
    </row>
    <row r="65" spans="1:41">
      <c r="A65" s="18"/>
      <c r="B65" s="19"/>
      <c r="C65" s="19"/>
      <c r="D65" s="19"/>
      <c r="E65" s="19"/>
      <c r="F65" s="19"/>
      <c r="G65" s="19"/>
      <c r="H65" s="36"/>
      <c r="I65" s="18"/>
      <c r="J65" s="19"/>
      <c r="K65" s="19"/>
      <c r="L65" s="19"/>
      <c r="M65" s="19"/>
      <c r="N65" s="19"/>
      <c r="O65" s="19"/>
      <c r="P65" s="19"/>
      <c r="Q65" s="226">
        <f t="shared" si="4"/>
        <v>0</v>
      </c>
      <c r="R65" s="226">
        <f t="shared" si="5"/>
        <v>0</v>
      </c>
    </row>
    <row r="66" spans="1:41" ht="15.75">
      <c r="A66" s="37" t="s">
        <v>162</v>
      </c>
      <c r="B66" s="19"/>
      <c r="C66" s="19"/>
      <c r="D66" s="19"/>
      <c r="E66" s="19"/>
      <c r="F66" s="19"/>
      <c r="G66" s="19"/>
      <c r="H66" s="36"/>
      <c r="I66" s="37" t="s">
        <v>163</v>
      </c>
      <c r="J66" s="19"/>
      <c r="K66" s="19"/>
      <c r="L66" s="19"/>
      <c r="M66" s="19"/>
      <c r="N66" s="19"/>
      <c r="O66" s="19"/>
      <c r="P66" s="19"/>
      <c r="Q66" s="226">
        <f t="shared" si="4"/>
        <v>0</v>
      </c>
      <c r="R66" s="226">
        <f t="shared" si="5"/>
        <v>0</v>
      </c>
    </row>
    <row r="67" spans="1:41" ht="15.75">
      <c r="A67" s="37" t="s">
        <v>902</v>
      </c>
      <c r="B67" s="19"/>
      <c r="C67" s="19"/>
      <c r="D67" s="19"/>
      <c r="E67" s="19"/>
      <c r="F67" s="19"/>
      <c r="G67" s="19"/>
      <c r="H67" s="36"/>
      <c r="I67" s="37" t="s">
        <v>902</v>
      </c>
      <c r="J67" s="19"/>
      <c r="K67" s="19"/>
      <c r="L67" s="19"/>
      <c r="M67" s="19"/>
      <c r="N67" s="19"/>
      <c r="O67" s="19"/>
      <c r="P67" s="19"/>
      <c r="Q67" s="226">
        <f t="shared" si="4"/>
        <v>0</v>
      </c>
      <c r="R67" s="226">
        <f t="shared" si="5"/>
        <v>0</v>
      </c>
    </row>
    <row r="68" spans="1:41">
      <c r="A68" s="39"/>
      <c r="B68" s="40"/>
      <c r="C68" s="40"/>
      <c r="D68" s="40"/>
      <c r="E68" s="40"/>
      <c r="F68" s="40"/>
      <c r="G68" s="40"/>
      <c r="H68" s="40"/>
      <c r="I68" s="41"/>
      <c r="L68" s="42"/>
      <c r="P68" s="39"/>
      <c r="Q68" s="226">
        <f t="shared" si="4"/>
        <v>0</v>
      </c>
      <c r="R68" s="226">
        <f t="shared" si="5"/>
        <v>0</v>
      </c>
    </row>
    <row r="69" spans="1:41" s="57" customFormat="1">
      <c r="A69" s="43"/>
      <c r="B69" s="44" t="s">
        <v>164</v>
      </c>
      <c r="C69" s="44"/>
      <c r="D69" s="44"/>
      <c r="E69" s="44"/>
      <c r="F69" s="44"/>
      <c r="G69" s="44"/>
      <c r="H69" s="45"/>
      <c r="I69" s="43"/>
      <c r="J69" s="44" t="s">
        <v>164</v>
      </c>
      <c r="K69" s="44"/>
      <c r="L69" s="44"/>
      <c r="M69" s="44"/>
      <c r="N69" s="44"/>
      <c r="O69" s="44"/>
      <c r="P69" s="45"/>
      <c r="Q69" s="226">
        <f t="shared" si="4"/>
        <v>0</v>
      </c>
      <c r="R69" s="226">
        <f t="shared" si="5"/>
        <v>0</v>
      </c>
    </row>
    <row r="70" spans="1:41" s="57" customFormat="1">
      <c r="A70" s="43"/>
      <c r="B70" s="44" t="s">
        <v>165</v>
      </c>
      <c r="C70" s="44"/>
      <c r="D70" s="670" t="s">
        <v>166</v>
      </c>
      <c r="E70" s="668"/>
      <c r="F70" s="668"/>
      <c r="G70" s="668"/>
      <c r="H70" s="49" t="s">
        <v>39</v>
      </c>
      <c r="I70" s="43"/>
      <c r="J70" s="44" t="s">
        <v>165</v>
      </c>
      <c r="K70" s="44"/>
      <c r="L70" s="670" t="s">
        <v>166</v>
      </c>
      <c r="M70" s="668"/>
      <c r="N70" s="668"/>
      <c r="O70" s="668"/>
      <c r="P70" s="49" t="s">
        <v>39</v>
      </c>
      <c r="Q70" s="226">
        <f t="shared" si="4"/>
        <v>0</v>
      </c>
      <c r="R70" s="226">
        <f t="shared" si="5"/>
        <v>0</v>
      </c>
    </row>
    <row r="71" spans="1:41" s="57" customFormat="1" ht="40.5" customHeight="1">
      <c r="A71" s="43"/>
      <c r="B71" s="50" t="s">
        <v>167</v>
      </c>
      <c r="C71" s="51" t="s">
        <v>168</v>
      </c>
      <c r="D71" s="52" t="s">
        <v>169</v>
      </c>
      <c r="E71" s="53" t="s">
        <v>7</v>
      </c>
      <c r="F71" s="50" t="s">
        <v>170</v>
      </c>
      <c r="G71" s="54" t="s">
        <v>171</v>
      </c>
      <c r="H71" s="55" t="s">
        <v>172</v>
      </c>
      <c r="I71" s="43"/>
      <c r="J71" s="50" t="s">
        <v>167</v>
      </c>
      <c r="K71" s="51" t="s">
        <v>168</v>
      </c>
      <c r="L71" s="52" t="s">
        <v>169</v>
      </c>
      <c r="M71" s="53" t="s">
        <v>7</v>
      </c>
      <c r="N71" s="50" t="s">
        <v>170</v>
      </c>
      <c r="O71" s="54" t="s">
        <v>171</v>
      </c>
      <c r="P71" s="55" t="s">
        <v>172</v>
      </c>
      <c r="Q71" s="226">
        <f t="shared" si="4"/>
        <v>0</v>
      </c>
      <c r="R71" s="226">
        <f t="shared" si="5"/>
        <v>0</v>
      </c>
      <c r="T71" s="56"/>
    </row>
    <row r="72" spans="1:41" ht="15.75" customHeight="1">
      <c r="A72" s="62" t="s">
        <v>141</v>
      </c>
      <c r="B72" s="82">
        <f>('Pivot Table for Data Exchange'!$D$7)*100</f>
        <v>85.923185555909356</v>
      </c>
      <c r="C72" s="67">
        <f>('Pivot Table for Data Exchange'!$D$10)*100</f>
        <v>3.3543425367093899E-2</v>
      </c>
      <c r="D72" s="227">
        <f>SUM(E72:G72)</f>
        <v>14.043271018723551</v>
      </c>
      <c r="E72" s="221">
        <f>('Pivot Table for Data Exchange'!$D$13)*100</f>
        <v>14.018478052147874</v>
      </c>
      <c r="F72" s="67">
        <f>('Pivot Table for Data Exchange'!$D$16)*100</f>
        <v>2.4792966575678102E-2</v>
      </c>
      <c r="G72" s="60">
        <f>('Pivot Table for Data Exchange'!$D$19)*100</f>
        <v>0</v>
      </c>
      <c r="H72" s="221">
        <f>('Pivot Table for Data Exchange'!$D$22)*100</f>
        <v>0</v>
      </c>
      <c r="I72" s="229" t="s">
        <v>141</v>
      </c>
      <c r="J72" s="221">
        <f>('Pivot Table for Data Exchange'!$D$25)*100</f>
        <v>71.721511711452791</v>
      </c>
      <c r="K72" s="221">
        <f>('Pivot Table for Data Exchange'!$D$28)*100</f>
        <v>2.7561431240120706</v>
      </c>
      <c r="L72" s="227">
        <f>SUM(M72:O72)</f>
        <v>25.522345164535135</v>
      </c>
      <c r="M72" s="221">
        <f>('Pivot Table for Data Exchange'!$D$31)*100</f>
        <v>25.210518752694355</v>
      </c>
      <c r="N72" s="221">
        <f>('Pivot Table for Data Exchange'!$D$34)*100</f>
        <v>0.31182641184078175</v>
      </c>
      <c r="O72" s="60">
        <f>('Pivot Table for Data Exchange'!$D$37)*100</f>
        <v>0</v>
      </c>
      <c r="P72" s="221">
        <f>('Pivot Table for Data Exchange'!$D$40)*100</f>
        <v>0</v>
      </c>
      <c r="Q72" s="226">
        <f t="shared" si="4"/>
        <v>100</v>
      </c>
      <c r="R72" s="226">
        <f t="shared" si="5"/>
        <v>100</v>
      </c>
      <c r="S72" s="98"/>
      <c r="T72" s="98"/>
      <c r="U72" s="98"/>
      <c r="V72" s="98"/>
      <c r="W72" s="98"/>
      <c r="X72" s="98"/>
      <c r="Y72" s="98"/>
      <c r="Z72" s="98"/>
      <c r="AA72" s="98"/>
      <c r="AB72" s="98"/>
      <c r="AC72" s="98"/>
      <c r="AD72" s="98"/>
      <c r="AE72" s="98"/>
      <c r="AF72" s="98"/>
      <c r="AG72" s="98"/>
      <c r="AH72" s="98"/>
      <c r="AI72" s="98"/>
      <c r="AJ72" s="98"/>
      <c r="AK72" s="98"/>
      <c r="AL72" s="98"/>
      <c r="AM72" s="98"/>
      <c r="AN72" s="98"/>
      <c r="AO72" s="98"/>
    </row>
    <row r="73" spans="1:41" ht="15.75" customHeight="1">
      <c r="A73" s="65" t="s">
        <v>142</v>
      </c>
      <c r="B73" s="221">
        <f>('Pivot Table for Data Exchange'!$D$43)*100</f>
        <v>61.267628464905165</v>
      </c>
      <c r="C73" s="221">
        <f>('Pivot Table for Data Exchange'!$D$46)*100</f>
        <v>8.234258851863002</v>
      </c>
      <c r="D73" s="227">
        <f t="shared" ref="D73:D75" si="10">SUM(E73:G73)</f>
        <v>30.498112683231827</v>
      </c>
      <c r="E73" s="221">
        <f>('Pivot Table for Data Exchange'!$D$49)*100</f>
        <v>30.498112683231827</v>
      </c>
      <c r="F73" s="221">
        <f>('Pivot Table for Data Exchange'!$D$52)*100</f>
        <v>0</v>
      </c>
      <c r="G73" s="223">
        <f>('Pivot Table for Data Exchange'!$D$55)*100</f>
        <v>0</v>
      </c>
      <c r="H73" s="221">
        <f>('Pivot Table for Data Exchange'!$D$58)*100</f>
        <v>0</v>
      </c>
      <c r="I73" s="87" t="s">
        <v>142</v>
      </c>
      <c r="J73" s="221">
        <f>('Pivot Table for Data Exchange'!$D$61)*100</f>
        <v>49.512132344338625</v>
      </c>
      <c r="K73" s="221">
        <f>('Pivot Table for Data Exchange'!$D$64)*100</f>
        <v>28.331422420853126</v>
      </c>
      <c r="L73" s="227">
        <f t="shared" ref="L73:L75" si="11">SUM(M73:O73)</f>
        <v>22.156445234808245</v>
      </c>
      <c r="M73" s="221">
        <f>('Pivot Table for Data Exchange'!$D$67)*100</f>
        <v>22.156445234808245</v>
      </c>
      <c r="N73" s="221">
        <f>('Pivot Table for Data Exchange'!$D$70)*100</f>
        <v>0</v>
      </c>
      <c r="O73" s="223">
        <f>('Pivot Table for Data Exchange'!$D$73)*100</f>
        <v>0</v>
      </c>
      <c r="P73" s="221">
        <f>('Pivot Table for Data Exchange'!$D$76)*100</f>
        <v>0</v>
      </c>
      <c r="Q73" s="226">
        <f t="shared" si="4"/>
        <v>99.999999999999986</v>
      </c>
      <c r="R73" s="226">
        <f t="shared" si="5"/>
        <v>100</v>
      </c>
      <c r="S73" s="98"/>
      <c r="T73" s="98"/>
      <c r="U73" s="98"/>
      <c r="V73" s="98"/>
      <c r="W73" s="98"/>
      <c r="X73" s="98"/>
      <c r="Y73" s="98"/>
      <c r="Z73" s="98"/>
      <c r="AA73" s="98"/>
      <c r="AB73" s="98"/>
      <c r="AC73" s="98"/>
      <c r="AD73" s="98"/>
      <c r="AE73" s="98"/>
      <c r="AF73" s="98"/>
      <c r="AG73" s="98"/>
      <c r="AH73" s="98"/>
      <c r="AI73" s="98"/>
      <c r="AJ73" s="98"/>
      <c r="AK73" s="98"/>
      <c r="AL73" s="98"/>
      <c r="AM73" s="98"/>
      <c r="AN73" s="98"/>
      <c r="AO73" s="98"/>
    </row>
    <row r="74" spans="1:41" ht="15.75" customHeight="1">
      <c r="A74" s="65" t="s">
        <v>143</v>
      </c>
      <c r="B74" s="221">
        <f>('Pivot Table for Data Exchange'!$D$79)*100</f>
        <v>0</v>
      </c>
      <c r="C74" s="221">
        <f>('Pivot Table for Data Exchange'!$D$82)*100</f>
        <v>0</v>
      </c>
      <c r="D74" s="227">
        <f t="shared" si="10"/>
        <v>0</v>
      </c>
      <c r="E74" s="221">
        <f>('Pivot Table for Data Exchange'!$D$85)*100</f>
        <v>0</v>
      </c>
      <c r="F74" s="221">
        <f>('Pivot Table for Data Exchange'!$D$88)*100</f>
        <v>0</v>
      </c>
      <c r="G74" s="223">
        <f>('Pivot Table for Data Exchange'!$D$91)*100</f>
        <v>0</v>
      </c>
      <c r="H74" s="221">
        <f>('Pivot Table for Data Exchange'!$D$94)*100</f>
        <v>0</v>
      </c>
      <c r="I74" s="87" t="s">
        <v>143</v>
      </c>
      <c r="J74" s="221">
        <f>('Pivot Table for Data Exchange'!$D$97)*100</f>
        <v>0</v>
      </c>
      <c r="K74" s="221">
        <f>('Pivot Table for Data Exchange'!$D$100)*100</f>
        <v>0</v>
      </c>
      <c r="L74" s="227">
        <f t="shared" si="11"/>
        <v>0</v>
      </c>
      <c r="M74" s="221">
        <f>('Pivot Table for Data Exchange'!$D$103)*100</f>
        <v>0</v>
      </c>
      <c r="N74" s="221">
        <f>('Pivot Table for Data Exchange'!$D$106)*100</f>
        <v>0</v>
      </c>
      <c r="O74" s="223">
        <f>('Pivot Table for Data Exchange'!$D$109)*100</f>
        <v>0</v>
      </c>
      <c r="P74" s="221">
        <f>('Pivot Table for Data Exchange'!$D$112)*100</f>
        <v>0</v>
      </c>
      <c r="Q74" s="226">
        <f t="shared" si="4"/>
        <v>0</v>
      </c>
      <c r="R74" s="226">
        <f t="shared" si="5"/>
        <v>0</v>
      </c>
      <c r="S74" s="98"/>
      <c r="T74" s="104"/>
      <c r="U74" s="98"/>
      <c r="V74" s="98"/>
      <c r="W74" s="98"/>
      <c r="X74" s="98"/>
      <c r="Y74" s="98"/>
      <c r="Z74" s="98"/>
      <c r="AA74" s="98"/>
      <c r="AB74" s="98"/>
      <c r="AC74" s="98"/>
      <c r="AD74" s="98"/>
      <c r="AE74" s="98"/>
      <c r="AF74" s="98"/>
      <c r="AG74" s="98"/>
      <c r="AH74" s="98"/>
      <c r="AI74" s="98"/>
      <c r="AJ74" s="98"/>
      <c r="AK74" s="98"/>
      <c r="AL74" s="98"/>
      <c r="AM74" s="98"/>
      <c r="AN74" s="98"/>
      <c r="AO74" s="98"/>
    </row>
    <row r="75" spans="1:41" ht="15.75" customHeight="1">
      <c r="A75" s="65" t="s">
        <v>144</v>
      </c>
      <c r="B75" s="221">
        <f>('Pivot Table for Data Exchange'!$D$115)*100</f>
        <v>0</v>
      </c>
      <c r="C75" s="221">
        <f>('Pivot Table for Data Exchange'!$D$118)*100</f>
        <v>0</v>
      </c>
      <c r="D75" s="227">
        <f t="shared" si="10"/>
        <v>0</v>
      </c>
      <c r="E75" s="221">
        <f>('Pivot Table for Data Exchange'!$D$121)*100</f>
        <v>0</v>
      </c>
      <c r="F75" s="67">
        <f>('Pivot Table for Data Exchange'!$D$124)*100</f>
        <v>0</v>
      </c>
      <c r="G75" s="223">
        <f>('Pivot Table for Data Exchange'!$D$127)*100</f>
        <v>0</v>
      </c>
      <c r="H75" s="221">
        <f>('Pivot Table for Data Exchange'!$D$130)*100</f>
        <v>0</v>
      </c>
      <c r="I75" s="87" t="s">
        <v>144</v>
      </c>
      <c r="J75" s="221">
        <f>('Pivot Table for Data Exchange'!$D$133)*100</f>
        <v>0</v>
      </c>
      <c r="K75" s="221">
        <f>('Pivot Table for Data Exchange'!$D$136)*100</f>
        <v>0</v>
      </c>
      <c r="L75" s="227">
        <f t="shared" si="11"/>
        <v>0</v>
      </c>
      <c r="M75" s="221">
        <f>('Pivot Table for Data Exchange'!$D$139)*100</f>
        <v>0</v>
      </c>
      <c r="N75" s="221">
        <f>('Pivot Table for Data Exchange'!$D$142)*100</f>
        <v>0</v>
      </c>
      <c r="O75" s="223">
        <f>('Pivot Table for Data Exchange'!$D$145)*100</f>
        <v>0</v>
      </c>
      <c r="P75" s="221">
        <f>('Pivot Table for Data Exchange'!$D$148)*100</f>
        <v>0</v>
      </c>
      <c r="Q75" s="226">
        <f t="shared" si="4"/>
        <v>0</v>
      </c>
      <c r="R75" s="226">
        <f t="shared" si="5"/>
        <v>0</v>
      </c>
      <c r="S75" s="98"/>
      <c r="U75" s="98"/>
      <c r="V75" s="98"/>
      <c r="W75" s="98"/>
      <c r="X75" s="98"/>
      <c r="Y75" s="98"/>
      <c r="Z75" s="98"/>
      <c r="AA75" s="98"/>
      <c r="AB75" s="98"/>
      <c r="AC75" s="98"/>
      <c r="AD75" s="98"/>
      <c r="AE75" s="98"/>
      <c r="AF75" s="98"/>
      <c r="AG75" s="98"/>
      <c r="AH75" s="98"/>
      <c r="AI75" s="98"/>
      <c r="AJ75" s="98"/>
      <c r="AK75" s="98"/>
      <c r="AL75" s="98"/>
      <c r="AM75" s="98"/>
      <c r="AN75" s="98"/>
      <c r="AO75" s="98"/>
    </row>
    <row r="76" spans="1:41" ht="9" customHeight="1">
      <c r="A76" s="65"/>
      <c r="B76" s="221"/>
      <c r="C76" s="221"/>
      <c r="D76" s="227"/>
      <c r="E76" s="221"/>
      <c r="F76" s="221"/>
      <c r="G76" s="223"/>
      <c r="H76" s="221"/>
      <c r="I76" s="87"/>
      <c r="J76" s="221"/>
      <c r="K76" s="221"/>
      <c r="L76" s="227"/>
      <c r="M76" s="221"/>
      <c r="N76" s="221"/>
      <c r="O76" s="223"/>
      <c r="P76" s="221"/>
      <c r="Q76" s="226">
        <f t="shared" si="4"/>
        <v>0</v>
      </c>
      <c r="R76" s="226">
        <f t="shared" si="5"/>
        <v>0</v>
      </c>
      <c r="S76" s="98"/>
      <c r="U76" s="98"/>
      <c r="V76" s="98"/>
      <c r="W76" s="98"/>
      <c r="X76" s="98"/>
      <c r="Y76" s="98"/>
      <c r="Z76" s="98"/>
      <c r="AA76" s="98"/>
      <c r="AB76" s="98"/>
      <c r="AC76" s="98"/>
      <c r="AD76" s="98"/>
      <c r="AE76" s="98"/>
      <c r="AF76" s="98"/>
      <c r="AG76" s="98"/>
      <c r="AH76" s="98"/>
      <c r="AI76" s="98"/>
      <c r="AJ76" s="98"/>
      <c r="AK76" s="98"/>
      <c r="AL76" s="98"/>
      <c r="AM76" s="98"/>
      <c r="AN76" s="98"/>
      <c r="AO76" s="98"/>
    </row>
    <row r="77" spans="1:41" ht="15.75" customHeight="1">
      <c r="A77" s="65" t="s">
        <v>145</v>
      </c>
      <c r="B77" s="221">
        <f>('Pivot Table for Data Exchange'!$D$151)*100</f>
        <v>96.789560943078129</v>
      </c>
      <c r="C77" s="221">
        <f>('Pivot Table for Data Exchange'!$D$154)*100</f>
        <v>3.0392840403776602</v>
      </c>
      <c r="D77" s="227">
        <f t="shared" ref="D77:D78" si="12">SUM(E77:G77)</f>
        <v>0.17115501654420764</v>
      </c>
      <c r="E77" s="221">
        <f>('Pivot Table for Data Exchange'!$D$157)*100</f>
        <v>0.17115501654420764</v>
      </c>
      <c r="F77" s="221">
        <f>('Pivot Table for Data Exchange'!$D$160)*100</f>
        <v>0</v>
      </c>
      <c r="G77" s="223">
        <f>('Pivot Table for Data Exchange'!$D$163)*100</f>
        <v>0</v>
      </c>
      <c r="H77" s="221">
        <f>('Pivot Table for Data Exchange'!$D$166)*100</f>
        <v>0</v>
      </c>
      <c r="I77" s="87" t="s">
        <v>145</v>
      </c>
      <c r="J77" s="221">
        <f>('Pivot Table for Data Exchange'!$D$169)*100</f>
        <v>94.939978413650479</v>
      </c>
      <c r="K77" s="221">
        <f>('Pivot Table for Data Exchange'!$D$172)*100</f>
        <v>1.2972407372315096</v>
      </c>
      <c r="L77" s="227">
        <f t="shared" ref="L77:L78" si="13">SUM(M77:O77)</f>
        <v>3.7627808491180081</v>
      </c>
      <c r="M77" s="221">
        <f>('Pivot Table for Data Exchange'!$D$175)*100</f>
        <v>3.7627808491180081</v>
      </c>
      <c r="N77" s="221">
        <f>('Pivot Table for Data Exchange'!$D$178)*100</f>
        <v>0</v>
      </c>
      <c r="O77" s="223">
        <f>('Pivot Table for Data Exchange'!$D$181)*100</f>
        <v>0</v>
      </c>
      <c r="P77" s="221">
        <f>('Pivot Table for Data Exchange'!$D$184)*100</f>
        <v>0</v>
      </c>
      <c r="Q77" s="226">
        <f t="shared" si="4"/>
        <v>100</v>
      </c>
      <c r="R77" s="226">
        <f t="shared" si="5"/>
        <v>99.999999999999986</v>
      </c>
      <c r="S77" s="98"/>
      <c r="T77" s="98"/>
      <c r="U77" s="98"/>
      <c r="V77" s="98"/>
      <c r="W77" s="98"/>
      <c r="X77" s="98"/>
      <c r="Y77" s="98"/>
      <c r="Z77" s="98"/>
      <c r="AA77" s="98"/>
      <c r="AB77" s="98"/>
      <c r="AC77" s="98"/>
      <c r="AD77" s="98"/>
      <c r="AE77" s="98"/>
      <c r="AF77" s="98"/>
      <c r="AG77" s="98"/>
      <c r="AH77" s="98"/>
      <c r="AI77" s="98"/>
      <c r="AJ77" s="98"/>
      <c r="AK77" s="98"/>
      <c r="AL77" s="98"/>
      <c r="AM77" s="98"/>
      <c r="AN77" s="98"/>
      <c r="AO77" s="98"/>
    </row>
    <row r="78" spans="1:41" ht="15.75" customHeight="1">
      <c r="A78" s="65" t="s">
        <v>146</v>
      </c>
      <c r="B78" s="221">
        <f>('Pivot Table for Data Exchange'!$D$187)*100</f>
        <v>0</v>
      </c>
      <c r="C78" s="221">
        <f>('Pivot Table for Data Exchange'!$D$190)*100</f>
        <v>0</v>
      </c>
      <c r="D78" s="227">
        <f t="shared" si="12"/>
        <v>0</v>
      </c>
      <c r="E78" s="221">
        <f>('Pivot Table for Data Exchange'!$D$193)*100</f>
        <v>0</v>
      </c>
      <c r="F78" s="221">
        <f>('Pivot Table for Data Exchange'!$D$196)*100</f>
        <v>0</v>
      </c>
      <c r="G78" s="223">
        <f>('Pivot Table for Data Exchange'!$D$199)*100</f>
        <v>0</v>
      </c>
      <c r="H78" s="221">
        <f>('Pivot Table for Data Exchange'!$D$202)*100</f>
        <v>0</v>
      </c>
      <c r="I78" s="87" t="s">
        <v>146</v>
      </c>
      <c r="J78" s="221">
        <f>('Pivot Table for Data Exchange'!$D$205)*100</f>
        <v>0</v>
      </c>
      <c r="K78" s="221">
        <f>('Pivot Table for Data Exchange'!$D$208)*100</f>
        <v>0</v>
      </c>
      <c r="L78" s="227">
        <f t="shared" si="13"/>
        <v>0</v>
      </c>
      <c r="M78" s="221">
        <f>('Pivot Table for Data Exchange'!$D$211)*100</f>
        <v>0</v>
      </c>
      <c r="N78" s="221">
        <f>('Pivot Table for Data Exchange'!$D$214)*100</f>
        <v>0</v>
      </c>
      <c r="O78" s="223">
        <f>('Pivot Table for Data Exchange'!$D$217)*100</f>
        <v>0</v>
      </c>
      <c r="P78" s="221">
        <f>('Pivot Table for Data Exchange'!$D$220)*100</f>
        <v>0</v>
      </c>
      <c r="Q78" s="226">
        <f t="shared" si="4"/>
        <v>0</v>
      </c>
      <c r="R78" s="226">
        <f t="shared" si="5"/>
        <v>0</v>
      </c>
      <c r="S78" s="98"/>
      <c r="T78" s="98"/>
      <c r="U78" s="98"/>
      <c r="V78" s="98"/>
      <c r="W78" s="98"/>
      <c r="X78" s="98"/>
      <c r="Y78" s="98"/>
      <c r="Z78" s="98"/>
      <c r="AA78" s="98"/>
      <c r="AB78" s="98"/>
      <c r="AC78" s="98"/>
      <c r="AD78" s="98"/>
      <c r="AE78" s="98"/>
      <c r="AF78" s="98"/>
      <c r="AG78" s="98"/>
      <c r="AH78" s="98"/>
      <c r="AI78" s="98"/>
      <c r="AJ78" s="98"/>
      <c r="AK78" s="98"/>
      <c r="AL78" s="98"/>
      <c r="AM78" s="98"/>
      <c r="AN78" s="98"/>
      <c r="AO78" s="98"/>
    </row>
    <row r="79" spans="1:41" ht="15.75" customHeight="1">
      <c r="A79" s="222" t="s">
        <v>147</v>
      </c>
      <c r="B79" s="221">
        <f>('Pivot Table for Data Exchange'!$D$223)*100</f>
        <v>0</v>
      </c>
      <c r="C79" s="221">
        <f>('Pivot Table for Data Exchange'!$D$226)*100</f>
        <v>0</v>
      </c>
      <c r="D79" s="227">
        <f>SUM(E79:G79)</f>
        <v>0</v>
      </c>
      <c r="E79" s="221">
        <f>('Pivot Table for Data Exchange'!$D$229)*100</f>
        <v>0</v>
      </c>
      <c r="F79" s="221">
        <f>('Pivot Table for Data Exchange'!$D$232)*100</f>
        <v>0</v>
      </c>
      <c r="G79" s="223">
        <f>('Pivot Table for Data Exchange'!$D$235)*100</f>
        <v>0</v>
      </c>
      <c r="H79" s="221">
        <f>('Pivot Table for Data Exchange'!$D$238)*100</f>
        <v>0</v>
      </c>
      <c r="I79" s="87" t="s">
        <v>147</v>
      </c>
      <c r="J79" s="221">
        <f>('Pivot Table for Data Exchange'!$D$241)*100</f>
        <v>0</v>
      </c>
      <c r="K79" s="221">
        <f>('Pivot Table for Data Exchange'!$D$244)*100</f>
        <v>0</v>
      </c>
      <c r="L79" s="227">
        <f>SUM(M79:O79)</f>
        <v>0</v>
      </c>
      <c r="M79" s="221">
        <f>('Pivot Table for Data Exchange'!$D$247)*100</f>
        <v>0</v>
      </c>
      <c r="N79" s="221">
        <f>('Pivot Table for Data Exchange'!$D$250)*100</f>
        <v>0</v>
      </c>
      <c r="O79" s="223">
        <f>('Pivot Table for Data Exchange'!$D$253)*100</f>
        <v>0</v>
      </c>
      <c r="P79" s="221">
        <f>('Pivot Table for Data Exchange'!$D$256)*100</f>
        <v>0</v>
      </c>
      <c r="Q79" s="226">
        <f t="shared" si="4"/>
        <v>0</v>
      </c>
      <c r="R79" s="226">
        <f t="shared" si="5"/>
        <v>0</v>
      </c>
      <c r="S79" s="98"/>
      <c r="T79" s="104"/>
      <c r="U79" s="98"/>
      <c r="V79" s="98"/>
      <c r="W79" s="98"/>
      <c r="X79" s="98"/>
      <c r="Y79" s="98"/>
      <c r="Z79" s="98"/>
      <c r="AA79" s="98"/>
      <c r="AB79" s="98"/>
      <c r="AC79" s="98"/>
      <c r="AD79" s="98"/>
      <c r="AE79" s="98"/>
      <c r="AF79" s="98"/>
      <c r="AG79" s="98"/>
      <c r="AH79" s="98"/>
      <c r="AI79" s="98"/>
      <c r="AJ79" s="98"/>
      <c r="AK79" s="98"/>
      <c r="AL79" s="98"/>
      <c r="AM79" s="98"/>
      <c r="AN79" s="98"/>
      <c r="AO79" s="98"/>
    </row>
    <row r="80" spans="1:41" ht="15.75" customHeight="1">
      <c r="A80" s="65" t="s">
        <v>177</v>
      </c>
      <c r="B80" s="221">
        <f>('Pivot Table for Data Exchange'!$D$259)*100</f>
        <v>90.203221399700993</v>
      </c>
      <c r="C80" s="221">
        <f>('Pivot Table for Data Exchange'!$D$262)*100</f>
        <v>1.6000209548141673</v>
      </c>
      <c r="D80" s="227">
        <f>SUM(E80:G80)</f>
        <v>8.1967576454848423</v>
      </c>
      <c r="E80" s="221">
        <f>('Pivot Table for Data Exchange'!$D$265)*100</f>
        <v>8.1967576454848423</v>
      </c>
      <c r="F80" s="221">
        <f>('Pivot Table for Data Exchange'!$D$268)*100</f>
        <v>0</v>
      </c>
      <c r="G80" s="223">
        <f>('Pivot Table for Data Exchange'!$D$271)*100</f>
        <v>0</v>
      </c>
      <c r="H80" s="221">
        <f>('Pivot Table for Data Exchange'!$D$274)*100</f>
        <v>0</v>
      </c>
      <c r="I80" s="87" t="s">
        <v>177</v>
      </c>
      <c r="J80" s="221">
        <f>('Pivot Table for Data Exchange'!$D$277)*100</f>
        <v>79.386298847318386</v>
      </c>
      <c r="K80" s="221">
        <f>('Pivot Table for Data Exchange'!$D$280)*100</f>
        <v>4.74883580926749</v>
      </c>
      <c r="L80" s="227">
        <f>SUM(M80:O80)</f>
        <v>15.864865343414133</v>
      </c>
      <c r="M80" s="221">
        <f>('Pivot Table for Data Exchange'!$D$283)*100</f>
        <v>15.864865343414133</v>
      </c>
      <c r="N80" s="221">
        <f>('Pivot Table for Data Exchange'!$D$286)*100</f>
        <v>0</v>
      </c>
      <c r="O80" s="223">
        <f>('Pivot Table for Data Exchange'!$D$289)*100</f>
        <v>0</v>
      </c>
      <c r="P80" s="221">
        <f>('Pivot Table for Data Exchange'!$D$292)*100</f>
        <v>0</v>
      </c>
      <c r="Q80" s="226">
        <f t="shared" si="4"/>
        <v>100</v>
      </c>
      <c r="R80" s="226">
        <f t="shared" si="5"/>
        <v>100.00000000000001</v>
      </c>
      <c r="S80" s="98"/>
      <c r="U80" s="98"/>
      <c r="V80" s="98"/>
      <c r="W80" s="98"/>
      <c r="X80" s="98"/>
      <c r="Y80" s="98"/>
      <c r="Z80" s="98"/>
      <c r="AA80" s="98"/>
      <c r="AB80" s="98"/>
      <c r="AC80" s="98"/>
      <c r="AD80" s="98"/>
      <c r="AE80" s="98"/>
      <c r="AF80" s="98"/>
      <c r="AG80" s="98"/>
      <c r="AH80" s="98"/>
      <c r="AI80" s="98"/>
      <c r="AJ80" s="98"/>
      <c r="AK80" s="98"/>
      <c r="AL80" s="98"/>
      <c r="AM80" s="98"/>
      <c r="AN80" s="98"/>
      <c r="AO80" s="98"/>
    </row>
    <row r="81" spans="1:41" ht="8.25" customHeight="1">
      <c r="A81" s="65"/>
      <c r="B81" s="221"/>
      <c r="C81" s="221"/>
      <c r="D81" s="227"/>
      <c r="E81" s="221"/>
      <c r="F81" s="221"/>
      <c r="G81" s="223"/>
      <c r="H81" s="221"/>
      <c r="I81" s="87"/>
      <c r="J81" s="221"/>
      <c r="K81" s="221"/>
      <c r="L81" s="227"/>
      <c r="M81" s="221"/>
      <c r="N81" s="221"/>
      <c r="O81" s="223"/>
      <c r="P81" s="221"/>
      <c r="Q81" s="226">
        <f t="shared" si="4"/>
        <v>0</v>
      </c>
      <c r="R81" s="226">
        <f t="shared" si="5"/>
        <v>0</v>
      </c>
      <c r="S81" s="98"/>
      <c r="U81" s="98"/>
      <c r="V81" s="98"/>
      <c r="W81" s="98"/>
      <c r="X81" s="98"/>
      <c r="Y81" s="98"/>
      <c r="Z81" s="98"/>
      <c r="AA81" s="98"/>
      <c r="AB81" s="98"/>
      <c r="AC81" s="98"/>
      <c r="AD81" s="98"/>
      <c r="AE81" s="98"/>
      <c r="AF81" s="98"/>
      <c r="AG81" s="98"/>
      <c r="AH81" s="98"/>
      <c r="AI81" s="98"/>
      <c r="AJ81" s="98"/>
      <c r="AK81" s="98"/>
      <c r="AL81" s="98"/>
      <c r="AM81" s="98"/>
      <c r="AN81" s="98"/>
      <c r="AO81" s="98"/>
    </row>
    <row r="82" spans="1:41" ht="15.75" customHeight="1">
      <c r="A82" s="65" t="s">
        <v>148</v>
      </c>
      <c r="B82" s="221">
        <f>('Pivot Table for Data Exchange'!$D$295)*100</f>
        <v>83.844717694007016</v>
      </c>
      <c r="C82" s="221">
        <f>('Pivot Table for Data Exchange'!$D$298)*100</f>
        <v>7.5971767925980762</v>
      </c>
      <c r="D82" s="227">
        <f>SUM(E82:G82)</f>
        <v>8.4784705365332833</v>
      </c>
      <c r="E82" s="221">
        <f>('Pivot Table for Data Exchange'!$D$301)*100</f>
        <v>6.9950478842166426</v>
      </c>
      <c r="F82" s="221">
        <f>('Pivot Table for Data Exchange'!$D$304)*100</f>
        <v>1.4834226523166405</v>
      </c>
      <c r="G82" s="223">
        <f>('Pivot Table for Data Exchange'!$D$307)*100</f>
        <v>0</v>
      </c>
      <c r="H82" s="221">
        <f>('Pivot Table for Data Exchange'!$D$310)*100</f>
        <v>7.9634976861615053E-2</v>
      </c>
      <c r="I82" s="87" t="s">
        <v>148</v>
      </c>
      <c r="J82" s="221">
        <f>('Pivot Table for Data Exchange'!$D$313)*100</f>
        <v>72.463168516649844</v>
      </c>
      <c r="K82" s="221">
        <f>('Pivot Table for Data Exchange'!$D$316)*100</f>
        <v>11.885973763874874</v>
      </c>
      <c r="L82" s="227">
        <f>SUM(M82:O82)</f>
        <v>15.644803229061555</v>
      </c>
      <c r="M82" s="221">
        <f>('Pivot Table for Data Exchange'!$D$319)*100</f>
        <v>14.485368314833503</v>
      </c>
      <c r="N82" s="221">
        <f>('Pivot Table for Data Exchange'!$D$322)*100</f>
        <v>1.1594349142280524</v>
      </c>
      <c r="O82" s="223">
        <f>('Pivot Table for Data Exchange'!$D$325)*100</f>
        <v>0</v>
      </c>
      <c r="P82" s="67">
        <f>('Pivot Table for Data Exchange'!$D$328)*100</f>
        <v>6.0544904137235112E-3</v>
      </c>
      <c r="Q82" s="226">
        <f t="shared" si="4"/>
        <v>99.999999999999986</v>
      </c>
      <c r="R82" s="226">
        <f t="shared" si="5"/>
        <v>99.999999999999986</v>
      </c>
      <c r="S82" s="98"/>
      <c r="T82" s="98"/>
      <c r="U82" s="98"/>
      <c r="V82" s="98"/>
      <c r="W82" s="98"/>
      <c r="X82" s="98"/>
      <c r="Y82" s="98"/>
      <c r="Z82" s="98"/>
      <c r="AA82" s="98"/>
      <c r="AB82" s="98"/>
      <c r="AC82" s="98"/>
      <c r="AD82" s="98"/>
      <c r="AE82" s="98"/>
      <c r="AF82" s="98"/>
      <c r="AG82" s="98"/>
      <c r="AH82" s="98"/>
      <c r="AI82" s="98"/>
      <c r="AJ82" s="98"/>
      <c r="AK82" s="98"/>
      <c r="AL82" s="98"/>
      <c r="AM82" s="98"/>
      <c r="AN82" s="98"/>
      <c r="AO82" s="98"/>
    </row>
    <row r="83" spans="1:41" ht="15.75" customHeight="1">
      <c r="A83" s="65" t="s">
        <v>149</v>
      </c>
      <c r="B83" s="221">
        <f>('Pivot Table for Data Exchange'!$D$331)*100</f>
        <v>81.887798266731664</v>
      </c>
      <c r="C83" s="221">
        <f>('Pivot Table for Data Exchange'!$D$334)*100</f>
        <v>0.45534731541094342</v>
      </c>
      <c r="D83" s="227">
        <f>SUM(E83:G83)</f>
        <v>17.656854417857389</v>
      </c>
      <c r="E83" s="221">
        <f>('Pivot Table for Data Exchange'!$D$337)*100</f>
        <v>17.631222284208427</v>
      </c>
      <c r="F83" s="67">
        <f>('Pivot Table for Data Exchange'!$D$340)*100</f>
        <v>2.5632133648960394E-2</v>
      </c>
      <c r="G83" s="223">
        <f>('Pivot Table for Data Exchange'!$D$343)*100</f>
        <v>0</v>
      </c>
      <c r="H83" s="221">
        <f>('Pivot Table for Data Exchange'!$D$346)*100</f>
        <v>0</v>
      </c>
      <c r="I83" s="87" t="s">
        <v>149</v>
      </c>
      <c r="J83" s="221">
        <f>('Pivot Table for Data Exchange'!$D$349)*100</f>
        <v>48.381452318460191</v>
      </c>
      <c r="K83" s="221">
        <f>('Pivot Table for Data Exchange'!$D$352)*100</f>
        <v>4.6566362303303643</v>
      </c>
      <c r="L83" s="227">
        <f>SUM(M83:O83)</f>
        <v>46.961911451209438</v>
      </c>
      <c r="M83" s="221">
        <f>('Pivot Table for Data Exchange'!$D$355)*100</f>
        <v>46.950821288184045</v>
      </c>
      <c r="N83" s="67">
        <f>('Pivot Table for Data Exchange'!$D$358)*100</f>
        <v>1.1090163025396473E-2</v>
      </c>
      <c r="O83" s="223">
        <f>('Pivot Table for Data Exchange'!$D$361)*100</f>
        <v>0</v>
      </c>
      <c r="P83" s="221">
        <f>('Pivot Table for Data Exchange'!$D$364)*100</f>
        <v>0</v>
      </c>
      <c r="Q83" s="226">
        <f t="shared" si="4"/>
        <v>100</v>
      </c>
      <c r="R83" s="226">
        <f t="shared" si="5"/>
        <v>100</v>
      </c>
      <c r="S83" s="98"/>
      <c r="T83" s="98"/>
      <c r="U83" s="98"/>
      <c r="V83" s="98"/>
      <c r="W83" s="98"/>
      <c r="X83" s="98"/>
      <c r="Y83" s="98"/>
      <c r="Z83" s="98"/>
      <c r="AA83" s="98"/>
      <c r="AB83" s="98"/>
      <c r="AC83" s="98"/>
      <c r="AD83" s="98"/>
      <c r="AE83" s="98"/>
      <c r="AF83" s="98"/>
      <c r="AG83" s="98"/>
      <c r="AH83" s="98"/>
      <c r="AI83" s="98"/>
      <c r="AJ83" s="98"/>
      <c r="AK83" s="98"/>
      <c r="AL83" s="98"/>
      <c r="AM83" s="98"/>
      <c r="AN83" s="98"/>
      <c r="AO83" s="98"/>
    </row>
    <row r="84" spans="1:41" ht="15.75" customHeight="1">
      <c r="A84" s="65" t="s">
        <v>150</v>
      </c>
      <c r="B84" s="221">
        <f>('Pivot Table for Data Exchange'!$D$367)*100</f>
        <v>0</v>
      </c>
      <c r="C84" s="221">
        <f>('Pivot Table for Data Exchange'!$D$370)*100</f>
        <v>0</v>
      </c>
      <c r="D84" s="227">
        <f>SUM(E84:G84)</f>
        <v>0</v>
      </c>
      <c r="E84" s="221">
        <f>('Pivot Table for Data Exchange'!$D$373)*100</f>
        <v>0</v>
      </c>
      <c r="F84" s="221">
        <f>('Pivot Table for Data Exchange'!$D$376)*100</f>
        <v>0</v>
      </c>
      <c r="G84" s="223">
        <f>('Pivot Table for Data Exchange'!$D$379)*100</f>
        <v>0</v>
      </c>
      <c r="H84" s="221">
        <f>('Pivot Table for Data Exchange'!$D$382)*100</f>
        <v>0</v>
      </c>
      <c r="I84" s="87" t="s">
        <v>150</v>
      </c>
      <c r="J84" s="221">
        <f>('Pivot Table for Data Exchange'!$D$385)*100</f>
        <v>0</v>
      </c>
      <c r="K84" s="221">
        <f>('Pivot Table for Data Exchange'!$D$388)*100</f>
        <v>0</v>
      </c>
      <c r="L84" s="227">
        <f>SUM(M84:O84)</f>
        <v>0</v>
      </c>
      <c r="M84" s="221">
        <f>('Pivot Table for Data Exchange'!$D$391)*100</f>
        <v>0</v>
      </c>
      <c r="N84" s="221">
        <f>('Pivot Table for Data Exchange'!$D$394)*100</f>
        <v>0</v>
      </c>
      <c r="O84" s="223">
        <f>('Pivot Table for Data Exchange'!$D$397)*100</f>
        <v>0</v>
      </c>
      <c r="P84" s="221">
        <f>('Pivot Table for Data Exchange'!$D$400)*100</f>
        <v>0</v>
      </c>
      <c r="Q84" s="226">
        <f t="shared" si="4"/>
        <v>0</v>
      </c>
      <c r="R84" s="226">
        <f t="shared" si="5"/>
        <v>0</v>
      </c>
      <c r="S84" s="98"/>
      <c r="T84" s="104"/>
      <c r="U84" s="98"/>
      <c r="V84" s="98"/>
      <c r="W84" s="98"/>
      <c r="X84" s="98"/>
      <c r="Y84" s="98"/>
      <c r="Z84" s="98"/>
      <c r="AA84" s="98"/>
      <c r="AB84" s="98"/>
      <c r="AC84" s="98"/>
      <c r="AD84" s="98"/>
      <c r="AE84" s="98"/>
      <c r="AF84" s="98"/>
      <c r="AG84" s="98"/>
      <c r="AH84" s="98"/>
      <c r="AI84" s="98"/>
      <c r="AJ84" s="98"/>
      <c r="AK84" s="98"/>
      <c r="AL84" s="98"/>
      <c r="AM84" s="98"/>
      <c r="AN84" s="98"/>
      <c r="AO84" s="98"/>
    </row>
    <row r="85" spans="1:41" ht="15.75" customHeight="1">
      <c r="A85" s="65" t="s">
        <v>151</v>
      </c>
      <c r="B85" s="221">
        <f>('Pivot Table for Data Exchange'!$D$403)*100</f>
        <v>0</v>
      </c>
      <c r="C85" s="221">
        <f>('Pivot Table for Data Exchange'!$D$406)*100</f>
        <v>0</v>
      </c>
      <c r="D85" s="227">
        <f>SUM(E85:G85)</f>
        <v>0</v>
      </c>
      <c r="E85" s="221">
        <f>('Pivot Table for Data Exchange'!$D$409)*100</f>
        <v>0</v>
      </c>
      <c r="F85" s="221">
        <f>('Pivot Table for Data Exchange'!$D$412)*100</f>
        <v>0</v>
      </c>
      <c r="G85" s="223">
        <f>('Pivot Table for Data Exchange'!$D$415)*100</f>
        <v>0</v>
      </c>
      <c r="H85" s="221">
        <f>('Pivot Table for Data Exchange'!$D$418)*100</f>
        <v>0</v>
      </c>
      <c r="I85" s="87" t="s">
        <v>151</v>
      </c>
      <c r="J85" s="221">
        <f>('Pivot Table for Data Exchange'!$D$421)*100</f>
        <v>0</v>
      </c>
      <c r="K85" s="221">
        <f>('Pivot Table for Data Exchange'!$D$424)*100</f>
        <v>0</v>
      </c>
      <c r="L85" s="227">
        <f>SUM(M85:O85)</f>
        <v>0</v>
      </c>
      <c r="M85" s="221">
        <f>('Pivot Table for Data Exchange'!$D$427)*100</f>
        <v>0</v>
      </c>
      <c r="N85" s="221">
        <f>('Pivot Table for Data Exchange'!$D$430)*100</f>
        <v>0</v>
      </c>
      <c r="O85" s="223">
        <f>('Pivot Table for Data Exchange'!$D$433)*100</f>
        <v>0</v>
      </c>
      <c r="P85" s="221">
        <f>('Pivot Table for Data Exchange'!$D$436)*100</f>
        <v>0</v>
      </c>
      <c r="Q85" s="226">
        <f t="shared" si="4"/>
        <v>0</v>
      </c>
      <c r="R85" s="226">
        <f t="shared" si="5"/>
        <v>0</v>
      </c>
      <c r="S85" s="98"/>
      <c r="T85" s="98"/>
      <c r="U85" s="98"/>
      <c r="V85" s="98"/>
      <c r="W85" s="98"/>
      <c r="X85" s="98"/>
      <c r="Y85" s="98"/>
      <c r="Z85" s="98"/>
      <c r="AA85" s="98"/>
      <c r="AB85" s="98"/>
      <c r="AC85" s="98"/>
      <c r="AD85" s="98"/>
      <c r="AE85" s="98"/>
      <c r="AF85" s="98"/>
      <c r="AG85" s="98"/>
      <c r="AH85" s="98"/>
      <c r="AI85" s="98"/>
      <c r="AJ85" s="98"/>
      <c r="AK85" s="98"/>
      <c r="AL85" s="98"/>
      <c r="AM85" s="98"/>
      <c r="AN85" s="98"/>
      <c r="AO85" s="98"/>
    </row>
    <row r="86" spans="1:41" ht="8.25" customHeight="1">
      <c r="A86" s="65"/>
      <c r="B86" s="221"/>
      <c r="C86" s="221"/>
      <c r="D86" s="227"/>
      <c r="E86" s="221"/>
      <c r="F86" s="221"/>
      <c r="G86" s="223"/>
      <c r="H86" s="221"/>
      <c r="I86" s="87"/>
      <c r="J86" s="221"/>
      <c r="K86" s="221"/>
      <c r="L86" s="227"/>
      <c r="M86" s="221"/>
      <c r="N86" s="221"/>
      <c r="O86" s="223"/>
      <c r="P86" s="221"/>
      <c r="Q86" s="226">
        <f t="shared" si="4"/>
        <v>0</v>
      </c>
      <c r="R86" s="226">
        <f t="shared" si="5"/>
        <v>0</v>
      </c>
      <c r="S86" s="98"/>
      <c r="T86" s="98"/>
      <c r="U86" s="98"/>
      <c r="V86" s="98"/>
      <c r="W86" s="98"/>
      <c r="X86" s="98"/>
      <c r="Y86" s="98"/>
      <c r="Z86" s="98"/>
      <c r="AA86" s="98"/>
      <c r="AB86" s="98"/>
      <c r="AC86" s="98"/>
      <c r="AD86" s="98"/>
      <c r="AE86" s="98"/>
      <c r="AF86" s="98"/>
      <c r="AG86" s="98"/>
      <c r="AH86" s="98"/>
      <c r="AI86" s="98"/>
      <c r="AJ86" s="98"/>
      <c r="AK86" s="98"/>
      <c r="AL86" s="98"/>
      <c r="AM86" s="98"/>
      <c r="AN86" s="98"/>
      <c r="AO86" s="98"/>
    </row>
    <row r="87" spans="1:41" ht="15.75" customHeight="1">
      <c r="A87" s="65" t="s">
        <v>152</v>
      </c>
      <c r="B87" s="221">
        <f>('Pivot Table for Data Exchange'!$D$439)*100</f>
        <v>79.460495090461777</v>
      </c>
      <c r="C87" s="221">
        <f>('Pivot Table for Data Exchange'!$D$442)*100</f>
        <v>11.88140907012693</v>
      </c>
      <c r="D87" s="227">
        <f>SUM(E87:G87)</f>
        <v>8.4719470510113002</v>
      </c>
      <c r="E87" s="221">
        <f>('Pivot Table for Data Exchange'!$D$445)*100</f>
        <v>7.7039472251856047</v>
      </c>
      <c r="F87" s="221">
        <f>('Pivot Table for Data Exchange'!$D$448)*100</f>
        <v>0</v>
      </c>
      <c r="G87" s="223">
        <f>('Pivot Table for Data Exchange'!$D$451)*100</f>
        <v>0.76799982582569504</v>
      </c>
      <c r="H87" s="221">
        <f>('Pivot Table for Data Exchange'!$D$454)*100</f>
        <v>0.1861487883999913</v>
      </c>
      <c r="I87" s="87" t="s">
        <v>152</v>
      </c>
      <c r="J87" s="221">
        <f>('Pivot Table for Data Exchange'!$D$457)*100</f>
        <v>48.585122447639684</v>
      </c>
      <c r="K87" s="221">
        <f>('Pivot Table for Data Exchange'!$D$460)*100</f>
        <v>23.222375418554265</v>
      </c>
      <c r="L87" s="227">
        <f>SUM(M87:O87)</f>
        <v>24.00367671196901</v>
      </c>
      <c r="M87" s="221">
        <f>('Pivot Table for Data Exchange'!$D$463)*100</f>
        <v>21.731993959687479</v>
      </c>
      <c r="N87" s="221">
        <f>('Pivot Table for Data Exchange'!$D$466)*100</f>
        <v>0</v>
      </c>
      <c r="O87" s="223">
        <f>('Pivot Table for Data Exchange'!$D$469)*100</f>
        <v>2.271682752281531</v>
      </c>
      <c r="P87" s="221">
        <f>('Pivot Table for Data Exchange'!$D$472)*100</f>
        <v>4.1888254218370422</v>
      </c>
      <c r="Q87" s="226">
        <f t="shared" si="4"/>
        <v>100</v>
      </c>
      <c r="R87" s="226">
        <f t="shared" si="5"/>
        <v>100</v>
      </c>
      <c r="S87" s="98"/>
      <c r="T87" s="98"/>
      <c r="U87" s="98"/>
      <c r="V87" s="98"/>
      <c r="W87" s="98"/>
      <c r="X87" s="98"/>
      <c r="Y87" s="98"/>
      <c r="Z87" s="98"/>
      <c r="AA87" s="98"/>
      <c r="AB87" s="98"/>
      <c r="AC87" s="98"/>
      <c r="AD87" s="98"/>
      <c r="AE87" s="98"/>
      <c r="AF87" s="98"/>
      <c r="AG87" s="98"/>
      <c r="AH87" s="98"/>
      <c r="AI87" s="98"/>
      <c r="AJ87" s="98"/>
      <c r="AK87" s="98"/>
      <c r="AL87" s="98"/>
      <c r="AM87" s="98"/>
      <c r="AN87" s="98"/>
      <c r="AO87" s="98"/>
    </row>
    <row r="88" spans="1:41" ht="15.75" customHeight="1">
      <c r="A88" s="65" t="s">
        <v>153</v>
      </c>
      <c r="B88" s="221">
        <f>('Pivot Table for Data Exchange'!$D$475)*100</f>
        <v>86.361089319735513</v>
      </c>
      <c r="C88" s="221">
        <f>('Pivot Table for Data Exchange'!$D$478)*100</f>
        <v>0.39033880951237382</v>
      </c>
      <c r="D88" s="227">
        <f>SUM(E88:G88)</f>
        <v>13.248571870752111</v>
      </c>
      <c r="E88" s="221">
        <f>('Pivot Table for Data Exchange'!$D$481)*100</f>
        <v>13.064914411354589</v>
      </c>
      <c r="F88" s="221">
        <f>('Pivot Table for Data Exchange'!$D$484)*100</f>
        <v>0.16147218721625151</v>
      </c>
      <c r="G88" s="68">
        <f>('Pivot Table for Data Exchange'!$D$487)*100</f>
        <v>2.2185272181269682E-2</v>
      </c>
      <c r="H88" s="221">
        <f>('Pivot Table for Data Exchange'!$D$490)*100</f>
        <v>0</v>
      </c>
      <c r="I88" s="87" t="s">
        <v>153</v>
      </c>
      <c r="J88" s="221">
        <f>('Pivot Table for Data Exchange'!$D$493)*100</f>
        <v>66.852346398352708</v>
      </c>
      <c r="K88" s="221">
        <f>('Pivot Table for Data Exchange'!$D$496)*100</f>
        <v>1.2291728484979274</v>
      </c>
      <c r="L88" s="227">
        <f>SUM(M88:O88)</f>
        <v>31.91848075314936</v>
      </c>
      <c r="M88" s="221">
        <f>('Pivot Table for Data Exchange'!$D$499)*100</f>
        <v>31.748986179673238</v>
      </c>
      <c r="N88" s="221">
        <f>('Pivot Table for Data Exchange'!$D$502)*100</f>
        <v>0.1694945734761224</v>
      </c>
      <c r="O88" s="68">
        <f>('Pivot Table for Data Exchange'!$D$505)*100</f>
        <v>0</v>
      </c>
      <c r="P88" s="221">
        <f>('Pivot Table for Data Exchange'!$D$508)*100</f>
        <v>0</v>
      </c>
      <c r="Q88" s="226">
        <f t="shared" si="4"/>
        <v>100</v>
      </c>
      <c r="R88" s="226">
        <f t="shared" si="5"/>
        <v>100</v>
      </c>
      <c r="S88" s="98"/>
      <c r="T88" s="98"/>
      <c r="U88" s="98"/>
      <c r="V88" s="98"/>
      <c r="W88" s="98"/>
      <c r="X88" s="98"/>
      <c r="Y88" s="98"/>
      <c r="Z88" s="98"/>
      <c r="AA88" s="98"/>
      <c r="AB88" s="98"/>
      <c r="AC88" s="98"/>
      <c r="AD88" s="98"/>
      <c r="AE88" s="98"/>
      <c r="AF88" s="98"/>
      <c r="AG88" s="98"/>
      <c r="AH88" s="98"/>
      <c r="AI88" s="98"/>
      <c r="AJ88" s="98"/>
      <c r="AK88" s="98"/>
      <c r="AL88" s="98"/>
      <c r="AM88" s="98"/>
      <c r="AN88" s="98"/>
      <c r="AO88" s="98"/>
    </row>
    <row r="89" spans="1:41" ht="15.75" customHeight="1">
      <c r="A89" s="65" t="s">
        <v>154</v>
      </c>
      <c r="B89" s="221">
        <f>('Pivot Table for Data Exchange'!$D$511)*100</f>
        <v>93.076986844463619</v>
      </c>
      <c r="C89" s="221">
        <f>('Pivot Table for Data Exchange'!$D$514)*100</f>
        <v>1.4555641017071594</v>
      </c>
      <c r="D89" s="227">
        <f>SUM(E89:G89)</f>
        <v>5.4674490538292178</v>
      </c>
      <c r="E89" s="221">
        <f>('Pivot Table for Data Exchange'!$D$517)*100</f>
        <v>5.3472056125975156</v>
      </c>
      <c r="F89" s="221">
        <f>('Pivot Table for Data Exchange'!$D$520)*100</f>
        <v>0.12024344123170198</v>
      </c>
      <c r="G89" s="223">
        <f>('Pivot Table for Data Exchange'!$D$523)*100</f>
        <v>0</v>
      </c>
      <c r="H89" s="221">
        <f>('Pivot Table for Data Exchange'!$D$526)*100</f>
        <v>0</v>
      </c>
      <c r="I89" s="87" t="s">
        <v>154</v>
      </c>
      <c r="J89" s="221">
        <f>('Pivot Table for Data Exchange'!$D$529)*100</f>
        <v>89.339296789785479</v>
      </c>
      <c r="K89" s="221">
        <f>('Pivot Table for Data Exchange'!$D$532)*100</f>
        <v>5.3631007121928267</v>
      </c>
      <c r="L89" s="227">
        <f>SUM(M89:O89)</f>
        <v>5.2976024980216865</v>
      </c>
      <c r="M89" s="221">
        <f>('Pivot Table for Data Exchange'!$D$535)*100</f>
        <v>4.6356695254186535</v>
      </c>
      <c r="N89" s="221">
        <f>('Pivot Table for Data Exchange'!$D$538)*100</f>
        <v>0.66193297260303274</v>
      </c>
      <c r="O89" s="223">
        <f>('Pivot Table for Data Exchange'!$D$541)*100</f>
        <v>0</v>
      </c>
      <c r="P89" s="221">
        <f>('Pivot Table for Data Exchange'!$D$544)*100</f>
        <v>0</v>
      </c>
      <c r="Q89" s="226">
        <f t="shared" si="4"/>
        <v>99.999999999999986</v>
      </c>
      <c r="R89" s="226">
        <f t="shared" si="5"/>
        <v>100</v>
      </c>
      <c r="S89" s="98"/>
      <c r="T89" s="98"/>
      <c r="U89" s="98"/>
      <c r="V89" s="98"/>
      <c r="W89" s="98"/>
      <c r="X89" s="98"/>
      <c r="Y89" s="98"/>
      <c r="Z89" s="98"/>
      <c r="AA89" s="98"/>
      <c r="AB89" s="98"/>
      <c r="AC89" s="98"/>
      <c r="AD89" s="98"/>
      <c r="AE89" s="98"/>
      <c r="AF89" s="98"/>
      <c r="AG89" s="98"/>
      <c r="AH89" s="98"/>
      <c r="AI89" s="98"/>
      <c r="AJ89" s="98"/>
      <c r="AK89" s="98"/>
      <c r="AL89" s="98"/>
      <c r="AM89" s="98"/>
      <c r="AN89" s="98"/>
      <c r="AO89" s="98"/>
    </row>
    <row r="90" spans="1:41" ht="15.75" customHeight="1">
      <c r="A90" s="39" t="s">
        <v>155</v>
      </c>
      <c r="B90" s="224">
        <f>('Pivot Table for Data Exchange'!$D$547)*100</f>
        <v>0</v>
      </c>
      <c r="C90" s="224">
        <f>('Pivot Table for Data Exchange'!$D$550)*100</f>
        <v>0</v>
      </c>
      <c r="D90" s="228">
        <f>SUM(E90:G90)</f>
        <v>0</v>
      </c>
      <c r="E90" s="224">
        <f>('Pivot Table for Data Exchange'!$D$553)*100</f>
        <v>0</v>
      </c>
      <c r="F90" s="224">
        <f>('Pivot Table for Data Exchange'!$D$556)*100</f>
        <v>0</v>
      </c>
      <c r="G90" s="225">
        <f>('Pivot Table for Data Exchange'!$D$559)*100</f>
        <v>0</v>
      </c>
      <c r="H90" s="224">
        <f>('Pivot Table for Data Exchange'!$D$562)*100</f>
        <v>0</v>
      </c>
      <c r="I90" s="230" t="s">
        <v>155</v>
      </c>
      <c r="J90" s="224">
        <f>('Pivot Table for Data Exchange'!$D$565)*100</f>
        <v>0</v>
      </c>
      <c r="K90" s="224">
        <f>('Pivot Table for Data Exchange'!$D$568)*100</f>
        <v>0</v>
      </c>
      <c r="L90" s="228">
        <f>SUM(M90:O90)</f>
        <v>0</v>
      </c>
      <c r="M90" s="224">
        <f>('Pivot Table for Data Exchange'!$D$571)*100</f>
        <v>0</v>
      </c>
      <c r="N90" s="224">
        <f>('Pivot Table for Data Exchange'!$D$574)*100</f>
        <v>0</v>
      </c>
      <c r="O90" s="225">
        <f>('Pivot Table for Data Exchange'!$D$577)*100</f>
        <v>0</v>
      </c>
      <c r="P90" s="224">
        <f>('Pivot Table for Data Exchange'!$D$580)*100</f>
        <v>0</v>
      </c>
      <c r="Q90" s="226">
        <f t="shared" si="4"/>
        <v>0</v>
      </c>
      <c r="R90" s="226">
        <f t="shared" si="5"/>
        <v>0</v>
      </c>
      <c r="S90" s="98"/>
      <c r="T90" s="98"/>
      <c r="U90" s="98"/>
      <c r="V90" s="98"/>
      <c r="W90" s="98"/>
      <c r="X90" s="98"/>
      <c r="Y90" s="98"/>
      <c r="Z90" s="98"/>
      <c r="AA90" s="98"/>
      <c r="AB90" s="98"/>
      <c r="AC90" s="98"/>
      <c r="AD90" s="98"/>
      <c r="AE90" s="98"/>
      <c r="AF90" s="98"/>
      <c r="AG90" s="98"/>
      <c r="AH90" s="98"/>
      <c r="AI90" s="98"/>
      <c r="AJ90" s="98"/>
      <c r="AK90" s="98"/>
      <c r="AL90" s="98"/>
      <c r="AM90" s="98"/>
      <c r="AN90" s="98"/>
      <c r="AO90" s="98"/>
    </row>
    <row r="91" spans="1:41" s="103" customFormat="1" ht="18" customHeight="1">
      <c r="A91" s="691" t="s">
        <v>175</v>
      </c>
      <c r="B91" s="69"/>
      <c r="C91" s="69"/>
      <c r="D91" s="70"/>
      <c r="E91" s="69"/>
      <c r="F91" s="70"/>
      <c r="G91" s="70"/>
      <c r="H91" s="69"/>
      <c r="I91" s="691" t="s">
        <v>175</v>
      </c>
      <c r="J91" s="69"/>
      <c r="K91" s="69"/>
      <c r="L91" s="70"/>
      <c r="M91" s="69"/>
      <c r="N91" s="70"/>
      <c r="O91" s="70"/>
      <c r="P91" s="69"/>
      <c r="Q91" s="226">
        <f t="shared" ref="Q91:Q153" si="14">SUM(B91,C91,D91,H91)</f>
        <v>0</v>
      </c>
      <c r="R91" s="226">
        <f t="shared" ref="R91:R153" si="15">SUM(J91,K91,L91,P91)</f>
        <v>0</v>
      </c>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row>
    <row r="92" spans="1:41" s="103" customFormat="1" ht="9.75" customHeight="1">
      <c r="A92" s="78"/>
      <c r="B92" s="111"/>
      <c r="C92" s="111"/>
      <c r="D92" s="111"/>
      <c r="E92" s="111"/>
      <c r="F92" s="111"/>
      <c r="G92" s="112"/>
      <c r="H92" s="112"/>
      <c r="I92" s="78"/>
      <c r="J92" s="111"/>
      <c r="K92" s="111"/>
      <c r="L92" s="111"/>
      <c r="M92" s="111"/>
      <c r="N92" s="111"/>
      <c r="O92" s="111"/>
      <c r="P92" s="112"/>
      <c r="Q92" s="226">
        <f t="shared" si="14"/>
        <v>0</v>
      </c>
      <c r="R92" s="226">
        <f t="shared" si="15"/>
        <v>0</v>
      </c>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row>
    <row r="93" spans="1:41" s="103" customFormat="1" ht="13.5" customHeight="1">
      <c r="A93" s="24"/>
      <c r="B93" s="76"/>
      <c r="C93" s="25"/>
      <c r="D93" s="25"/>
      <c r="E93" s="25"/>
      <c r="F93" s="25"/>
      <c r="G93" s="25"/>
      <c r="H93" s="27" t="s">
        <v>899</v>
      </c>
      <c r="I93" s="24"/>
      <c r="J93" s="25"/>
      <c r="K93" s="25"/>
      <c r="L93" s="25"/>
      <c r="M93" s="25"/>
      <c r="N93" s="25"/>
      <c r="O93" s="25"/>
      <c r="P93" s="27" t="s">
        <v>899</v>
      </c>
      <c r="Q93" s="226">
        <f t="shared" si="14"/>
        <v>0</v>
      </c>
      <c r="R93" s="226">
        <f t="shared" si="15"/>
        <v>0</v>
      </c>
    </row>
    <row r="94" spans="1:41" ht="18">
      <c r="A94" s="16" t="s">
        <v>203</v>
      </c>
      <c r="B94" s="34"/>
      <c r="C94" s="34"/>
      <c r="D94" s="34"/>
      <c r="E94" s="34"/>
      <c r="F94" s="34"/>
      <c r="G94" s="34"/>
      <c r="H94" s="35"/>
      <c r="I94" s="16" t="s">
        <v>218</v>
      </c>
      <c r="J94" s="19"/>
      <c r="K94" s="19"/>
      <c r="L94" s="34"/>
      <c r="M94" s="19"/>
      <c r="N94" s="19"/>
      <c r="O94" s="19"/>
      <c r="P94" s="19"/>
      <c r="Q94" s="226">
        <f t="shared" si="14"/>
        <v>0</v>
      </c>
      <c r="R94" s="226">
        <f t="shared" si="15"/>
        <v>0</v>
      </c>
    </row>
    <row r="95" spans="1:41">
      <c r="A95" s="18"/>
      <c r="B95" s="19"/>
      <c r="C95" s="19"/>
      <c r="D95" s="19"/>
      <c r="E95" s="19"/>
      <c r="F95" s="19"/>
      <c r="G95" s="19"/>
      <c r="H95" s="36"/>
      <c r="I95" s="18"/>
      <c r="J95" s="19"/>
      <c r="K95" s="19"/>
      <c r="L95" s="19"/>
      <c r="M95" s="19"/>
      <c r="N95" s="19"/>
      <c r="O95" s="19"/>
      <c r="P95" s="19"/>
      <c r="Q95" s="226">
        <f t="shared" si="14"/>
        <v>0</v>
      </c>
      <c r="R95" s="226">
        <f t="shared" si="15"/>
        <v>0</v>
      </c>
    </row>
    <row r="96" spans="1:41" ht="15.75">
      <c r="A96" s="37" t="s">
        <v>162</v>
      </c>
      <c r="B96" s="19"/>
      <c r="C96" s="19"/>
      <c r="D96" s="19"/>
      <c r="E96" s="19"/>
      <c r="F96" s="19"/>
      <c r="G96" s="19"/>
      <c r="H96" s="36"/>
      <c r="I96" s="37" t="s">
        <v>163</v>
      </c>
      <c r="J96" s="19"/>
      <c r="K96" s="19"/>
      <c r="L96" s="19"/>
      <c r="M96" s="19"/>
      <c r="N96" s="19"/>
      <c r="O96" s="19"/>
      <c r="P96" s="19"/>
      <c r="Q96" s="226">
        <f t="shared" si="14"/>
        <v>0</v>
      </c>
      <c r="R96" s="226">
        <f t="shared" si="15"/>
        <v>0</v>
      </c>
    </row>
    <row r="97" spans="1:41" ht="15.75">
      <c r="A97" s="37" t="s">
        <v>903</v>
      </c>
      <c r="B97" s="19"/>
      <c r="C97" s="19"/>
      <c r="D97" s="19"/>
      <c r="E97" s="19"/>
      <c r="F97" s="19"/>
      <c r="G97" s="19"/>
      <c r="H97" s="36"/>
      <c r="I97" s="37" t="s">
        <v>903</v>
      </c>
      <c r="J97" s="19"/>
      <c r="K97" s="19"/>
      <c r="L97" s="19"/>
      <c r="M97" s="19"/>
      <c r="N97" s="19"/>
      <c r="O97" s="19"/>
      <c r="P97" s="19"/>
      <c r="Q97" s="226">
        <f t="shared" si="14"/>
        <v>0</v>
      </c>
      <c r="R97" s="226">
        <f t="shared" si="15"/>
        <v>0</v>
      </c>
    </row>
    <row r="98" spans="1:41">
      <c r="A98" s="39"/>
      <c r="B98" s="40"/>
      <c r="C98" s="40"/>
      <c r="D98" s="40"/>
      <c r="E98" s="40"/>
      <c r="F98" s="40"/>
      <c r="G98" s="40"/>
      <c r="H98" s="40"/>
      <c r="I98" s="41"/>
      <c r="L98" s="42"/>
      <c r="P98" s="39"/>
      <c r="Q98" s="226">
        <f t="shared" si="14"/>
        <v>0</v>
      </c>
      <c r="R98" s="226">
        <f t="shared" si="15"/>
        <v>0</v>
      </c>
    </row>
    <row r="99" spans="1:41" s="57" customFormat="1">
      <c r="A99" s="43"/>
      <c r="B99" s="44" t="s">
        <v>164</v>
      </c>
      <c r="C99" s="44"/>
      <c r="D99" s="44"/>
      <c r="E99" s="44"/>
      <c r="F99" s="44"/>
      <c r="G99" s="44"/>
      <c r="H99" s="45"/>
      <c r="I99" s="43"/>
      <c r="J99" s="44" t="s">
        <v>164</v>
      </c>
      <c r="K99" s="44"/>
      <c r="L99" s="44"/>
      <c r="M99" s="44"/>
      <c r="N99" s="44"/>
      <c r="O99" s="44"/>
      <c r="P99" s="45"/>
      <c r="Q99" s="226">
        <f t="shared" si="14"/>
        <v>0</v>
      </c>
      <c r="R99" s="226">
        <f t="shared" si="15"/>
        <v>0</v>
      </c>
    </row>
    <row r="100" spans="1:41" s="57" customFormat="1">
      <c r="A100" s="43"/>
      <c r="B100" s="44" t="s">
        <v>165</v>
      </c>
      <c r="C100" s="44"/>
      <c r="D100" s="670" t="s">
        <v>166</v>
      </c>
      <c r="E100" s="668"/>
      <c r="F100" s="668"/>
      <c r="G100" s="668"/>
      <c r="H100" s="49" t="s">
        <v>39</v>
      </c>
      <c r="I100" s="43"/>
      <c r="J100" s="44" t="s">
        <v>165</v>
      </c>
      <c r="K100" s="44"/>
      <c r="L100" s="670" t="s">
        <v>166</v>
      </c>
      <c r="M100" s="668"/>
      <c r="N100" s="668"/>
      <c r="O100" s="668"/>
      <c r="P100" s="49" t="s">
        <v>39</v>
      </c>
      <c r="Q100" s="226">
        <f t="shared" si="14"/>
        <v>0</v>
      </c>
      <c r="R100" s="226">
        <f t="shared" si="15"/>
        <v>0</v>
      </c>
    </row>
    <row r="101" spans="1:41" s="57" customFormat="1" ht="40.5" customHeight="1">
      <c r="A101" s="43"/>
      <c r="B101" s="50" t="s">
        <v>167</v>
      </c>
      <c r="C101" s="51" t="s">
        <v>168</v>
      </c>
      <c r="D101" s="52" t="s">
        <v>169</v>
      </c>
      <c r="E101" s="53" t="s">
        <v>7</v>
      </c>
      <c r="F101" s="50" t="s">
        <v>170</v>
      </c>
      <c r="G101" s="54" t="s">
        <v>171</v>
      </c>
      <c r="H101" s="55" t="s">
        <v>172</v>
      </c>
      <c r="I101" s="43"/>
      <c r="J101" s="50" t="s">
        <v>167</v>
      </c>
      <c r="K101" s="51" t="s">
        <v>168</v>
      </c>
      <c r="L101" s="52" t="s">
        <v>169</v>
      </c>
      <c r="M101" s="53" t="s">
        <v>7</v>
      </c>
      <c r="N101" s="50" t="s">
        <v>170</v>
      </c>
      <c r="O101" s="54" t="s">
        <v>171</v>
      </c>
      <c r="P101" s="55" t="s">
        <v>172</v>
      </c>
      <c r="Q101" s="226">
        <f t="shared" si="14"/>
        <v>0</v>
      </c>
      <c r="R101" s="226">
        <f t="shared" si="15"/>
        <v>0</v>
      </c>
      <c r="T101" s="56"/>
    </row>
    <row r="102" spans="1:41" ht="15.75" customHeight="1">
      <c r="A102" s="62" t="s">
        <v>141</v>
      </c>
      <c r="B102" s="82">
        <f>('Pivot Table for Data Exchange'!$E$7)*100</f>
        <v>83.909413866896443</v>
      </c>
      <c r="C102" s="221">
        <f>('Pivot Table for Data Exchange'!$E$10)*100</f>
        <v>0.41740530690943506</v>
      </c>
      <c r="D102" s="227">
        <f>SUM(E102:G102)</f>
        <v>15.673180826194123</v>
      </c>
      <c r="E102" s="221">
        <f>('Pivot Table for Data Exchange'!$E$13)*100</f>
        <v>15.40515153013299</v>
      </c>
      <c r="F102" s="221">
        <f>('Pivot Table for Data Exchange'!$E$16)*100</f>
        <v>0.21435280989342392</v>
      </c>
      <c r="G102" s="60">
        <f>('Pivot Table for Data Exchange'!$E$19)*100</f>
        <v>5.3676486167710771E-2</v>
      </c>
      <c r="H102" s="221">
        <f>('Pivot Table for Data Exchange'!$E$22)*100</f>
        <v>0</v>
      </c>
      <c r="I102" s="229" t="s">
        <v>141</v>
      </c>
      <c r="J102" s="221">
        <f>('Pivot Table for Data Exchange'!$E$25)*100</f>
        <v>67.092577918647649</v>
      </c>
      <c r="K102" s="221">
        <f>('Pivot Table for Data Exchange'!$E$28)*100</f>
        <v>5.6127839408346543E-2</v>
      </c>
      <c r="L102" s="227">
        <f>SUM(M102:O102)</f>
        <v>32.851294241944004</v>
      </c>
      <c r="M102" s="221">
        <f>('Pivot Table for Data Exchange'!$E$31)*100</f>
        <v>32.719228737453776</v>
      </c>
      <c r="N102" s="221">
        <f>('Pivot Table for Data Exchange'!$E$34)*100</f>
        <v>0</v>
      </c>
      <c r="O102" s="60">
        <f>('Pivot Table for Data Exchange'!$E$37)*100</f>
        <v>0.13206550449022716</v>
      </c>
      <c r="P102" s="221">
        <f>('Pivot Table for Data Exchange'!$E$40)*100</f>
        <v>0</v>
      </c>
      <c r="Q102" s="226">
        <f t="shared" si="14"/>
        <v>100</v>
      </c>
      <c r="R102" s="226">
        <f t="shared" si="15"/>
        <v>100</v>
      </c>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row>
    <row r="103" spans="1:41" ht="15.75" customHeight="1">
      <c r="A103" s="65" t="s">
        <v>142</v>
      </c>
      <c r="B103" s="221">
        <f>('Pivot Table for Data Exchange'!$E$43)*100</f>
        <v>76.643511147790264</v>
      </c>
      <c r="C103" s="221">
        <f>('Pivot Table for Data Exchange'!$E$46)*100</f>
        <v>4.365410983383911</v>
      </c>
      <c r="D103" s="227">
        <f t="shared" ref="D103:D105" si="16">SUM(E103:G103)</f>
        <v>18.969633562289214</v>
      </c>
      <c r="E103" s="221">
        <f>('Pivot Table for Data Exchange'!$E$49)*100</f>
        <v>18.435995243262916</v>
      </c>
      <c r="F103" s="221">
        <f>('Pivot Table for Data Exchange'!$E$52)*100</f>
        <v>0.34518835249241325</v>
      </c>
      <c r="G103" s="223">
        <f>('Pivot Table for Data Exchange'!$E$55)*100</f>
        <v>0.18844996653388527</v>
      </c>
      <c r="H103" s="67">
        <f>('Pivot Table for Data Exchange'!$E$58)*100</f>
        <v>2.1444306536614527E-2</v>
      </c>
      <c r="I103" s="87" t="s">
        <v>142</v>
      </c>
      <c r="J103" s="221">
        <f>('Pivot Table for Data Exchange'!$E$61)*100</f>
        <v>39.606707973493457</v>
      </c>
      <c r="K103" s="221">
        <f>('Pivot Table for Data Exchange'!$E$64)*100</f>
        <v>0.33890736266277521</v>
      </c>
      <c r="L103" s="227">
        <f t="shared" ref="L103:L105" si="17">SUM(M103:O103)</f>
        <v>60.054384663843763</v>
      </c>
      <c r="M103" s="221">
        <f>('Pivot Table for Data Exchange'!$E$67)*100</f>
        <v>56.112692678803533</v>
      </c>
      <c r="N103" s="221">
        <f>('Pivot Table for Data Exchange'!$E$70)*100</f>
        <v>3.561318309769304</v>
      </c>
      <c r="O103" s="223">
        <f>('Pivot Table for Data Exchange'!$E$73)*100</f>
        <v>0.38037367527092653</v>
      </c>
      <c r="P103" s="221">
        <f>('Pivot Table for Data Exchange'!$E$76)*100</f>
        <v>0</v>
      </c>
      <c r="Q103" s="226">
        <f t="shared" si="14"/>
        <v>100</v>
      </c>
      <c r="R103" s="226">
        <f t="shared" si="15"/>
        <v>100</v>
      </c>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row>
    <row r="104" spans="1:41" ht="15.75" customHeight="1">
      <c r="A104" s="65" t="s">
        <v>143</v>
      </c>
      <c r="B104" s="221">
        <f>('Pivot Table for Data Exchange'!$E$79)*100</f>
        <v>98.163081661965492</v>
      </c>
      <c r="C104" s="221">
        <f>('Pivot Table for Data Exchange'!$E$82)*100</f>
        <v>0</v>
      </c>
      <c r="D104" s="227">
        <f t="shared" si="16"/>
        <v>1.8369183380345062</v>
      </c>
      <c r="E104" s="221">
        <f>('Pivot Table for Data Exchange'!$E$85)*100</f>
        <v>1.8369183380345062</v>
      </c>
      <c r="F104" s="221">
        <f>('Pivot Table for Data Exchange'!$E$88)*100</f>
        <v>0</v>
      </c>
      <c r="G104" s="223">
        <f>('Pivot Table for Data Exchange'!$E$91)*100</f>
        <v>0</v>
      </c>
      <c r="H104" s="221">
        <f>('Pivot Table for Data Exchange'!$E$94)*100</f>
        <v>0</v>
      </c>
      <c r="I104" s="87" t="s">
        <v>143</v>
      </c>
      <c r="J104" s="221">
        <f>('Pivot Table for Data Exchange'!$E$97)*100</f>
        <v>98.247955948606716</v>
      </c>
      <c r="K104" s="221">
        <f>('Pivot Table for Data Exchange'!$E$100)*100</f>
        <v>0</v>
      </c>
      <c r="L104" s="227">
        <f t="shared" si="17"/>
        <v>1.7520440513932922</v>
      </c>
      <c r="M104" s="221">
        <f>('Pivot Table for Data Exchange'!$E$103)*100</f>
        <v>1.7520440513932922</v>
      </c>
      <c r="N104" s="221">
        <f>('Pivot Table for Data Exchange'!$E$106)*100</f>
        <v>0</v>
      </c>
      <c r="O104" s="223">
        <f>('Pivot Table for Data Exchange'!$E$109)*100</f>
        <v>0</v>
      </c>
      <c r="P104" s="221">
        <f>('Pivot Table for Data Exchange'!$E$112)*100</f>
        <v>0</v>
      </c>
      <c r="Q104" s="226">
        <f t="shared" si="14"/>
        <v>100</v>
      </c>
      <c r="R104" s="226">
        <f t="shared" si="15"/>
        <v>100.00000000000001</v>
      </c>
      <c r="S104" s="98"/>
      <c r="T104" s="104"/>
      <c r="U104" s="98"/>
      <c r="V104" s="98"/>
      <c r="W104" s="98"/>
      <c r="X104" s="98"/>
      <c r="Y104" s="98"/>
      <c r="Z104" s="98"/>
      <c r="AA104" s="98"/>
      <c r="AB104" s="98"/>
      <c r="AC104" s="98"/>
      <c r="AD104" s="98"/>
      <c r="AE104" s="98"/>
      <c r="AF104" s="98"/>
      <c r="AG104" s="98"/>
      <c r="AH104" s="98"/>
      <c r="AI104" s="98"/>
      <c r="AJ104" s="98"/>
      <c r="AK104" s="98"/>
      <c r="AL104" s="98"/>
      <c r="AM104" s="98"/>
      <c r="AN104" s="98"/>
      <c r="AO104" s="98"/>
    </row>
    <row r="105" spans="1:41" ht="15.75" customHeight="1">
      <c r="A105" s="65" t="s">
        <v>174</v>
      </c>
      <c r="B105" s="221">
        <f>('Pivot Table for Data Exchange'!$E$115)*100</f>
        <v>85.885760789768568</v>
      </c>
      <c r="C105" s="221">
        <f>('Pivot Table for Data Exchange'!$E$118)*100</f>
        <v>1.3450987210695105</v>
      </c>
      <c r="D105" s="227">
        <f t="shared" si="16"/>
        <v>12.769140489161932</v>
      </c>
      <c r="E105" s="221">
        <f>('Pivot Table for Data Exchange'!$E$121)*100</f>
        <v>10.670472547428615</v>
      </c>
      <c r="F105" s="221">
        <f>('Pivot Table for Data Exchange'!$E$124)*100</f>
        <v>2.0986679417333178</v>
      </c>
      <c r="G105" s="223">
        <f>('Pivot Table for Data Exchange'!$E$127)*100</f>
        <v>0</v>
      </c>
      <c r="H105" s="221">
        <f>('Pivot Table for Data Exchange'!$E$130)*100</f>
        <v>0</v>
      </c>
      <c r="I105" s="87" t="s">
        <v>174</v>
      </c>
      <c r="J105" s="221">
        <f>('Pivot Table for Data Exchange'!$E$133)*100</f>
        <v>56.875056957987788</v>
      </c>
      <c r="K105" s="221">
        <f>('Pivot Table for Data Exchange'!$E$136)*100</f>
        <v>15.085209149731158</v>
      </c>
      <c r="L105" s="227">
        <f t="shared" si="17"/>
        <v>28.039733892281053</v>
      </c>
      <c r="M105" s="221">
        <f>('Pivot Table for Data Exchange'!$E$139)*100</f>
        <v>24.2431422582703</v>
      </c>
      <c r="N105" s="221">
        <f>('Pivot Table for Data Exchange'!$E$142)*100</f>
        <v>3.7965916340107535</v>
      </c>
      <c r="O105" s="223">
        <f>('Pivot Table for Data Exchange'!$E$145)*100</f>
        <v>0</v>
      </c>
      <c r="P105" s="221">
        <f>('Pivot Table for Data Exchange'!$E$148)*100</f>
        <v>0</v>
      </c>
      <c r="Q105" s="226">
        <f t="shared" si="14"/>
        <v>100</v>
      </c>
      <c r="R105" s="226">
        <f t="shared" si="15"/>
        <v>100</v>
      </c>
      <c r="S105" s="98"/>
      <c r="U105" s="98"/>
      <c r="V105" s="98"/>
      <c r="W105" s="98"/>
      <c r="X105" s="98"/>
      <c r="Y105" s="98"/>
      <c r="Z105" s="98"/>
      <c r="AA105" s="98"/>
      <c r="AB105" s="98"/>
      <c r="AC105" s="98"/>
      <c r="AD105" s="98"/>
      <c r="AE105" s="98"/>
      <c r="AF105" s="98"/>
      <c r="AG105" s="98"/>
      <c r="AH105" s="98"/>
      <c r="AI105" s="98"/>
      <c r="AJ105" s="98"/>
      <c r="AK105" s="98"/>
      <c r="AL105" s="98"/>
      <c r="AM105" s="98"/>
      <c r="AN105" s="98"/>
      <c r="AO105" s="98"/>
    </row>
    <row r="106" spans="1:41" ht="11.25" customHeight="1">
      <c r="A106" s="65"/>
      <c r="B106" s="221"/>
      <c r="C106" s="221"/>
      <c r="D106" s="227"/>
      <c r="E106" s="221"/>
      <c r="F106" s="221"/>
      <c r="G106" s="223"/>
      <c r="H106" s="221"/>
      <c r="I106" s="87"/>
      <c r="J106" s="221"/>
      <c r="K106" s="221"/>
      <c r="L106" s="227"/>
      <c r="M106" s="221"/>
      <c r="N106" s="221"/>
      <c r="O106" s="223"/>
      <c r="P106" s="221"/>
      <c r="Q106" s="226">
        <f t="shared" si="14"/>
        <v>0</v>
      </c>
      <c r="R106" s="226">
        <f t="shared" si="15"/>
        <v>0</v>
      </c>
      <c r="S106" s="98"/>
      <c r="U106" s="98"/>
      <c r="V106" s="98"/>
      <c r="W106" s="98"/>
      <c r="X106" s="98"/>
      <c r="Y106" s="98"/>
      <c r="Z106" s="98"/>
      <c r="AA106" s="98"/>
      <c r="AB106" s="98"/>
      <c r="AC106" s="98"/>
      <c r="AD106" s="98"/>
      <c r="AE106" s="98"/>
      <c r="AF106" s="98"/>
      <c r="AG106" s="98"/>
      <c r="AH106" s="98"/>
      <c r="AI106" s="98"/>
      <c r="AJ106" s="98"/>
      <c r="AK106" s="98"/>
      <c r="AL106" s="98"/>
      <c r="AM106" s="98"/>
      <c r="AN106" s="98"/>
      <c r="AO106" s="98"/>
    </row>
    <row r="107" spans="1:41" ht="15.75" customHeight="1">
      <c r="A107" s="65" t="s">
        <v>145</v>
      </c>
      <c r="B107" s="221">
        <f>('Pivot Table for Data Exchange'!$E$151)*100</f>
        <v>82.803145241379056</v>
      </c>
      <c r="C107" s="221">
        <f>('Pivot Table for Data Exchange'!$E$154)*100</f>
        <v>1.2226451085420549</v>
      </c>
      <c r="D107" s="227">
        <f t="shared" ref="D107:D108" si="18">SUM(E107:G107)</f>
        <v>15.974209650078887</v>
      </c>
      <c r="E107" s="221">
        <f>('Pivot Table for Data Exchange'!$E$157)*100</f>
        <v>15.934509843554926</v>
      </c>
      <c r="F107" s="67">
        <f>('Pivot Table for Data Exchange'!$E$160)*100</f>
        <v>1.9123687288981308E-2</v>
      </c>
      <c r="G107" s="68">
        <f>('Pivot Table for Data Exchange'!$E$163)*100</f>
        <v>2.0576119234979887E-2</v>
      </c>
      <c r="H107" s="221">
        <f>('Pivot Table for Data Exchange'!$E$166)*100</f>
        <v>0</v>
      </c>
      <c r="I107" s="87" t="s">
        <v>145</v>
      </c>
      <c r="J107" s="221">
        <f>('Pivot Table for Data Exchange'!$E$169)*100</f>
        <v>39.757030171813476</v>
      </c>
      <c r="K107" s="221">
        <f>('Pivot Table for Data Exchange'!$E$172)*100</f>
        <v>3.4698218558893914</v>
      </c>
      <c r="L107" s="227">
        <f t="shared" ref="L107:L108" si="19">SUM(M107:O107)</f>
        <v>56.773147972297146</v>
      </c>
      <c r="M107" s="221">
        <f>('Pivot Table for Data Exchange'!$E$175)*100</f>
        <v>56.769349590407828</v>
      </c>
      <c r="N107" s="61">
        <f>('Pivot Table for Data Exchange'!$E$178)*100</f>
        <v>3.7983818893151514E-3</v>
      </c>
      <c r="O107" s="223">
        <f>('Pivot Table for Data Exchange'!$E$181)*100</f>
        <v>0</v>
      </c>
      <c r="P107" s="221">
        <f>('Pivot Table for Data Exchange'!$E$184)*100</f>
        <v>0</v>
      </c>
      <c r="Q107" s="226">
        <f t="shared" si="14"/>
        <v>100</v>
      </c>
      <c r="R107" s="226">
        <f t="shared" si="15"/>
        <v>100.00000000000001</v>
      </c>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row>
    <row r="108" spans="1:41" ht="15.75" customHeight="1">
      <c r="A108" s="65" t="s">
        <v>146</v>
      </c>
      <c r="B108" s="221">
        <f>('Pivot Table for Data Exchange'!$E$187)*100</f>
        <v>76.849676955656307</v>
      </c>
      <c r="C108" s="221">
        <f>('Pivot Table for Data Exchange'!$E$190)*100</f>
        <v>5.7935380854476213</v>
      </c>
      <c r="D108" s="227">
        <f t="shared" si="18"/>
        <v>17.356784958896068</v>
      </c>
      <c r="E108" s="221">
        <f>('Pivot Table for Data Exchange'!$E$193)*100</f>
        <v>15.329753158024213</v>
      </c>
      <c r="F108" s="221">
        <f>('Pivot Table for Data Exchange'!$E$196)*100</f>
        <v>1.9816212529072064</v>
      </c>
      <c r="G108" s="68">
        <f>('Pivot Table for Data Exchange'!$E$199)*100</f>
        <v>4.5410547964650425E-2</v>
      </c>
      <c r="H108" s="221">
        <f>('Pivot Table for Data Exchange'!$E$202)*100</f>
        <v>0</v>
      </c>
      <c r="I108" s="87" t="s">
        <v>146</v>
      </c>
      <c r="J108" s="221">
        <f>('Pivot Table for Data Exchange'!$E$205)*100</f>
        <v>47.844265392444875</v>
      </c>
      <c r="K108" s="221">
        <f>('Pivot Table for Data Exchange'!$E$208)*100</f>
        <v>2.9419652108195082</v>
      </c>
      <c r="L108" s="227">
        <f t="shared" si="19"/>
        <v>49.213769396735621</v>
      </c>
      <c r="M108" s="221">
        <f>('Pivot Table for Data Exchange'!$E$211)*100</f>
        <v>47.832075770688839</v>
      </c>
      <c r="N108" s="221">
        <f>('Pivot Table for Data Exchange'!$E$214)*100</f>
        <v>1.3707229664663507</v>
      </c>
      <c r="O108" s="68">
        <f>('Pivot Table for Data Exchange'!$E$217)*100</f>
        <v>1.097065958043322E-2</v>
      </c>
      <c r="P108" s="221">
        <f>('Pivot Table for Data Exchange'!$E$220)*100</f>
        <v>0</v>
      </c>
      <c r="Q108" s="226">
        <f t="shared" si="14"/>
        <v>100</v>
      </c>
      <c r="R108" s="226">
        <f t="shared" si="15"/>
        <v>100</v>
      </c>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row>
    <row r="109" spans="1:41" ht="15.75" customHeight="1">
      <c r="A109" s="222" t="s">
        <v>147</v>
      </c>
      <c r="B109" s="221">
        <f>('Pivot Table for Data Exchange'!$E$223)*100</f>
        <v>0</v>
      </c>
      <c r="C109" s="221">
        <f>('Pivot Table for Data Exchange'!$E$226)*100</f>
        <v>0</v>
      </c>
      <c r="D109" s="227">
        <f>SUM(E109:G109)</f>
        <v>0</v>
      </c>
      <c r="E109" s="221">
        <f>('Pivot Table for Data Exchange'!$E$229)*100</f>
        <v>0</v>
      </c>
      <c r="F109" s="221">
        <f>('Pivot Table for Data Exchange'!$E$232)*100</f>
        <v>0</v>
      </c>
      <c r="G109" s="223">
        <f>('Pivot Table for Data Exchange'!$E$235)*100</f>
        <v>0</v>
      </c>
      <c r="H109" s="221">
        <f>('Pivot Table for Data Exchange'!$E$238)*100</f>
        <v>0</v>
      </c>
      <c r="I109" s="87" t="s">
        <v>147</v>
      </c>
      <c r="J109" s="221">
        <f>('Pivot Table for Data Exchange'!$E$241)*100</f>
        <v>0</v>
      </c>
      <c r="K109" s="221">
        <f>('Pivot Table for Data Exchange'!$E$244)*100</f>
        <v>0</v>
      </c>
      <c r="L109" s="227">
        <f>SUM(M109:O109)</f>
        <v>0</v>
      </c>
      <c r="M109" s="221">
        <f>('Pivot Table for Data Exchange'!$E$247)*100</f>
        <v>0</v>
      </c>
      <c r="N109" s="221">
        <f>('Pivot Table for Data Exchange'!$E$250)*100</f>
        <v>0</v>
      </c>
      <c r="O109" s="223">
        <f>('Pivot Table for Data Exchange'!$E$253)*100</f>
        <v>0</v>
      </c>
      <c r="P109" s="221">
        <f>('Pivot Table for Data Exchange'!$E$256)*100</f>
        <v>0</v>
      </c>
      <c r="Q109" s="226">
        <f t="shared" si="14"/>
        <v>0</v>
      </c>
      <c r="R109" s="226">
        <f t="shared" si="15"/>
        <v>0</v>
      </c>
      <c r="S109" s="98"/>
      <c r="T109" s="104"/>
      <c r="U109" s="98"/>
      <c r="V109" s="98"/>
      <c r="W109" s="98"/>
      <c r="X109" s="98"/>
      <c r="Y109" s="98"/>
      <c r="Z109" s="98"/>
      <c r="AA109" s="98"/>
      <c r="AB109" s="98"/>
      <c r="AC109" s="98"/>
      <c r="AD109" s="98"/>
      <c r="AE109" s="98"/>
      <c r="AF109" s="98"/>
      <c r="AG109" s="98"/>
      <c r="AH109" s="98"/>
      <c r="AI109" s="98"/>
      <c r="AJ109" s="98"/>
      <c r="AK109" s="98"/>
      <c r="AL109" s="98"/>
      <c r="AM109" s="98"/>
      <c r="AN109" s="98"/>
      <c r="AO109" s="98"/>
    </row>
    <row r="110" spans="1:41" ht="15.75" customHeight="1">
      <c r="A110" s="65" t="s">
        <v>177</v>
      </c>
      <c r="B110" s="221">
        <f>('Pivot Table for Data Exchange'!$E$259)*100</f>
        <v>89.516755282586331</v>
      </c>
      <c r="C110" s="221">
        <f>('Pivot Table for Data Exchange'!$E$262)*100</f>
        <v>2.1949624543451525</v>
      </c>
      <c r="D110" s="227">
        <f>SUM(E110:G110)</f>
        <v>8.2882822630685258</v>
      </c>
      <c r="E110" s="221">
        <f>('Pivot Table for Data Exchange'!$E$265)*100</f>
        <v>8.2531702949033772</v>
      </c>
      <c r="F110" s="67">
        <f>('Pivot Table for Data Exchange'!$E$268)*100</f>
        <v>3.511196816514886E-2</v>
      </c>
      <c r="G110" s="223">
        <f>('Pivot Table for Data Exchange'!$E$271)*100</f>
        <v>0</v>
      </c>
      <c r="H110" s="221">
        <f>('Pivot Table for Data Exchange'!$E$274)*100</f>
        <v>0</v>
      </c>
      <c r="I110" s="87" t="s">
        <v>177</v>
      </c>
      <c r="J110" s="221">
        <f>('Pivot Table for Data Exchange'!$E$277)*100</f>
        <v>59.859942615377136</v>
      </c>
      <c r="K110" s="221">
        <f>('Pivot Table for Data Exchange'!$E$280)*100</f>
        <v>18.801731264893252</v>
      </c>
      <c r="L110" s="227">
        <f>SUM(M110:O110)</f>
        <v>21.338326119729611</v>
      </c>
      <c r="M110" s="221">
        <f>('Pivot Table for Data Exchange'!$E$283)*100</f>
        <v>20.457131741477411</v>
      </c>
      <c r="N110" s="221">
        <f>('Pivot Table for Data Exchange'!$E$286)*100</f>
        <v>0.88119437825220048</v>
      </c>
      <c r="O110" s="223">
        <f>('Pivot Table for Data Exchange'!$E$289)*100</f>
        <v>0</v>
      </c>
      <c r="P110" s="221">
        <f>('Pivot Table for Data Exchange'!$E$292)*100</f>
        <v>0</v>
      </c>
      <c r="Q110" s="226">
        <f t="shared" si="14"/>
        <v>100.00000000000001</v>
      </c>
      <c r="R110" s="226">
        <f t="shared" si="15"/>
        <v>100</v>
      </c>
      <c r="S110" s="98"/>
      <c r="U110" s="98"/>
      <c r="V110" s="98"/>
      <c r="W110" s="98"/>
      <c r="X110" s="98"/>
      <c r="Y110" s="98"/>
      <c r="Z110" s="98"/>
      <c r="AA110" s="98"/>
      <c r="AB110" s="98"/>
      <c r="AC110" s="98"/>
      <c r="AD110" s="98"/>
      <c r="AE110" s="98"/>
      <c r="AF110" s="98"/>
      <c r="AG110" s="98"/>
      <c r="AH110" s="98"/>
      <c r="AI110" s="98"/>
      <c r="AJ110" s="98"/>
      <c r="AK110" s="98"/>
      <c r="AL110" s="98"/>
      <c r="AM110" s="98"/>
      <c r="AN110" s="98"/>
      <c r="AO110" s="98"/>
    </row>
    <row r="111" spans="1:41" ht="11.25" customHeight="1">
      <c r="A111" s="65"/>
      <c r="B111" s="221"/>
      <c r="C111" s="221"/>
      <c r="D111" s="227"/>
      <c r="E111" s="221"/>
      <c r="F111" s="221"/>
      <c r="G111" s="223"/>
      <c r="H111" s="221"/>
      <c r="I111" s="87"/>
      <c r="J111" s="221"/>
      <c r="K111" s="221"/>
      <c r="L111" s="227"/>
      <c r="M111" s="221"/>
      <c r="N111" s="221"/>
      <c r="O111" s="223"/>
      <c r="P111" s="221"/>
      <c r="Q111" s="226">
        <f t="shared" si="14"/>
        <v>0</v>
      </c>
      <c r="R111" s="226">
        <f t="shared" si="15"/>
        <v>0</v>
      </c>
      <c r="S111" s="98"/>
      <c r="U111" s="98"/>
      <c r="V111" s="98"/>
      <c r="W111" s="98"/>
      <c r="X111" s="98"/>
      <c r="Y111" s="98"/>
      <c r="Z111" s="98"/>
      <c r="AA111" s="98"/>
      <c r="AB111" s="98"/>
      <c r="AC111" s="98"/>
      <c r="AD111" s="98"/>
      <c r="AE111" s="98"/>
      <c r="AF111" s="98"/>
      <c r="AG111" s="98"/>
      <c r="AH111" s="98"/>
      <c r="AI111" s="98"/>
      <c r="AJ111" s="98"/>
      <c r="AK111" s="98"/>
      <c r="AL111" s="98"/>
      <c r="AM111" s="98"/>
      <c r="AN111" s="98"/>
      <c r="AO111" s="98"/>
    </row>
    <row r="112" spans="1:41" ht="15.75" customHeight="1">
      <c r="A112" s="65" t="s">
        <v>148</v>
      </c>
      <c r="B112" s="221">
        <f>('Pivot Table for Data Exchange'!$E$295)*100</f>
        <v>0</v>
      </c>
      <c r="C112" s="221">
        <f>('Pivot Table for Data Exchange'!$E$298)*100</f>
        <v>0</v>
      </c>
      <c r="D112" s="227">
        <f>SUM(E112:G112)</f>
        <v>0</v>
      </c>
      <c r="E112" s="221">
        <f>('Pivot Table for Data Exchange'!$E$301)*100</f>
        <v>0</v>
      </c>
      <c r="F112" s="221">
        <f>('Pivot Table for Data Exchange'!$E$304)*100</f>
        <v>0</v>
      </c>
      <c r="G112" s="223">
        <f>('Pivot Table for Data Exchange'!$E$307)*100</f>
        <v>0</v>
      </c>
      <c r="H112" s="221">
        <f>('Pivot Table for Data Exchange'!$E$310)*100</f>
        <v>0</v>
      </c>
      <c r="I112" s="87" t="s">
        <v>148</v>
      </c>
      <c r="J112" s="221">
        <f>('Pivot Table for Data Exchange'!$E$313)*100</f>
        <v>0</v>
      </c>
      <c r="K112" s="221">
        <f>('Pivot Table for Data Exchange'!$E$316)*100</f>
        <v>0</v>
      </c>
      <c r="L112" s="227">
        <f>SUM(M112:O112)</f>
        <v>0</v>
      </c>
      <c r="M112" s="221">
        <f>('Pivot Table for Data Exchange'!$E$319)*100</f>
        <v>0</v>
      </c>
      <c r="N112" s="221">
        <f>('Pivot Table for Data Exchange'!$E$322)*100</f>
        <v>0</v>
      </c>
      <c r="O112" s="223">
        <f>('Pivot Table for Data Exchange'!$E$325)*100</f>
        <v>0</v>
      </c>
      <c r="P112" s="221">
        <f>('Pivot Table for Data Exchange'!$E$328)*100</f>
        <v>0</v>
      </c>
      <c r="Q112" s="226">
        <f t="shared" si="14"/>
        <v>0</v>
      </c>
      <c r="R112" s="226">
        <f t="shared" si="15"/>
        <v>0</v>
      </c>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row>
    <row r="113" spans="1:41" ht="15.75" customHeight="1">
      <c r="A113" s="65" t="s">
        <v>149</v>
      </c>
      <c r="B113" s="221">
        <f>('Pivot Table for Data Exchange'!$E$331)*100</f>
        <v>89.690811085171646</v>
      </c>
      <c r="C113" s="221">
        <f>('Pivot Table for Data Exchange'!$E$334)*100</f>
        <v>0.81120170501261801</v>
      </c>
      <c r="D113" s="227">
        <f>SUM(E113:G113)</f>
        <v>9.4979872098157347</v>
      </c>
      <c r="E113" s="221">
        <f>('Pivot Table for Data Exchange'!$E$337)*100</f>
        <v>9.4887292813387347</v>
      </c>
      <c r="F113" s="67">
        <f>('Pivot Table for Data Exchange'!$E$340)*100</f>
        <v>9.2579284769995496E-3</v>
      </c>
      <c r="G113" s="68">
        <f>('Pivot Table for Data Exchange'!$E$343)*100</f>
        <v>0</v>
      </c>
      <c r="H113" s="221">
        <f>('Pivot Table for Data Exchange'!$E$346)*100</f>
        <v>0</v>
      </c>
      <c r="I113" s="87" t="s">
        <v>149</v>
      </c>
      <c r="J113" s="221">
        <f>('Pivot Table for Data Exchange'!$E$349)*100</f>
        <v>68.388769007190803</v>
      </c>
      <c r="K113" s="221">
        <f>('Pivot Table for Data Exchange'!$E$352)*100</f>
        <v>4.6403653910275366</v>
      </c>
      <c r="L113" s="227">
        <f>SUM(M113:O113)</f>
        <v>26.970865601781657</v>
      </c>
      <c r="M113" s="221">
        <f>('Pivot Table for Data Exchange'!$E$355)*100</f>
        <v>26.940667996200133</v>
      </c>
      <c r="N113" s="67">
        <f>('Pivot Table for Data Exchange'!$E$358)*100</f>
        <v>3.0197605581524095E-2</v>
      </c>
      <c r="O113" s="223">
        <f>('Pivot Table for Data Exchange'!$E$361)*100</f>
        <v>0</v>
      </c>
      <c r="P113" s="221">
        <f>('Pivot Table for Data Exchange'!$E$364)*100</f>
        <v>0</v>
      </c>
      <c r="Q113" s="226">
        <f t="shared" si="14"/>
        <v>100</v>
      </c>
      <c r="R113" s="226">
        <f t="shared" si="15"/>
        <v>99.999999999999986</v>
      </c>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row>
    <row r="114" spans="1:41" ht="15.75" customHeight="1">
      <c r="A114" s="65" t="s">
        <v>150</v>
      </c>
      <c r="B114" s="221">
        <f>('Pivot Table for Data Exchange'!$E$367)*100</f>
        <v>80.775748343695113</v>
      </c>
      <c r="C114" s="221">
        <f>('Pivot Table for Data Exchange'!$E$370)*100</f>
        <v>0.53296939571292168</v>
      </c>
      <c r="D114" s="227">
        <f>SUM(E114:G114)</f>
        <v>18.691282260591972</v>
      </c>
      <c r="E114" s="221">
        <f>('Pivot Table for Data Exchange'!$E$373)*100</f>
        <v>17.700232502204763</v>
      </c>
      <c r="F114" s="221">
        <f>('Pivot Table for Data Exchange'!$E$376)*100</f>
        <v>0.18804253551307187</v>
      </c>
      <c r="G114" s="223">
        <f>('Pivot Table for Data Exchange'!$E$379)*100</f>
        <v>0.80300722287413528</v>
      </c>
      <c r="H114" s="221">
        <f>('Pivot Table for Data Exchange'!$E$382)*100</f>
        <v>0</v>
      </c>
      <c r="I114" s="87" t="s">
        <v>150</v>
      </c>
      <c r="J114" s="221">
        <f>('Pivot Table for Data Exchange'!$E$385)*100</f>
        <v>84.150525733259556</v>
      </c>
      <c r="K114" s="221">
        <f>('Pivot Table for Data Exchange'!$E$388)*100</f>
        <v>0.12174875484228002</v>
      </c>
      <c r="L114" s="227">
        <f>SUM(M114:O114)</f>
        <v>15.727725511898175</v>
      </c>
      <c r="M114" s="221">
        <f>('Pivot Table for Data Exchange'!$E$391)*100</f>
        <v>10.893193137797455</v>
      </c>
      <c r="N114" s="221">
        <f>('Pivot Table for Data Exchange'!$E$394)*100</f>
        <v>1.403431101272828</v>
      </c>
      <c r="O114" s="223">
        <f>('Pivot Table for Data Exchange'!$E$397)*100</f>
        <v>3.4311012728278918</v>
      </c>
      <c r="P114" s="221">
        <f>('Pivot Table for Data Exchange'!$E$400)*100</f>
        <v>0</v>
      </c>
      <c r="Q114" s="226">
        <f t="shared" si="14"/>
        <v>100.00000000000001</v>
      </c>
      <c r="R114" s="226">
        <f t="shared" si="15"/>
        <v>100.00000000000001</v>
      </c>
      <c r="S114" s="98"/>
      <c r="T114" s="104"/>
      <c r="U114" s="98"/>
      <c r="V114" s="98"/>
      <c r="W114" s="98"/>
      <c r="X114" s="98"/>
      <c r="Y114" s="98"/>
      <c r="Z114" s="98"/>
      <c r="AA114" s="98"/>
      <c r="AB114" s="98"/>
      <c r="AC114" s="98"/>
      <c r="AD114" s="98"/>
      <c r="AE114" s="98"/>
      <c r="AF114" s="98"/>
      <c r="AG114" s="98"/>
      <c r="AH114" s="98"/>
      <c r="AI114" s="98"/>
      <c r="AJ114" s="98"/>
      <c r="AK114" s="98"/>
      <c r="AL114" s="98"/>
      <c r="AM114" s="98"/>
      <c r="AN114" s="98"/>
      <c r="AO114" s="98"/>
    </row>
    <row r="115" spans="1:41" ht="15.75" customHeight="1">
      <c r="A115" s="65" t="s">
        <v>151</v>
      </c>
      <c r="B115" s="221">
        <f>('Pivot Table for Data Exchange'!$E$403)*100</f>
        <v>94.82605119108473</v>
      </c>
      <c r="C115" s="221">
        <f>('Pivot Table for Data Exchange'!$E$406)*100</f>
        <v>2.1770259611446057</v>
      </c>
      <c r="D115" s="227">
        <f>SUM(E115:G115)</f>
        <v>2.9969228477706724</v>
      </c>
      <c r="E115" s="221">
        <f>('Pivot Table for Data Exchange'!$E$409)*100</f>
        <v>2.9882905725398858</v>
      </c>
      <c r="F115" s="67">
        <f>('Pivot Table for Data Exchange'!$E$412)*100</f>
        <v>8.6322752307864178E-3</v>
      </c>
      <c r="G115" s="223">
        <f>('Pivot Table for Data Exchange'!$E$415)*100</f>
        <v>0</v>
      </c>
      <c r="H115" s="221">
        <f>('Pivot Table for Data Exchange'!$E$418)*100</f>
        <v>0</v>
      </c>
      <c r="I115" s="87" t="s">
        <v>151</v>
      </c>
      <c r="J115" s="221">
        <f>('Pivot Table for Data Exchange'!$E$421)*100</f>
        <v>74.912007706272462</v>
      </c>
      <c r="K115" s="221">
        <f>('Pivot Table for Data Exchange'!$E$424)*100</f>
        <v>15.147641806528103</v>
      </c>
      <c r="L115" s="227">
        <f>SUM(M115:O115)</f>
        <v>9.9403504871994368</v>
      </c>
      <c r="M115" s="221">
        <f>('Pivot Table for Data Exchange'!$E$427)*100</f>
        <v>9.9403504871994368</v>
      </c>
      <c r="N115" s="221">
        <f>('Pivot Table for Data Exchange'!$E$430)*100</f>
        <v>0</v>
      </c>
      <c r="O115" s="68">
        <f>('Pivot Table for Data Exchange'!$E$433)*100</f>
        <v>0</v>
      </c>
      <c r="P115" s="221">
        <f>('Pivot Table for Data Exchange'!$E$436)*100</f>
        <v>0</v>
      </c>
      <c r="Q115" s="226">
        <f t="shared" si="14"/>
        <v>100.00000000000001</v>
      </c>
      <c r="R115" s="226">
        <f t="shared" si="15"/>
        <v>100</v>
      </c>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row>
    <row r="116" spans="1:41" ht="11.25" customHeight="1">
      <c r="A116" s="65"/>
      <c r="B116" s="221"/>
      <c r="C116" s="221"/>
      <c r="D116" s="227"/>
      <c r="E116" s="221"/>
      <c r="F116" s="221"/>
      <c r="G116" s="223"/>
      <c r="H116" s="221"/>
      <c r="I116" s="87"/>
      <c r="J116" s="221"/>
      <c r="K116" s="221"/>
      <c r="L116" s="227"/>
      <c r="M116" s="221"/>
      <c r="N116" s="221"/>
      <c r="O116" s="223"/>
      <c r="P116" s="221"/>
      <c r="Q116" s="226">
        <f t="shared" si="14"/>
        <v>0</v>
      </c>
      <c r="R116" s="226">
        <f t="shared" si="15"/>
        <v>0</v>
      </c>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row>
    <row r="117" spans="1:41" ht="15.75" customHeight="1">
      <c r="A117" s="65" t="s">
        <v>152</v>
      </c>
      <c r="B117" s="221">
        <f>('Pivot Table for Data Exchange'!$E$439)*100</f>
        <v>75.75795450818886</v>
      </c>
      <c r="C117" s="221">
        <f>('Pivot Table for Data Exchange'!$E$442)*100</f>
        <v>1.4609329898852774</v>
      </c>
      <c r="D117" s="227">
        <f>SUM(E117:G117)</f>
        <v>22.023266275162282</v>
      </c>
      <c r="E117" s="221">
        <f>('Pivot Table for Data Exchange'!$E$445)*100</f>
        <v>14.594356124613977</v>
      </c>
      <c r="F117" s="221">
        <f>('Pivot Table for Data Exchange'!$E$448)*100</f>
        <v>0.47198326402290863</v>
      </c>
      <c r="G117" s="223">
        <f>('Pivot Table for Data Exchange'!$E$451)*100</f>
        <v>6.9569268865253973</v>
      </c>
      <c r="H117" s="221">
        <f>('Pivot Table for Data Exchange'!$E$454)*100</f>
        <v>0.7578462267635796</v>
      </c>
      <c r="I117" s="87" t="s">
        <v>152</v>
      </c>
      <c r="J117" s="221">
        <f>('Pivot Table for Data Exchange'!$E$457)*100</f>
        <v>50.441655740775424</v>
      </c>
      <c r="K117" s="221">
        <f>('Pivot Table for Data Exchange'!$E$460)*100</f>
        <v>1.492414309795842</v>
      </c>
      <c r="L117" s="227">
        <f>SUM(M117:O117)</f>
        <v>44.143847162389953</v>
      </c>
      <c r="M117" s="221">
        <f>('Pivot Table for Data Exchange'!$E$463)*100</f>
        <v>39.241056377598795</v>
      </c>
      <c r="N117" s="221">
        <f>('Pivot Table for Data Exchange'!$E$466)*100</f>
        <v>0.32890054317287881</v>
      </c>
      <c r="O117" s="223">
        <f>('Pivot Table for Data Exchange'!$E$469)*100</f>
        <v>4.5738902416182805</v>
      </c>
      <c r="P117" s="221">
        <f>('Pivot Table for Data Exchange'!$E$472)*100</f>
        <v>3.9220827870387711</v>
      </c>
      <c r="Q117" s="226">
        <f t="shared" si="14"/>
        <v>100</v>
      </c>
      <c r="R117" s="226">
        <f t="shared" si="15"/>
        <v>99.999999999999986</v>
      </c>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row>
    <row r="118" spans="1:41" ht="15.75" customHeight="1">
      <c r="A118" s="65" t="s">
        <v>153</v>
      </c>
      <c r="B118" s="221">
        <f>('Pivot Table for Data Exchange'!$E$475)*100</f>
        <v>84.249251797093706</v>
      </c>
      <c r="C118" s="221">
        <f>('Pivot Table for Data Exchange'!$E$478)*100</f>
        <v>2.4630030807320606</v>
      </c>
      <c r="D118" s="227">
        <f>SUM(E118:G118)</f>
        <v>13.287745122174236</v>
      </c>
      <c r="E118" s="221">
        <f>('Pivot Table for Data Exchange'!$E$481)*100</f>
        <v>13.004245677831388</v>
      </c>
      <c r="F118" s="221">
        <f>('Pivot Table for Data Exchange'!$E$484)*100</f>
        <v>9.7064160817027026E-2</v>
      </c>
      <c r="G118" s="223">
        <f>('Pivot Table for Data Exchange'!$E$487)*100</f>
        <v>0.18643528352582048</v>
      </c>
      <c r="H118" s="221">
        <f>('Pivot Table for Data Exchange'!$E$490)*100</f>
        <v>0</v>
      </c>
      <c r="I118" s="87" t="s">
        <v>153</v>
      </c>
      <c r="J118" s="221">
        <f>('Pivot Table for Data Exchange'!$E$493)*100</f>
        <v>50.315593238952225</v>
      </c>
      <c r="K118" s="221">
        <f>('Pivot Table for Data Exchange'!$E$496)*100</f>
        <v>5.2661817704559732</v>
      </c>
      <c r="L118" s="227">
        <f>SUM(M118:O118)</f>
        <v>44.418224990591803</v>
      </c>
      <c r="M118" s="221">
        <f>('Pivot Table for Data Exchange'!$E$499)*100</f>
        <v>43.173931851145525</v>
      </c>
      <c r="N118" s="221">
        <f>('Pivot Table for Data Exchange'!$E$502)*100</f>
        <v>0.25512629756163546</v>
      </c>
      <c r="O118" s="223">
        <f>('Pivot Table for Data Exchange'!$E$505)*100</f>
        <v>0.9891668418846401</v>
      </c>
      <c r="P118" s="221">
        <f>('Pivot Table for Data Exchange'!$E$508)*100</f>
        <v>0</v>
      </c>
      <c r="Q118" s="226">
        <f t="shared" si="14"/>
        <v>100</v>
      </c>
      <c r="R118" s="226">
        <f t="shared" si="15"/>
        <v>100</v>
      </c>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row>
    <row r="119" spans="1:41" ht="15.75" customHeight="1">
      <c r="A119" s="65" t="s">
        <v>154</v>
      </c>
      <c r="B119" s="221">
        <f>('Pivot Table for Data Exchange'!$E$511)*100</f>
        <v>92.123572028921572</v>
      </c>
      <c r="C119" s="221">
        <f>('Pivot Table for Data Exchange'!$E$514)*100</f>
        <v>1.5689392577908721</v>
      </c>
      <c r="D119" s="227">
        <f>SUM(E119:G119)</f>
        <v>6.307488713287551</v>
      </c>
      <c r="E119" s="221">
        <f>('Pivot Table for Data Exchange'!$E$517)*100</f>
        <v>6.1316211295244418</v>
      </c>
      <c r="F119" s="221">
        <f>('Pivot Table for Data Exchange'!$E$520)*100</f>
        <v>0.17586758376310882</v>
      </c>
      <c r="G119" s="223">
        <f>('Pivot Table for Data Exchange'!$E$523)*100</f>
        <v>0</v>
      </c>
      <c r="H119" s="221">
        <f>('Pivot Table for Data Exchange'!$E$526)*100</f>
        <v>0</v>
      </c>
      <c r="I119" s="87" t="s">
        <v>154</v>
      </c>
      <c r="J119" s="221">
        <f>('Pivot Table for Data Exchange'!$E$529)*100</f>
        <v>73.048296394310299</v>
      </c>
      <c r="K119" s="221">
        <f>('Pivot Table for Data Exchange'!$E$532)*100</f>
        <v>8.1698208471890936</v>
      </c>
      <c r="L119" s="227">
        <f>SUM(M119:O119)</f>
        <v>18.781882758500618</v>
      </c>
      <c r="M119" s="221">
        <f>('Pivot Table for Data Exchange'!$E$535)*100</f>
        <v>15.595783205947386</v>
      </c>
      <c r="N119" s="221">
        <f>('Pivot Table for Data Exchange'!$E$538)*100</f>
        <v>3.1860995525532321</v>
      </c>
      <c r="O119" s="223">
        <f>('Pivot Table for Data Exchange'!$E$541)*100</f>
        <v>0</v>
      </c>
      <c r="P119" s="221">
        <f>('Pivot Table for Data Exchange'!$E$544)*100</f>
        <v>0</v>
      </c>
      <c r="Q119" s="226">
        <f t="shared" si="14"/>
        <v>100</v>
      </c>
      <c r="R119" s="226">
        <f t="shared" si="15"/>
        <v>100</v>
      </c>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row>
    <row r="120" spans="1:41" ht="15.75" customHeight="1">
      <c r="A120" s="220" t="s">
        <v>155</v>
      </c>
      <c r="B120" s="224">
        <f>('Pivot Table for Data Exchange'!$E$547)*100</f>
        <v>79.271872067241716</v>
      </c>
      <c r="C120" s="224">
        <f>('Pivot Table for Data Exchange'!$E$550)*100</f>
        <v>6.4362710457538332</v>
      </c>
      <c r="D120" s="228">
        <f>SUM(E120:G120)</f>
        <v>14.291856887004444</v>
      </c>
      <c r="E120" s="224">
        <f>('Pivot Table for Data Exchange'!$E$553)*100</f>
        <v>12.505374776128889</v>
      </c>
      <c r="F120" s="224">
        <f>('Pivot Table for Data Exchange'!$E$556)*100</f>
        <v>1.7864821108755555</v>
      </c>
      <c r="G120" s="225">
        <f>('Pivot Table for Data Exchange'!$E$559)*100</f>
        <v>0</v>
      </c>
      <c r="H120" s="224">
        <f>('Pivot Table for Data Exchange'!$E$562)*100</f>
        <v>0</v>
      </c>
      <c r="I120" s="230" t="s">
        <v>155</v>
      </c>
      <c r="J120" s="224">
        <f>('Pivot Table for Data Exchange'!$E$565)*100</f>
        <v>39.37781967544273</v>
      </c>
      <c r="K120" s="224">
        <f>('Pivot Table for Data Exchange'!$E$568)*100</f>
        <v>30.45417816982021</v>
      </c>
      <c r="L120" s="228">
        <f>SUM(M120:O120)</f>
        <v>30.168002154737053</v>
      </c>
      <c r="M120" s="224">
        <f>('Pivot Table for Data Exchange'!$E$571)*100</f>
        <v>28.08060063295401</v>
      </c>
      <c r="N120" s="224">
        <f>('Pivot Table for Data Exchange'!$E$574)*100</f>
        <v>2.0874015217830451</v>
      </c>
      <c r="O120" s="225">
        <f>('Pivot Table for Data Exchange'!$E$577)*100</f>
        <v>0</v>
      </c>
      <c r="P120" s="224">
        <f>('Pivot Table for Data Exchange'!$E$580)*100</f>
        <v>0</v>
      </c>
      <c r="Q120" s="226">
        <f t="shared" si="14"/>
        <v>99.999999999999986</v>
      </c>
      <c r="R120" s="226">
        <f t="shared" si="15"/>
        <v>100</v>
      </c>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row>
    <row r="121" spans="1:41" s="103" customFormat="1" ht="13.5" customHeight="1">
      <c r="A121" s="691" t="s">
        <v>175</v>
      </c>
      <c r="B121" s="69"/>
      <c r="C121" s="69"/>
      <c r="D121" s="70"/>
      <c r="E121" s="69"/>
      <c r="F121" s="70"/>
      <c r="G121" s="70"/>
      <c r="H121" s="69"/>
      <c r="I121" s="691" t="s">
        <v>175</v>
      </c>
      <c r="J121" s="69"/>
      <c r="K121" s="69"/>
      <c r="L121" s="70"/>
      <c r="M121" s="69"/>
      <c r="N121" s="70"/>
      <c r="O121" s="70"/>
      <c r="P121" s="69"/>
      <c r="Q121" s="226">
        <f t="shared" si="14"/>
        <v>0</v>
      </c>
      <c r="R121" s="226">
        <f t="shared" si="15"/>
        <v>0</v>
      </c>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row>
    <row r="122" spans="1:41" s="103" customFormat="1" ht="26.25" customHeight="1">
      <c r="A122" s="666" t="s">
        <v>176</v>
      </c>
      <c r="B122" s="680"/>
      <c r="C122" s="680"/>
      <c r="D122" s="680"/>
      <c r="E122" s="680"/>
      <c r="F122" s="680"/>
      <c r="G122" s="680"/>
      <c r="H122" s="680"/>
      <c r="I122" s="666" t="s">
        <v>176</v>
      </c>
      <c r="J122" s="680"/>
      <c r="K122" s="680"/>
      <c r="L122" s="680"/>
      <c r="M122" s="680"/>
      <c r="N122" s="680"/>
      <c r="O122" s="680"/>
      <c r="P122" s="680"/>
      <c r="Q122" s="226">
        <f t="shared" si="14"/>
        <v>0</v>
      </c>
      <c r="R122" s="226">
        <f t="shared" si="15"/>
        <v>0</v>
      </c>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row>
    <row r="123" spans="1:41" s="103" customFormat="1" ht="13.5" customHeight="1">
      <c r="A123" s="75"/>
      <c r="B123" s="76"/>
      <c r="C123" s="25"/>
      <c r="D123" s="25"/>
      <c r="E123" s="25"/>
      <c r="F123" s="25"/>
      <c r="G123" s="25"/>
      <c r="H123" s="26"/>
      <c r="I123" s="75"/>
      <c r="J123" s="25"/>
      <c r="K123" s="25"/>
      <c r="L123" s="25"/>
      <c r="M123" s="25"/>
      <c r="N123" s="25"/>
      <c r="O123" s="25"/>
      <c r="P123" s="77"/>
      <c r="Q123" s="226">
        <f t="shared" si="14"/>
        <v>0</v>
      </c>
      <c r="R123" s="226">
        <f t="shared" si="15"/>
        <v>0</v>
      </c>
    </row>
    <row r="124" spans="1:41" s="103" customFormat="1" ht="13.5" customHeight="1">
      <c r="A124" s="25"/>
      <c r="B124" s="25"/>
      <c r="C124" s="25"/>
      <c r="D124" s="25"/>
      <c r="E124" s="25"/>
      <c r="F124" s="25"/>
      <c r="G124" s="25"/>
      <c r="H124" s="27" t="s">
        <v>899</v>
      </c>
      <c r="I124" s="75"/>
      <c r="J124" s="25"/>
      <c r="K124" s="25"/>
      <c r="L124" s="25"/>
      <c r="M124" s="25"/>
      <c r="N124" s="25"/>
      <c r="O124" s="25"/>
      <c r="P124" s="27" t="s">
        <v>899</v>
      </c>
      <c r="Q124" s="226">
        <f t="shared" si="14"/>
        <v>0</v>
      </c>
      <c r="R124" s="226">
        <f t="shared" si="15"/>
        <v>0</v>
      </c>
    </row>
    <row r="125" spans="1:41" ht="18">
      <c r="A125" s="16" t="s">
        <v>204</v>
      </c>
      <c r="B125" s="34"/>
      <c r="C125" s="34"/>
      <c r="D125" s="34"/>
      <c r="E125" s="34"/>
      <c r="F125" s="34"/>
      <c r="G125" s="34"/>
      <c r="H125" s="35"/>
      <c r="I125" s="16" t="s">
        <v>219</v>
      </c>
      <c r="J125" s="19"/>
      <c r="K125" s="19"/>
      <c r="L125" s="34"/>
      <c r="M125" s="19"/>
      <c r="N125" s="19"/>
      <c r="O125" s="19"/>
      <c r="P125" s="19"/>
      <c r="Q125" s="226">
        <f t="shared" si="14"/>
        <v>0</v>
      </c>
      <c r="R125" s="226">
        <f t="shared" si="15"/>
        <v>0</v>
      </c>
    </row>
    <row r="126" spans="1:41">
      <c r="A126" s="18"/>
      <c r="B126" s="19"/>
      <c r="C126" s="19"/>
      <c r="D126" s="19"/>
      <c r="E126" s="19"/>
      <c r="F126" s="19"/>
      <c r="G126" s="19"/>
      <c r="H126" s="36"/>
      <c r="I126" s="18"/>
      <c r="J126" s="19"/>
      <c r="K126" s="19"/>
      <c r="L126" s="19"/>
      <c r="M126" s="19"/>
      <c r="N126" s="19"/>
      <c r="O126" s="19"/>
      <c r="P126" s="19"/>
      <c r="Q126" s="226">
        <f t="shared" si="14"/>
        <v>0</v>
      </c>
      <c r="R126" s="226">
        <f t="shared" si="15"/>
        <v>0</v>
      </c>
    </row>
    <row r="127" spans="1:41" ht="15.75">
      <c r="A127" s="37" t="s">
        <v>162</v>
      </c>
      <c r="B127" s="19"/>
      <c r="C127" s="19"/>
      <c r="D127" s="19"/>
      <c r="E127" s="19"/>
      <c r="F127" s="19"/>
      <c r="G127" s="19"/>
      <c r="H127" s="36"/>
      <c r="I127" s="37" t="s">
        <v>163</v>
      </c>
      <c r="J127" s="19"/>
      <c r="K127" s="19"/>
      <c r="L127" s="19"/>
      <c r="M127" s="19"/>
      <c r="N127" s="19"/>
      <c r="O127" s="19"/>
      <c r="P127" s="19"/>
      <c r="Q127" s="226">
        <f t="shared" si="14"/>
        <v>0</v>
      </c>
      <c r="R127" s="226">
        <f t="shared" si="15"/>
        <v>0</v>
      </c>
    </row>
    <row r="128" spans="1:41" ht="15.75">
      <c r="A128" s="37" t="s">
        <v>904</v>
      </c>
      <c r="B128" s="19"/>
      <c r="C128" s="19"/>
      <c r="D128" s="19"/>
      <c r="E128" s="19"/>
      <c r="F128" s="19"/>
      <c r="G128" s="19"/>
      <c r="H128" s="36"/>
      <c r="I128" s="37" t="s">
        <v>904</v>
      </c>
      <c r="J128" s="19"/>
      <c r="K128" s="19"/>
      <c r="L128" s="19"/>
      <c r="M128" s="19"/>
      <c r="N128" s="19"/>
      <c r="O128" s="19"/>
      <c r="P128" s="19"/>
      <c r="Q128" s="226">
        <f t="shared" si="14"/>
        <v>0</v>
      </c>
      <c r="R128" s="226">
        <f t="shared" si="15"/>
        <v>0</v>
      </c>
    </row>
    <row r="129" spans="1:41">
      <c r="A129" s="39"/>
      <c r="B129" s="40"/>
      <c r="C129" s="40"/>
      <c r="D129" s="40"/>
      <c r="E129" s="40"/>
      <c r="F129" s="40"/>
      <c r="G129" s="40"/>
      <c r="H129" s="40"/>
      <c r="I129" s="41"/>
      <c r="L129" s="42"/>
      <c r="P129" s="39"/>
      <c r="Q129" s="226">
        <f t="shared" si="14"/>
        <v>0</v>
      </c>
      <c r="R129" s="226">
        <f t="shared" si="15"/>
        <v>0</v>
      </c>
    </row>
    <row r="130" spans="1:41" s="57" customFormat="1">
      <c r="A130" s="43"/>
      <c r="B130" s="44" t="s">
        <v>164</v>
      </c>
      <c r="C130" s="44"/>
      <c r="D130" s="44"/>
      <c r="E130" s="44"/>
      <c r="F130" s="44"/>
      <c r="G130" s="44"/>
      <c r="H130" s="45"/>
      <c r="I130" s="43"/>
      <c r="J130" s="44" t="s">
        <v>164</v>
      </c>
      <c r="K130" s="44"/>
      <c r="L130" s="44"/>
      <c r="M130" s="44"/>
      <c r="N130" s="44"/>
      <c r="O130" s="44"/>
      <c r="P130" s="45"/>
      <c r="Q130" s="226">
        <f t="shared" si="14"/>
        <v>0</v>
      </c>
      <c r="R130" s="226">
        <f t="shared" si="15"/>
        <v>0</v>
      </c>
    </row>
    <row r="131" spans="1:41" s="57" customFormat="1">
      <c r="A131" s="43"/>
      <c r="B131" s="44" t="s">
        <v>165</v>
      </c>
      <c r="C131" s="44"/>
      <c r="D131" s="670" t="s">
        <v>166</v>
      </c>
      <c r="E131" s="668"/>
      <c r="F131" s="668"/>
      <c r="G131" s="668"/>
      <c r="H131" s="49" t="s">
        <v>39</v>
      </c>
      <c r="I131" s="43"/>
      <c r="J131" s="44" t="s">
        <v>165</v>
      </c>
      <c r="K131" s="44"/>
      <c r="L131" s="670" t="s">
        <v>166</v>
      </c>
      <c r="M131" s="668"/>
      <c r="N131" s="668"/>
      <c r="O131" s="668"/>
      <c r="P131" s="49" t="s">
        <v>39</v>
      </c>
      <c r="Q131" s="226">
        <f t="shared" si="14"/>
        <v>0</v>
      </c>
      <c r="R131" s="226">
        <f t="shared" si="15"/>
        <v>0</v>
      </c>
    </row>
    <row r="132" spans="1:41" s="57" customFormat="1" ht="40.5" customHeight="1">
      <c r="A132" s="43"/>
      <c r="B132" s="50" t="s">
        <v>167</v>
      </c>
      <c r="C132" s="51" t="s">
        <v>168</v>
      </c>
      <c r="D132" s="52" t="s">
        <v>169</v>
      </c>
      <c r="E132" s="53" t="s">
        <v>7</v>
      </c>
      <c r="F132" s="50" t="s">
        <v>170</v>
      </c>
      <c r="G132" s="54" t="s">
        <v>171</v>
      </c>
      <c r="H132" s="55" t="s">
        <v>172</v>
      </c>
      <c r="I132" s="43"/>
      <c r="J132" s="50" t="s">
        <v>167</v>
      </c>
      <c r="K132" s="51" t="s">
        <v>168</v>
      </c>
      <c r="L132" s="52" t="s">
        <v>169</v>
      </c>
      <c r="M132" s="53" t="s">
        <v>7</v>
      </c>
      <c r="N132" s="50" t="s">
        <v>170</v>
      </c>
      <c r="O132" s="54" t="s">
        <v>171</v>
      </c>
      <c r="P132" s="55" t="s">
        <v>172</v>
      </c>
      <c r="Q132" s="226">
        <f t="shared" si="14"/>
        <v>0</v>
      </c>
      <c r="R132" s="226">
        <f t="shared" si="15"/>
        <v>0</v>
      </c>
      <c r="T132" s="56"/>
    </row>
    <row r="133" spans="1:41" ht="15.75" customHeight="1">
      <c r="A133" s="62" t="s">
        <v>141</v>
      </c>
      <c r="B133" s="82">
        <f>('Pivot Table for Data Exchange'!$F$7)*100</f>
        <v>85.203369821850188</v>
      </c>
      <c r="C133" s="221">
        <f>('Pivot Table for Data Exchange'!$F$10)*100</f>
        <v>0.51440028098109236</v>
      </c>
      <c r="D133" s="227">
        <f>SUM(E133:G133)</f>
        <v>14.282229897168724</v>
      </c>
      <c r="E133" s="221">
        <f>('Pivot Table for Data Exchange'!$F$13)*100</f>
        <v>14.282229897168724</v>
      </c>
      <c r="F133" s="221">
        <f>('Pivot Table for Data Exchange'!$F$16)*100</f>
        <v>0</v>
      </c>
      <c r="G133" s="60">
        <f>('Pivot Table for Data Exchange'!$F$19)*100</f>
        <v>0</v>
      </c>
      <c r="H133" s="221">
        <f>('Pivot Table for Data Exchange'!$F$22)*100</f>
        <v>0</v>
      </c>
      <c r="I133" s="229" t="s">
        <v>141</v>
      </c>
      <c r="J133" s="221">
        <f>('Pivot Table for Data Exchange'!$F$25)*100</f>
        <v>54.750832253309959</v>
      </c>
      <c r="K133" s="221">
        <f>('Pivot Table for Data Exchange'!$F$28)*100</f>
        <v>0.48029274986658538</v>
      </c>
      <c r="L133" s="227">
        <f>SUM(M133:O133)</f>
        <v>44.768874996823463</v>
      </c>
      <c r="M133" s="221">
        <f>('Pivot Table for Data Exchange'!$F$31)*100</f>
        <v>44.768874996823463</v>
      </c>
      <c r="N133" s="221">
        <f>('Pivot Table for Data Exchange'!$F$34)*100</f>
        <v>0</v>
      </c>
      <c r="O133" s="60">
        <f>('Pivot Table for Data Exchange'!$F$37)*100</f>
        <v>0</v>
      </c>
      <c r="P133" s="221">
        <f>('Pivot Table for Data Exchange'!$F$40)*100</f>
        <v>0</v>
      </c>
      <c r="Q133" s="226">
        <f t="shared" si="14"/>
        <v>100</v>
      </c>
      <c r="R133" s="226">
        <f t="shared" si="15"/>
        <v>100</v>
      </c>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row>
    <row r="134" spans="1:41" ht="15.75" customHeight="1">
      <c r="A134" s="65" t="s">
        <v>142</v>
      </c>
      <c r="B134" s="221">
        <f>('Pivot Table for Data Exchange'!$F$43)*100</f>
        <v>83.453363780080807</v>
      </c>
      <c r="C134" s="221">
        <f>('Pivot Table for Data Exchange'!$F$46)*100</f>
        <v>2.0143583234645832</v>
      </c>
      <c r="D134" s="227">
        <f t="shared" ref="D134:D136" si="20">SUM(E134:G134)</f>
        <v>14.532277896454614</v>
      </c>
      <c r="E134" s="221">
        <f>('Pivot Table for Data Exchange'!$F$49)*100</f>
        <v>14.493180646294542</v>
      </c>
      <c r="F134" s="67">
        <f>('Pivot Table for Data Exchange'!$F$52)*100</f>
        <v>3.9097250160072074E-2</v>
      </c>
      <c r="G134" s="223">
        <f>('Pivot Table for Data Exchange'!$F$55)*100</f>
        <v>0</v>
      </c>
      <c r="H134" s="221">
        <f>('Pivot Table for Data Exchange'!$F$58)*100</f>
        <v>0</v>
      </c>
      <c r="I134" s="87" t="s">
        <v>142</v>
      </c>
      <c r="J134" s="221">
        <f>('Pivot Table for Data Exchange'!$F$61)*100</f>
        <v>31.049371128214752</v>
      </c>
      <c r="K134" s="221">
        <f>('Pivot Table for Data Exchange'!$F$64)*100</f>
        <v>15.017833677492021</v>
      </c>
      <c r="L134" s="227">
        <f t="shared" ref="L134:L136" si="21">SUM(M134:O134)</f>
        <v>53.932795194293227</v>
      </c>
      <c r="M134" s="221">
        <f>('Pivot Table for Data Exchange'!$F$67)*100</f>
        <v>53.932795194293227</v>
      </c>
      <c r="N134" s="221">
        <f>('Pivot Table for Data Exchange'!$F$70)*100</f>
        <v>0</v>
      </c>
      <c r="O134" s="223">
        <f>('Pivot Table for Data Exchange'!$F$73)*100</f>
        <v>0</v>
      </c>
      <c r="P134" s="221">
        <f>('Pivot Table for Data Exchange'!$F$76)*100</f>
        <v>0</v>
      </c>
      <c r="Q134" s="226">
        <f t="shared" si="14"/>
        <v>100</v>
      </c>
      <c r="R134" s="226">
        <f t="shared" si="15"/>
        <v>100</v>
      </c>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row>
    <row r="135" spans="1:41" ht="15.75" customHeight="1">
      <c r="A135" s="65" t="s">
        <v>143</v>
      </c>
      <c r="B135" s="221">
        <f>('Pivot Table for Data Exchange'!$F$79)*100</f>
        <v>0</v>
      </c>
      <c r="C135" s="221">
        <f>('Pivot Table for Data Exchange'!$F$82)*100</f>
        <v>0</v>
      </c>
      <c r="D135" s="227">
        <f t="shared" si="20"/>
        <v>0</v>
      </c>
      <c r="E135" s="221">
        <f>('Pivot Table for Data Exchange'!$F$85)*100</f>
        <v>0</v>
      </c>
      <c r="F135" s="221">
        <f>('Pivot Table for Data Exchange'!$F$88)*100</f>
        <v>0</v>
      </c>
      <c r="G135" s="223">
        <f>('Pivot Table for Data Exchange'!$F$91)*100</f>
        <v>0</v>
      </c>
      <c r="H135" s="221">
        <f>('Pivot Table for Data Exchange'!$F$94)*100</f>
        <v>0</v>
      </c>
      <c r="I135" s="87" t="s">
        <v>143</v>
      </c>
      <c r="J135" s="221">
        <f>('Pivot Table for Data Exchange'!$F$97)*100</f>
        <v>0</v>
      </c>
      <c r="K135" s="221">
        <f>('Pivot Table for Data Exchange'!$F$100)*100</f>
        <v>0</v>
      </c>
      <c r="L135" s="227">
        <f t="shared" si="21"/>
        <v>0</v>
      </c>
      <c r="M135" s="221">
        <f>('Pivot Table for Data Exchange'!$F$103)*100</f>
        <v>0</v>
      </c>
      <c r="N135" s="221">
        <f>('Pivot Table for Data Exchange'!$F$106)*100</f>
        <v>0</v>
      </c>
      <c r="O135" s="223">
        <f>('Pivot Table for Data Exchange'!$F$109)*100</f>
        <v>0</v>
      </c>
      <c r="P135" s="221">
        <f>('Pivot Table for Data Exchange'!$F$112)*100</f>
        <v>0</v>
      </c>
      <c r="Q135" s="226">
        <f t="shared" si="14"/>
        <v>0</v>
      </c>
      <c r="R135" s="226">
        <f t="shared" si="15"/>
        <v>0</v>
      </c>
      <c r="S135" s="98"/>
      <c r="T135" s="104"/>
      <c r="U135" s="98"/>
      <c r="V135" s="98"/>
      <c r="W135" s="98"/>
      <c r="X135" s="98"/>
      <c r="Y135" s="98"/>
      <c r="Z135" s="98"/>
      <c r="AA135" s="98"/>
      <c r="AB135" s="98"/>
      <c r="AC135" s="98"/>
      <c r="AD135" s="98"/>
      <c r="AE135" s="98"/>
      <c r="AF135" s="98"/>
      <c r="AG135" s="98"/>
      <c r="AH135" s="98"/>
      <c r="AI135" s="98"/>
      <c r="AJ135" s="98"/>
      <c r="AK135" s="98"/>
      <c r="AL135" s="98"/>
      <c r="AM135" s="98"/>
      <c r="AN135" s="98"/>
      <c r="AO135" s="98"/>
    </row>
    <row r="136" spans="1:41" ht="15.75" customHeight="1">
      <c r="A136" s="65" t="s">
        <v>174</v>
      </c>
      <c r="B136" s="221">
        <f>('Pivot Table for Data Exchange'!$F$115)*100</f>
        <v>78.98535866370689</v>
      </c>
      <c r="C136" s="221">
        <f>('Pivot Table for Data Exchange'!$F$118)*100</f>
        <v>2.85159860094558</v>
      </c>
      <c r="D136" s="227">
        <f t="shared" si="20"/>
        <v>18.163042735347521</v>
      </c>
      <c r="E136" s="221">
        <f>('Pivot Table for Data Exchange'!$F$121)*100</f>
        <v>18.163042735347521</v>
      </c>
      <c r="F136" s="61">
        <f>('Pivot Table for Data Exchange'!$F$124)*100</f>
        <v>0</v>
      </c>
      <c r="G136" s="232">
        <f>('Pivot Table for Data Exchange'!$F$127)*100</f>
        <v>0</v>
      </c>
      <c r="H136" s="221">
        <f>('Pivot Table for Data Exchange'!$F$130)*100</f>
        <v>0</v>
      </c>
      <c r="I136" s="87" t="s">
        <v>174</v>
      </c>
      <c r="J136" s="221">
        <f>('Pivot Table for Data Exchange'!$F$133)*100</f>
        <v>56.061493411420201</v>
      </c>
      <c r="K136" s="221">
        <f>('Pivot Table for Data Exchange'!$F$136)*100</f>
        <v>11.342118106393363</v>
      </c>
      <c r="L136" s="227">
        <f t="shared" si="21"/>
        <v>32.596388482186434</v>
      </c>
      <c r="M136" s="221">
        <f>('Pivot Table for Data Exchange'!$F$139)*100</f>
        <v>32.596388482186434</v>
      </c>
      <c r="N136" s="221">
        <f>('Pivot Table for Data Exchange'!$F$142)*100</f>
        <v>0</v>
      </c>
      <c r="O136" s="223">
        <f>('Pivot Table for Data Exchange'!$F$145)*100</f>
        <v>0</v>
      </c>
      <c r="P136" s="221">
        <f>('Pivot Table for Data Exchange'!$F$148)*100</f>
        <v>0</v>
      </c>
      <c r="Q136" s="226">
        <f t="shared" si="14"/>
        <v>99.999999999999986</v>
      </c>
      <c r="R136" s="226">
        <f t="shared" si="15"/>
        <v>100</v>
      </c>
      <c r="S136" s="98"/>
      <c r="U136" s="98"/>
      <c r="V136" s="98"/>
      <c r="W136" s="98"/>
      <c r="X136" s="98"/>
      <c r="Y136" s="98"/>
      <c r="Z136" s="98"/>
      <c r="AA136" s="98"/>
      <c r="AB136" s="98"/>
      <c r="AC136" s="98"/>
      <c r="AD136" s="98"/>
      <c r="AE136" s="98"/>
      <c r="AF136" s="98"/>
      <c r="AG136" s="98"/>
      <c r="AH136" s="98"/>
      <c r="AI136" s="98"/>
      <c r="AJ136" s="98"/>
      <c r="AK136" s="98"/>
      <c r="AL136" s="98"/>
      <c r="AM136" s="98"/>
      <c r="AN136" s="98"/>
      <c r="AO136" s="98"/>
    </row>
    <row r="137" spans="1:41" ht="15.75" customHeight="1">
      <c r="A137" s="65"/>
      <c r="B137" s="221"/>
      <c r="C137" s="221"/>
      <c r="D137" s="227"/>
      <c r="E137" s="221"/>
      <c r="F137" s="221"/>
      <c r="G137" s="223"/>
      <c r="H137" s="221"/>
      <c r="I137" s="87"/>
      <c r="J137" s="221"/>
      <c r="K137" s="221"/>
      <c r="L137" s="227"/>
      <c r="M137" s="221"/>
      <c r="N137" s="221"/>
      <c r="O137" s="223"/>
      <c r="P137" s="221"/>
      <c r="Q137" s="226">
        <f t="shared" si="14"/>
        <v>0</v>
      </c>
      <c r="R137" s="226">
        <f t="shared" si="15"/>
        <v>0</v>
      </c>
      <c r="S137" s="98"/>
      <c r="U137" s="98"/>
      <c r="V137" s="98"/>
      <c r="W137" s="98"/>
      <c r="X137" s="98"/>
      <c r="Y137" s="98"/>
      <c r="Z137" s="98"/>
      <c r="AA137" s="98"/>
      <c r="AB137" s="98"/>
      <c r="AC137" s="98"/>
      <c r="AD137" s="98"/>
      <c r="AE137" s="98"/>
      <c r="AF137" s="98"/>
      <c r="AG137" s="98"/>
      <c r="AH137" s="98"/>
      <c r="AI137" s="98"/>
      <c r="AJ137" s="98"/>
      <c r="AK137" s="98"/>
      <c r="AL137" s="98"/>
      <c r="AM137" s="98"/>
      <c r="AN137" s="98"/>
      <c r="AO137" s="98"/>
    </row>
    <row r="138" spans="1:41" ht="15.75" customHeight="1">
      <c r="A138" s="65" t="s">
        <v>145</v>
      </c>
      <c r="B138" s="221">
        <f>('Pivot Table for Data Exchange'!$F$151)*100</f>
        <v>86.666545694337415</v>
      </c>
      <c r="C138" s="221">
        <f>('Pivot Table for Data Exchange'!$F$154)*100</f>
        <v>2.0987798267573288</v>
      </c>
      <c r="D138" s="227">
        <f t="shared" ref="D138:D139" si="22">SUM(E138:G138)</f>
        <v>11.231199741788425</v>
      </c>
      <c r="E138" s="221">
        <f>('Pivot Table for Data Exchange'!$F$157)*100</f>
        <v>11.155759338162961</v>
      </c>
      <c r="F138" s="67">
        <f>('Pivot Table for Data Exchange'!$F$160)*100</f>
        <v>2.3396563253342311E-2</v>
      </c>
      <c r="G138" s="223">
        <f>('Pivot Table for Data Exchange'!$F$163)*100</f>
        <v>5.2043840372121175E-2</v>
      </c>
      <c r="H138" s="61">
        <f>('Pivot Table for Data Exchange'!$F$166)*100</f>
        <v>3.4747371168330167E-3</v>
      </c>
      <c r="I138" s="87" t="s">
        <v>145</v>
      </c>
      <c r="J138" s="221">
        <f>('Pivot Table for Data Exchange'!$F$169)*100</f>
        <v>77.319809447594309</v>
      </c>
      <c r="K138" s="221">
        <f>('Pivot Table for Data Exchange'!$F$172)*100</f>
        <v>9.4181507961074153</v>
      </c>
      <c r="L138" s="227">
        <f t="shared" ref="L138:L139" si="23">SUM(M138:O138)</f>
        <v>13.26203975629827</v>
      </c>
      <c r="M138" s="221">
        <f>('Pivot Table for Data Exchange'!$F$175)*100</f>
        <v>13.188053481507206</v>
      </c>
      <c r="N138" s="61">
        <f>('Pivot Table for Data Exchange'!$F$178)*100</f>
        <v>3.3973289444876446E-3</v>
      </c>
      <c r="O138" s="223">
        <f>('Pivot Table for Data Exchange'!$F$181)*100</f>
        <v>7.0588945846576628E-2</v>
      </c>
      <c r="P138" s="221">
        <f>('Pivot Table for Data Exchange'!$F$184)*100</f>
        <v>0</v>
      </c>
      <c r="Q138" s="226">
        <f t="shared" si="14"/>
        <v>100</v>
      </c>
      <c r="R138" s="226">
        <f t="shared" si="15"/>
        <v>99.999999999999986</v>
      </c>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row>
    <row r="139" spans="1:41" ht="15.75" customHeight="1">
      <c r="A139" s="65" t="s">
        <v>146</v>
      </c>
      <c r="B139" s="221">
        <f>('Pivot Table for Data Exchange'!$F$187)*100</f>
        <v>74.150987421250235</v>
      </c>
      <c r="C139" s="221">
        <f>('Pivot Table for Data Exchange'!$F$190)*100</f>
        <v>0</v>
      </c>
      <c r="D139" s="227">
        <f t="shared" si="22"/>
        <v>25.849012578749765</v>
      </c>
      <c r="E139" s="221">
        <f>('Pivot Table for Data Exchange'!$F$193)*100</f>
        <v>25.849012578749765</v>
      </c>
      <c r="F139" s="221">
        <f>('Pivot Table for Data Exchange'!$F$196)*100</f>
        <v>0</v>
      </c>
      <c r="G139" s="232">
        <f>('Pivot Table for Data Exchange'!$F$199)*100</f>
        <v>0</v>
      </c>
      <c r="H139" s="221">
        <f>('Pivot Table for Data Exchange'!$F$202)*100</f>
        <v>0</v>
      </c>
      <c r="I139" s="87" t="s">
        <v>146</v>
      </c>
      <c r="J139" s="221">
        <f>('Pivot Table for Data Exchange'!$F$205)*100</f>
        <v>78.27808015833746</v>
      </c>
      <c r="K139" s="221">
        <f>('Pivot Table for Data Exchange'!$F$208)*100</f>
        <v>0</v>
      </c>
      <c r="L139" s="227">
        <f t="shared" si="23"/>
        <v>21.721919841662544</v>
      </c>
      <c r="M139" s="221">
        <f>('Pivot Table for Data Exchange'!$F$211)*100</f>
        <v>21.721919841662544</v>
      </c>
      <c r="N139" s="221">
        <f>('Pivot Table for Data Exchange'!$F$214)*100</f>
        <v>0</v>
      </c>
      <c r="O139" s="223">
        <f>('Pivot Table for Data Exchange'!$F$217)*100</f>
        <v>0</v>
      </c>
      <c r="P139" s="221">
        <f>('Pivot Table for Data Exchange'!$F$220)*100</f>
        <v>0</v>
      </c>
      <c r="Q139" s="226">
        <f t="shared" si="14"/>
        <v>100</v>
      </c>
      <c r="R139" s="226">
        <f t="shared" si="15"/>
        <v>100</v>
      </c>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row>
    <row r="140" spans="1:41" ht="15.75" customHeight="1">
      <c r="A140" s="222" t="s">
        <v>147</v>
      </c>
      <c r="B140" s="221">
        <f>('Pivot Table for Data Exchange'!$F$223)*100</f>
        <v>0</v>
      </c>
      <c r="C140" s="221">
        <f>('Pivot Table for Data Exchange'!$F$226)*100</f>
        <v>0</v>
      </c>
      <c r="D140" s="227">
        <f>SUM(E140:G140)</f>
        <v>0</v>
      </c>
      <c r="E140" s="221">
        <f>('Pivot Table for Data Exchange'!$F$229)*100</f>
        <v>0</v>
      </c>
      <c r="F140" s="221">
        <f>('Pivot Table for Data Exchange'!$F$232)*100</f>
        <v>0</v>
      </c>
      <c r="G140" s="223">
        <f>('Pivot Table for Data Exchange'!$F$235)*100</f>
        <v>0</v>
      </c>
      <c r="H140" s="221">
        <f>('Pivot Table for Data Exchange'!$F$238)*100</f>
        <v>0</v>
      </c>
      <c r="I140" s="87" t="s">
        <v>147</v>
      </c>
      <c r="J140" s="221">
        <f>('Pivot Table for Data Exchange'!$F$241)*100</f>
        <v>0</v>
      </c>
      <c r="K140" s="221">
        <f>('Pivot Table for Data Exchange'!$F$244)*100</f>
        <v>0</v>
      </c>
      <c r="L140" s="227">
        <f>SUM(M140:O140)</f>
        <v>0</v>
      </c>
      <c r="M140" s="221">
        <f>('Pivot Table for Data Exchange'!$F$247)*100</f>
        <v>0</v>
      </c>
      <c r="N140" s="221">
        <f>('Pivot Table for Data Exchange'!$F$250)*100</f>
        <v>0</v>
      </c>
      <c r="O140" s="223">
        <f>('Pivot Table for Data Exchange'!$F$253)*100</f>
        <v>0</v>
      </c>
      <c r="P140" s="221">
        <f>('Pivot Table for Data Exchange'!$F$256)*100</f>
        <v>0</v>
      </c>
      <c r="Q140" s="226">
        <f t="shared" si="14"/>
        <v>0</v>
      </c>
      <c r="R140" s="226">
        <f t="shared" si="15"/>
        <v>0</v>
      </c>
      <c r="S140" s="98"/>
      <c r="T140" s="104"/>
      <c r="U140" s="98"/>
      <c r="V140" s="98"/>
      <c r="W140" s="98"/>
      <c r="X140" s="98"/>
      <c r="Y140" s="98"/>
      <c r="Z140" s="98"/>
      <c r="AA140" s="98"/>
      <c r="AB140" s="98"/>
      <c r="AC140" s="98"/>
      <c r="AD140" s="98"/>
      <c r="AE140" s="98"/>
      <c r="AF140" s="98"/>
      <c r="AG140" s="98"/>
      <c r="AH140" s="98"/>
      <c r="AI140" s="98"/>
      <c r="AJ140" s="98"/>
      <c r="AK140" s="98"/>
      <c r="AL140" s="98"/>
      <c r="AM140" s="98"/>
      <c r="AN140" s="98"/>
      <c r="AO140" s="98"/>
    </row>
    <row r="141" spans="1:41" ht="15.75" customHeight="1">
      <c r="A141" s="65" t="s">
        <v>177</v>
      </c>
      <c r="B141" s="221">
        <f>('Pivot Table for Data Exchange'!$F$259)*100</f>
        <v>84.967112918982295</v>
      </c>
      <c r="C141" s="221">
        <f>('Pivot Table for Data Exchange'!$F$262)*100</f>
        <v>1.5258360374810438</v>
      </c>
      <c r="D141" s="227">
        <f>SUM(E141:G141)</f>
        <v>13.507051043536654</v>
      </c>
      <c r="E141" s="221">
        <f>('Pivot Table for Data Exchange'!$F$265)*100</f>
        <v>13.198266775969083</v>
      </c>
      <c r="F141" s="221">
        <f>('Pivot Table for Data Exchange'!$F$268)*100</f>
        <v>0.3087842675675716</v>
      </c>
      <c r="G141" s="223">
        <f>('Pivot Table for Data Exchange'!$F$271)*100</f>
        <v>0</v>
      </c>
      <c r="H141" s="221">
        <f>('Pivot Table for Data Exchange'!$F$274)*100</f>
        <v>0</v>
      </c>
      <c r="I141" s="87" t="s">
        <v>177</v>
      </c>
      <c r="J141" s="221">
        <f>('Pivot Table for Data Exchange'!$F$277)*100</f>
        <v>73.872911041218629</v>
      </c>
      <c r="K141" s="221">
        <f>('Pivot Table for Data Exchange'!$F$280)*100</f>
        <v>3.3227040538123633</v>
      </c>
      <c r="L141" s="227">
        <f>SUM(M141:O141)</f>
        <v>22.804384904969005</v>
      </c>
      <c r="M141" s="221">
        <f>('Pivot Table for Data Exchange'!$F$283)*100</f>
        <v>21.083924777853873</v>
      </c>
      <c r="N141" s="221">
        <f>('Pivot Table for Data Exchange'!$F$286)*100</f>
        <v>1.7204601271151321</v>
      </c>
      <c r="O141" s="223">
        <f>('Pivot Table for Data Exchange'!$F$289)*100</f>
        <v>0</v>
      </c>
      <c r="P141" s="221">
        <f>('Pivot Table for Data Exchange'!$F$292)*100</f>
        <v>0</v>
      </c>
      <c r="Q141" s="226">
        <f t="shared" si="14"/>
        <v>99.999999999999986</v>
      </c>
      <c r="R141" s="226">
        <f t="shared" si="15"/>
        <v>100</v>
      </c>
      <c r="S141" s="98"/>
      <c r="U141" s="98"/>
      <c r="V141" s="98"/>
      <c r="W141" s="98"/>
      <c r="X141" s="98"/>
      <c r="Y141" s="98"/>
      <c r="Z141" s="98"/>
      <c r="AA141" s="98"/>
      <c r="AB141" s="98"/>
      <c r="AC141" s="98"/>
      <c r="AD141" s="98"/>
      <c r="AE141" s="98"/>
      <c r="AF141" s="98"/>
      <c r="AG141" s="98"/>
      <c r="AH141" s="98"/>
      <c r="AI141" s="98"/>
      <c r="AJ141" s="98"/>
      <c r="AK141" s="98"/>
      <c r="AL141" s="98"/>
      <c r="AM141" s="98"/>
      <c r="AN141" s="98"/>
      <c r="AO141" s="98"/>
    </row>
    <row r="142" spans="1:41" ht="15.75" customHeight="1">
      <c r="A142" s="65"/>
      <c r="B142" s="221"/>
      <c r="C142" s="221"/>
      <c r="D142" s="227"/>
      <c r="E142" s="221"/>
      <c r="F142" s="221"/>
      <c r="G142" s="223"/>
      <c r="H142" s="221"/>
      <c r="I142" s="87"/>
      <c r="J142" s="221"/>
      <c r="K142" s="221"/>
      <c r="L142" s="227"/>
      <c r="M142" s="221"/>
      <c r="N142" s="221"/>
      <c r="O142" s="223"/>
      <c r="P142" s="221"/>
      <c r="Q142" s="226">
        <f t="shared" si="14"/>
        <v>0</v>
      </c>
      <c r="R142" s="226">
        <f t="shared" si="15"/>
        <v>0</v>
      </c>
      <c r="S142" s="98"/>
      <c r="U142" s="98"/>
      <c r="V142" s="98"/>
      <c r="W142" s="98"/>
      <c r="X142" s="98"/>
      <c r="Y142" s="98"/>
      <c r="Z142" s="98"/>
      <c r="AA142" s="98"/>
      <c r="AB142" s="98"/>
      <c r="AC142" s="98"/>
      <c r="AD142" s="98"/>
      <c r="AE142" s="98"/>
      <c r="AF142" s="98"/>
      <c r="AG142" s="98"/>
      <c r="AH142" s="98"/>
      <c r="AI142" s="98"/>
      <c r="AJ142" s="98"/>
      <c r="AK142" s="98"/>
      <c r="AL142" s="98"/>
      <c r="AM142" s="98"/>
      <c r="AN142" s="98"/>
      <c r="AO142" s="98"/>
    </row>
    <row r="143" spans="1:41" ht="15.75" customHeight="1">
      <c r="A143" s="65" t="s">
        <v>148</v>
      </c>
      <c r="B143" s="221">
        <f>('Pivot Table for Data Exchange'!$F$295)*100</f>
        <v>79.146258851509074</v>
      </c>
      <c r="C143" s="221">
        <f>('Pivot Table for Data Exchange'!$F$298)*100</f>
        <v>3.4548298901998629</v>
      </c>
      <c r="D143" s="227">
        <f>SUM(E143:G143)</f>
        <v>16.881344698354216</v>
      </c>
      <c r="E143" s="221">
        <f>('Pivot Table for Data Exchange'!$F$301)*100</f>
        <v>16.869648278920614</v>
      </c>
      <c r="F143" s="221">
        <f>('Pivot Table for Data Exchange'!$F$304)*100</f>
        <v>0</v>
      </c>
      <c r="G143" s="68">
        <f>('Pivot Table for Data Exchange'!$F$307)*100</f>
        <v>1.1696419433600889E-2</v>
      </c>
      <c r="H143" s="221">
        <f>('Pivot Table for Data Exchange'!$F$310)*100</f>
        <v>0.51756655993683942</v>
      </c>
      <c r="I143" s="87" t="s">
        <v>148</v>
      </c>
      <c r="J143" s="221">
        <f>('Pivot Table for Data Exchange'!$F$313)*100</f>
        <v>20.310328855951827</v>
      </c>
      <c r="K143" s="221">
        <f>('Pivot Table for Data Exchange'!$F$316)*100</f>
        <v>2.8138026864289021</v>
      </c>
      <c r="L143" s="227">
        <f>SUM(M143:O143)</f>
        <v>76.604909680407587</v>
      </c>
      <c r="M143" s="221">
        <f>('Pivot Table for Data Exchange'!$F$319)*100</f>
        <v>76.30616025937934</v>
      </c>
      <c r="N143" s="221">
        <f>('Pivot Table for Data Exchange'!$F$322)*100</f>
        <v>0</v>
      </c>
      <c r="O143" s="223">
        <f>('Pivot Table for Data Exchange'!$F$325)*100</f>
        <v>0.2987494210282538</v>
      </c>
      <c r="P143" s="221">
        <f>('Pivot Table for Data Exchange'!$F$328)*100</f>
        <v>0.27095877721167205</v>
      </c>
      <c r="Q143" s="226">
        <f t="shared" si="14"/>
        <v>99.999999999999986</v>
      </c>
      <c r="R143" s="226">
        <f t="shared" si="15"/>
        <v>99.999999999999986</v>
      </c>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row>
    <row r="144" spans="1:41" ht="15.75" customHeight="1">
      <c r="A144" s="65" t="s">
        <v>149</v>
      </c>
      <c r="B144" s="221">
        <f>('Pivot Table for Data Exchange'!$F$331)*100</f>
        <v>76.947201938284479</v>
      </c>
      <c r="C144" s="221">
        <f>('Pivot Table for Data Exchange'!$F$334)*100</f>
        <v>1.2881515630783726</v>
      </c>
      <c r="D144" s="227">
        <f>SUM(E144:G144)</f>
        <v>21.764646498637145</v>
      </c>
      <c r="E144" s="221">
        <f>('Pivot Table for Data Exchange'!$F$337)*100</f>
        <v>21.764646498637145</v>
      </c>
      <c r="F144" s="221">
        <f>('Pivot Table for Data Exchange'!$F$340)*100</f>
        <v>0</v>
      </c>
      <c r="G144" s="223">
        <f>('Pivot Table for Data Exchange'!$F$343)*100</f>
        <v>0</v>
      </c>
      <c r="H144" s="221">
        <f>('Pivot Table for Data Exchange'!$F$346)*100</f>
        <v>0</v>
      </c>
      <c r="I144" s="87" t="s">
        <v>149</v>
      </c>
      <c r="J144" s="221">
        <f>('Pivot Table for Data Exchange'!$F$349)*100</f>
        <v>54.652664199018673</v>
      </c>
      <c r="K144" s="221">
        <f>('Pivot Table for Data Exchange'!$F$352)*100</f>
        <v>26.461220624946201</v>
      </c>
      <c r="L144" s="227">
        <f>SUM(M144:O144)</f>
        <v>18.886115176035119</v>
      </c>
      <c r="M144" s="221">
        <f>('Pivot Table for Data Exchange'!$F$355)*100</f>
        <v>18.886115176035119</v>
      </c>
      <c r="N144" s="221">
        <f>('Pivot Table for Data Exchange'!$F$358)*100</f>
        <v>0</v>
      </c>
      <c r="O144" s="223">
        <f>('Pivot Table for Data Exchange'!$F$361)*100</f>
        <v>0</v>
      </c>
      <c r="P144" s="221">
        <f>('Pivot Table for Data Exchange'!$F$364)*100</f>
        <v>0</v>
      </c>
      <c r="Q144" s="226">
        <f t="shared" si="14"/>
        <v>100</v>
      </c>
      <c r="R144" s="226">
        <f t="shared" si="15"/>
        <v>99.999999999999986</v>
      </c>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row>
    <row r="145" spans="1:41" ht="15.75" customHeight="1">
      <c r="A145" s="65" t="s">
        <v>150</v>
      </c>
      <c r="B145" s="221">
        <f>('Pivot Table for Data Exchange'!$F$367)*100</f>
        <v>65.40310381533979</v>
      </c>
      <c r="C145" s="221">
        <f>('Pivot Table for Data Exchange'!$F$370)*100</f>
        <v>0.6375707322539077</v>
      </c>
      <c r="D145" s="227">
        <f>SUM(E145:G145)</f>
        <v>33.959325452406297</v>
      </c>
      <c r="E145" s="221">
        <f>('Pivot Table for Data Exchange'!$F$373)*100</f>
        <v>29.908678357330942</v>
      </c>
      <c r="F145" s="221">
        <f>('Pivot Table for Data Exchange'!$F$376)*100</f>
        <v>2.6410443162081911</v>
      </c>
      <c r="G145" s="223">
        <f>('Pivot Table for Data Exchange'!$F$379)*100</f>
        <v>1.4096027788671635</v>
      </c>
      <c r="H145" s="221">
        <f>('Pivot Table for Data Exchange'!$F$382)*100</f>
        <v>0</v>
      </c>
      <c r="I145" s="87" t="s">
        <v>150</v>
      </c>
      <c r="J145" s="221">
        <f>('Pivot Table for Data Exchange'!$F$385)*100</f>
        <v>43.55448607768993</v>
      </c>
      <c r="K145" s="221">
        <f>('Pivot Table for Data Exchange'!$F$388)*100</f>
        <v>7.5799243726366452</v>
      </c>
      <c r="L145" s="227">
        <f>SUM(M145:O145)</f>
        <v>48.865589549673423</v>
      </c>
      <c r="M145" s="221">
        <f>('Pivot Table for Data Exchange'!$F$391)*100</f>
        <v>47.679614987968371</v>
      </c>
      <c r="N145" s="221">
        <f>('Pivot Table for Data Exchange'!$F$394)*100</f>
        <v>0.72189755929872812</v>
      </c>
      <c r="O145" s="223">
        <f>('Pivot Table for Data Exchange'!$F$397)*100</f>
        <v>0.46407700240632521</v>
      </c>
      <c r="P145" s="221">
        <f>('Pivot Table for Data Exchange'!$F$400)*100</f>
        <v>0</v>
      </c>
      <c r="Q145" s="226">
        <f t="shared" si="14"/>
        <v>100</v>
      </c>
      <c r="R145" s="226">
        <f t="shared" si="15"/>
        <v>100</v>
      </c>
      <c r="S145" s="98"/>
      <c r="T145" s="104"/>
      <c r="U145" s="98"/>
      <c r="V145" s="98"/>
      <c r="W145" s="98"/>
      <c r="X145" s="98"/>
      <c r="Y145" s="98"/>
      <c r="Z145" s="98"/>
      <c r="AA145" s="98"/>
      <c r="AB145" s="98"/>
      <c r="AC145" s="98"/>
      <c r="AD145" s="98"/>
      <c r="AE145" s="98"/>
      <c r="AF145" s="98"/>
      <c r="AG145" s="98"/>
      <c r="AH145" s="98"/>
      <c r="AI145" s="98"/>
      <c r="AJ145" s="98"/>
      <c r="AK145" s="98"/>
      <c r="AL145" s="98"/>
      <c r="AM145" s="98"/>
      <c r="AN145" s="98"/>
      <c r="AO145" s="98"/>
    </row>
    <row r="146" spans="1:41" ht="15.75" customHeight="1">
      <c r="A146" s="65" t="s">
        <v>151</v>
      </c>
      <c r="B146" s="221">
        <f>('Pivot Table for Data Exchange'!$F$403)*100</f>
        <v>0</v>
      </c>
      <c r="C146" s="221">
        <f>('Pivot Table for Data Exchange'!$F$406)*100</f>
        <v>0</v>
      </c>
      <c r="D146" s="227">
        <f>SUM(E146:G146)</f>
        <v>0</v>
      </c>
      <c r="E146" s="221">
        <f>('Pivot Table for Data Exchange'!$F$409)*100</f>
        <v>0</v>
      </c>
      <c r="F146" s="221">
        <f>('Pivot Table for Data Exchange'!$F$412)*100</f>
        <v>0</v>
      </c>
      <c r="G146" s="223">
        <f>('Pivot Table for Data Exchange'!$F$415)*100</f>
        <v>0</v>
      </c>
      <c r="H146" s="221">
        <f>('Pivot Table for Data Exchange'!$F$418)*100</f>
        <v>0</v>
      </c>
      <c r="I146" s="87" t="s">
        <v>151</v>
      </c>
      <c r="J146" s="221">
        <f>('Pivot Table for Data Exchange'!$F$421)*100</f>
        <v>0</v>
      </c>
      <c r="K146" s="221">
        <f>('Pivot Table for Data Exchange'!$F$424)*100</f>
        <v>0</v>
      </c>
      <c r="L146" s="227">
        <f>SUM(M146:O146)</f>
        <v>0</v>
      </c>
      <c r="M146" s="221">
        <f>('Pivot Table for Data Exchange'!$F$427)*100</f>
        <v>0</v>
      </c>
      <c r="N146" s="221">
        <f>('Pivot Table for Data Exchange'!$F$430)*100</f>
        <v>0</v>
      </c>
      <c r="O146" s="223">
        <f>('Pivot Table for Data Exchange'!$F$433)*100</f>
        <v>0</v>
      </c>
      <c r="P146" s="221">
        <f>('Pivot Table for Data Exchange'!$F$436)*100</f>
        <v>0</v>
      </c>
      <c r="Q146" s="226">
        <f t="shared" si="14"/>
        <v>0</v>
      </c>
      <c r="R146" s="226">
        <f t="shared" si="15"/>
        <v>0</v>
      </c>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row>
    <row r="147" spans="1:41" ht="15.75" customHeight="1">
      <c r="A147" s="65"/>
      <c r="B147" s="221"/>
      <c r="C147" s="221"/>
      <c r="D147" s="227"/>
      <c r="E147" s="221"/>
      <c r="F147" s="221"/>
      <c r="G147" s="223"/>
      <c r="H147" s="221"/>
      <c r="I147" s="87"/>
      <c r="J147" s="221"/>
      <c r="K147" s="221"/>
      <c r="L147" s="227"/>
      <c r="M147" s="221"/>
      <c r="N147" s="221"/>
      <c r="O147" s="223"/>
      <c r="P147" s="221"/>
      <c r="Q147" s="226">
        <f t="shared" si="14"/>
        <v>0</v>
      </c>
      <c r="R147" s="226">
        <f t="shared" si="15"/>
        <v>0</v>
      </c>
      <c r="S147" s="98"/>
      <c r="T147" s="98"/>
      <c r="U147" s="98"/>
      <c r="V147" s="98"/>
      <c r="W147" s="98"/>
      <c r="X147" s="98"/>
      <c r="Y147" s="98"/>
      <c r="Z147" s="98"/>
      <c r="AA147" s="98"/>
      <c r="AB147" s="98"/>
      <c r="AC147" s="98"/>
      <c r="AD147" s="98"/>
      <c r="AE147" s="98"/>
      <c r="AF147" s="98"/>
      <c r="AG147" s="98"/>
      <c r="AH147" s="98"/>
      <c r="AI147" s="98"/>
      <c r="AJ147" s="98"/>
      <c r="AK147" s="98"/>
      <c r="AL147" s="98"/>
      <c r="AM147" s="98"/>
      <c r="AN147" s="98"/>
      <c r="AO147" s="98"/>
    </row>
    <row r="148" spans="1:41" ht="15.75" customHeight="1">
      <c r="A148" s="65" t="s">
        <v>152</v>
      </c>
      <c r="B148" s="221">
        <f>('Pivot Table for Data Exchange'!$F$439)*100</f>
        <v>0</v>
      </c>
      <c r="C148" s="221">
        <f>('Pivot Table for Data Exchange'!$F$442)*100</f>
        <v>0</v>
      </c>
      <c r="D148" s="227">
        <f>SUM(E148:G148)</f>
        <v>0</v>
      </c>
      <c r="E148" s="221">
        <f>('Pivot Table for Data Exchange'!$F$445)*100</f>
        <v>0</v>
      </c>
      <c r="F148" s="221">
        <f>('Pivot Table for Data Exchange'!$F$448)*100</f>
        <v>0</v>
      </c>
      <c r="G148" s="223">
        <f>('Pivot Table for Data Exchange'!$F$451)*100</f>
        <v>0</v>
      </c>
      <c r="H148" s="221">
        <f>('Pivot Table for Data Exchange'!$F$454)*100</f>
        <v>0</v>
      </c>
      <c r="I148" s="87" t="s">
        <v>152</v>
      </c>
      <c r="J148" s="221">
        <f>('Pivot Table for Data Exchange'!$F$457)*100</f>
        <v>0</v>
      </c>
      <c r="K148" s="221">
        <f>('Pivot Table for Data Exchange'!$F$460)*100</f>
        <v>0</v>
      </c>
      <c r="L148" s="227">
        <f>SUM(M148:O148)</f>
        <v>0</v>
      </c>
      <c r="M148" s="221">
        <f>('Pivot Table for Data Exchange'!$F$463)*100</f>
        <v>0</v>
      </c>
      <c r="N148" s="221">
        <f>('Pivot Table for Data Exchange'!$F$466)*100</f>
        <v>0</v>
      </c>
      <c r="O148" s="223">
        <f>('Pivot Table for Data Exchange'!$F$469)*100</f>
        <v>0</v>
      </c>
      <c r="P148" s="221">
        <f>('Pivot Table for Data Exchange'!$F$472)*100</f>
        <v>0</v>
      </c>
      <c r="Q148" s="226">
        <f t="shared" si="14"/>
        <v>0</v>
      </c>
      <c r="R148" s="226">
        <f t="shared" si="15"/>
        <v>0</v>
      </c>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row>
    <row r="149" spans="1:41" ht="15.75" customHeight="1">
      <c r="A149" s="65" t="s">
        <v>153</v>
      </c>
      <c r="B149" s="221">
        <f>('Pivot Table for Data Exchange'!$F$475)*100</f>
        <v>44.338227177392646</v>
      </c>
      <c r="C149" s="221">
        <f>('Pivot Table for Data Exchange'!$F$478)*100</f>
        <v>9.842881848621996</v>
      </c>
      <c r="D149" s="227">
        <f>SUM(E149:G149)</f>
        <v>45.818890973985354</v>
      </c>
      <c r="E149" s="221">
        <f>('Pivot Table for Data Exchange'!$F$481)*100</f>
        <v>43.673694668285684</v>
      </c>
      <c r="F149" s="221">
        <f>('Pivot Table for Data Exchange'!$F$484)*100</f>
        <v>2.1451963056996726</v>
      </c>
      <c r="G149" s="223">
        <f>('Pivot Table for Data Exchange'!$F$487)*100</f>
        <v>0</v>
      </c>
      <c r="H149" s="221">
        <f>('Pivot Table for Data Exchange'!$F$490)*100</f>
        <v>0</v>
      </c>
      <c r="I149" s="87" t="s">
        <v>153</v>
      </c>
      <c r="J149" s="221">
        <f>('Pivot Table for Data Exchange'!$F$493)*100</f>
        <v>21.302553046038966</v>
      </c>
      <c r="K149" s="221">
        <f>('Pivot Table for Data Exchange'!$F$496)*100</f>
        <v>10.979938474482687</v>
      </c>
      <c r="L149" s="227">
        <f>SUM(M149:O149)</f>
        <v>67.717508479478354</v>
      </c>
      <c r="M149" s="221">
        <f>('Pivot Table for Data Exchange'!$F$499)*100</f>
        <v>65.209160465911182</v>
      </c>
      <c r="N149" s="221">
        <f>('Pivot Table for Data Exchange'!$F$502)*100</f>
        <v>2.5083480135671654</v>
      </c>
      <c r="O149" s="223">
        <f>('Pivot Table for Data Exchange'!$F$505)*100</f>
        <v>0</v>
      </c>
      <c r="P149" s="221">
        <f>('Pivot Table for Data Exchange'!$F$508)*100</f>
        <v>0</v>
      </c>
      <c r="Q149" s="226">
        <f t="shared" si="14"/>
        <v>100</v>
      </c>
      <c r="R149" s="226">
        <f t="shared" si="15"/>
        <v>100</v>
      </c>
      <c r="S149" s="98"/>
      <c r="T149" s="98"/>
      <c r="U149" s="98"/>
      <c r="V149" s="98"/>
      <c r="W149" s="98"/>
      <c r="X149" s="98"/>
      <c r="Y149" s="98"/>
      <c r="Z149" s="98"/>
      <c r="AA149" s="98"/>
      <c r="AB149" s="98"/>
      <c r="AC149" s="98"/>
      <c r="AD149" s="98"/>
      <c r="AE149" s="98"/>
      <c r="AF149" s="98"/>
      <c r="AG149" s="98"/>
      <c r="AH149" s="98"/>
      <c r="AI149" s="98"/>
      <c r="AJ149" s="98"/>
      <c r="AK149" s="98"/>
      <c r="AL149" s="98"/>
      <c r="AM149" s="98"/>
      <c r="AN149" s="98"/>
      <c r="AO149" s="98"/>
    </row>
    <row r="150" spans="1:41" ht="15.75" customHeight="1">
      <c r="A150" s="65" t="s">
        <v>154</v>
      </c>
      <c r="B150" s="221">
        <f>('Pivot Table for Data Exchange'!$F$511)*100</f>
        <v>0</v>
      </c>
      <c r="C150" s="221">
        <f>('Pivot Table for Data Exchange'!$F$514)*100</f>
        <v>0</v>
      </c>
      <c r="D150" s="227">
        <f>SUM(E150:G150)</f>
        <v>0</v>
      </c>
      <c r="E150" s="221">
        <f>('Pivot Table for Data Exchange'!$F$517)*100</f>
        <v>0</v>
      </c>
      <c r="F150" s="221">
        <f>('Pivot Table for Data Exchange'!$F$520)*100</f>
        <v>0</v>
      </c>
      <c r="G150" s="223">
        <f>('Pivot Table for Data Exchange'!$F$523)*100</f>
        <v>0</v>
      </c>
      <c r="H150" s="221">
        <f>('Pivot Table for Data Exchange'!$F$526)*100</f>
        <v>0</v>
      </c>
      <c r="I150" s="87" t="s">
        <v>154</v>
      </c>
      <c r="J150" s="221">
        <f>('Pivot Table for Data Exchange'!$F$529)*100</f>
        <v>0</v>
      </c>
      <c r="K150" s="221">
        <f>('Pivot Table for Data Exchange'!$F$532)*100</f>
        <v>0</v>
      </c>
      <c r="L150" s="227">
        <f>SUM(M150:O150)</f>
        <v>0</v>
      </c>
      <c r="M150" s="221">
        <f>('Pivot Table for Data Exchange'!$F$535)*100</f>
        <v>0</v>
      </c>
      <c r="N150" s="221">
        <f>('Pivot Table for Data Exchange'!$F$538)*100</f>
        <v>0</v>
      </c>
      <c r="O150" s="223">
        <f>('Pivot Table for Data Exchange'!$F$541)*100</f>
        <v>0</v>
      </c>
      <c r="P150" s="221">
        <f>('Pivot Table for Data Exchange'!$F$544)*100</f>
        <v>0</v>
      </c>
      <c r="Q150" s="226">
        <f t="shared" si="14"/>
        <v>0</v>
      </c>
      <c r="R150" s="226">
        <f t="shared" si="15"/>
        <v>0</v>
      </c>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row>
    <row r="151" spans="1:41" ht="15.75" customHeight="1">
      <c r="A151" s="220" t="s">
        <v>155</v>
      </c>
      <c r="B151" s="224">
        <f>('Pivot Table for Data Exchange'!$F$547)*100</f>
        <v>0</v>
      </c>
      <c r="C151" s="224">
        <f>('Pivot Table for Data Exchange'!$F$550)*100</f>
        <v>0</v>
      </c>
      <c r="D151" s="228">
        <f>SUM(E151:G151)</f>
        <v>0</v>
      </c>
      <c r="E151" s="224">
        <f>('Pivot Table for Data Exchange'!$F$553)*100</f>
        <v>0</v>
      </c>
      <c r="F151" s="224">
        <f>('Pivot Table for Data Exchange'!$F$556)*100</f>
        <v>0</v>
      </c>
      <c r="G151" s="225">
        <f>('Pivot Table for Data Exchange'!$F$559)*100</f>
        <v>0</v>
      </c>
      <c r="H151" s="224">
        <f>('Pivot Table for Data Exchange'!$F$562)*100</f>
        <v>0</v>
      </c>
      <c r="I151" s="230" t="s">
        <v>155</v>
      </c>
      <c r="J151" s="224">
        <f>('Pivot Table for Data Exchange'!$F$565)*100</f>
        <v>0</v>
      </c>
      <c r="K151" s="224">
        <f>('Pivot Table for Data Exchange'!$F$568)*100</f>
        <v>0</v>
      </c>
      <c r="L151" s="228">
        <f>SUM(M151:O151)</f>
        <v>0</v>
      </c>
      <c r="M151" s="224">
        <f>('Pivot Table for Data Exchange'!$F$571)*100</f>
        <v>0</v>
      </c>
      <c r="N151" s="224">
        <f>('Pivot Table for Data Exchange'!$F$574)*100</f>
        <v>0</v>
      </c>
      <c r="O151" s="225">
        <f>('Pivot Table for Data Exchange'!$F$577)*100</f>
        <v>0</v>
      </c>
      <c r="P151" s="224">
        <f>('Pivot Table for Data Exchange'!$F$580)*100</f>
        <v>0</v>
      </c>
      <c r="Q151" s="226">
        <f t="shared" si="14"/>
        <v>0</v>
      </c>
      <c r="R151" s="226">
        <f t="shared" si="15"/>
        <v>0</v>
      </c>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row>
    <row r="152" spans="1:41" s="103" customFormat="1" ht="12.75" customHeight="1">
      <c r="A152" s="691" t="s">
        <v>175</v>
      </c>
      <c r="B152" s="69"/>
      <c r="C152" s="69"/>
      <c r="D152" s="70"/>
      <c r="E152" s="69"/>
      <c r="F152" s="70"/>
      <c r="G152" s="70"/>
      <c r="H152" s="69"/>
      <c r="I152" s="691" t="s">
        <v>175</v>
      </c>
      <c r="J152" s="69"/>
      <c r="K152" s="69"/>
      <c r="L152" s="70"/>
      <c r="M152" s="69"/>
      <c r="N152" s="70"/>
      <c r="O152" s="70"/>
      <c r="P152" s="69"/>
      <c r="Q152" s="226">
        <f t="shared" si="14"/>
        <v>0</v>
      </c>
      <c r="R152" s="226">
        <f t="shared" si="15"/>
        <v>0</v>
      </c>
      <c r="S152" s="102"/>
      <c r="T152" s="102"/>
      <c r="U152" s="102"/>
      <c r="V152" s="102"/>
      <c r="W152" s="102"/>
      <c r="X152" s="102"/>
      <c r="Y152" s="102"/>
      <c r="Z152" s="102"/>
      <c r="AA152" s="102"/>
      <c r="AB152" s="102"/>
      <c r="AC152" s="102"/>
      <c r="AD152" s="102"/>
      <c r="AE152" s="102"/>
      <c r="AF152" s="102"/>
      <c r="AG152" s="102"/>
      <c r="AH152" s="102"/>
      <c r="AI152" s="102"/>
      <c r="AJ152" s="102"/>
      <c r="AK152" s="102"/>
      <c r="AL152" s="102"/>
      <c r="AM152" s="102"/>
      <c r="AN152" s="102"/>
      <c r="AO152" s="102"/>
    </row>
    <row r="153" spans="1:41" s="103" customFormat="1" ht="24" customHeight="1">
      <c r="A153" s="666" t="s">
        <v>176</v>
      </c>
      <c r="B153" s="680"/>
      <c r="C153" s="680"/>
      <c r="D153" s="680"/>
      <c r="E153" s="680"/>
      <c r="F153" s="680"/>
      <c r="G153" s="680"/>
      <c r="H153" s="680"/>
      <c r="I153" s="666" t="s">
        <v>176</v>
      </c>
      <c r="J153" s="680"/>
      <c r="K153" s="680"/>
      <c r="L153" s="680"/>
      <c r="M153" s="680"/>
      <c r="N153" s="680"/>
      <c r="O153" s="680"/>
      <c r="P153" s="680"/>
      <c r="Q153" s="226">
        <f t="shared" si="14"/>
        <v>0</v>
      </c>
      <c r="R153" s="226">
        <f t="shared" si="15"/>
        <v>0</v>
      </c>
      <c r="S153" s="102"/>
      <c r="T153" s="102"/>
      <c r="U153" s="102"/>
      <c r="V153" s="102"/>
      <c r="W153" s="102"/>
      <c r="X153" s="102"/>
      <c r="Y153" s="102"/>
      <c r="Z153" s="102"/>
      <c r="AA153" s="102"/>
      <c r="AB153" s="102"/>
      <c r="AC153" s="102"/>
      <c r="AD153" s="102"/>
      <c r="AE153" s="102"/>
      <c r="AF153" s="102"/>
      <c r="AG153" s="102"/>
      <c r="AH153" s="102"/>
      <c r="AI153" s="102"/>
      <c r="AJ153" s="102"/>
      <c r="AK153" s="102"/>
      <c r="AL153" s="102"/>
      <c r="AM153" s="102"/>
      <c r="AN153" s="102"/>
      <c r="AO153" s="102"/>
    </row>
    <row r="154" spans="1:41" s="103" customFormat="1" ht="9.75" customHeight="1">
      <c r="A154" s="361"/>
      <c r="B154" s="364"/>
      <c r="C154" s="364"/>
      <c r="D154" s="364"/>
      <c r="E154" s="364"/>
      <c r="F154" s="364"/>
      <c r="G154" s="364"/>
      <c r="H154" s="364"/>
      <c r="I154" s="361"/>
      <c r="J154" s="364"/>
      <c r="K154" s="364"/>
      <c r="L154" s="364"/>
      <c r="M154" s="364"/>
      <c r="N154" s="364"/>
      <c r="O154" s="364"/>
      <c r="P154" s="364"/>
      <c r="Q154" s="226"/>
      <c r="R154" s="226"/>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102"/>
    </row>
    <row r="155" spans="1:41" s="103" customFormat="1" ht="13.5" customHeight="1">
      <c r="A155" s="24"/>
      <c r="B155" s="76"/>
      <c r="C155" s="25"/>
      <c r="D155" s="25"/>
      <c r="E155" s="25"/>
      <c r="F155" s="25"/>
      <c r="G155" s="25"/>
      <c r="H155" s="27" t="s">
        <v>899</v>
      </c>
      <c r="I155" s="24"/>
      <c r="J155" s="25"/>
      <c r="K155" s="25"/>
      <c r="L155" s="25"/>
      <c r="M155" s="25"/>
      <c r="N155" s="25"/>
      <c r="O155" s="25"/>
      <c r="P155" s="27" t="s">
        <v>899</v>
      </c>
      <c r="Q155" s="226">
        <f t="shared" ref="Q155:Q216" si="24">SUM(B155,C155,D155,H155)</f>
        <v>0</v>
      </c>
      <c r="R155" s="226">
        <f t="shared" ref="R155:R216" si="25">SUM(J155,K155,L155,P155)</f>
        <v>0</v>
      </c>
    </row>
    <row r="156" spans="1:41" ht="18">
      <c r="A156" s="16" t="s">
        <v>205</v>
      </c>
      <c r="B156" s="34"/>
      <c r="C156" s="34"/>
      <c r="D156" s="34"/>
      <c r="E156" s="34"/>
      <c r="F156" s="34"/>
      <c r="G156" s="34"/>
      <c r="H156" s="35"/>
      <c r="I156" s="16" t="s">
        <v>220</v>
      </c>
      <c r="J156" s="19"/>
      <c r="K156" s="19"/>
      <c r="L156" s="34"/>
      <c r="M156" s="19"/>
      <c r="N156" s="19"/>
      <c r="O156" s="19"/>
      <c r="P156" s="19"/>
      <c r="Q156" s="226">
        <f t="shared" si="24"/>
        <v>0</v>
      </c>
      <c r="R156" s="226">
        <f t="shared" si="25"/>
        <v>0</v>
      </c>
    </row>
    <row r="157" spans="1:41">
      <c r="A157" s="18"/>
      <c r="B157" s="19"/>
      <c r="C157" s="19"/>
      <c r="D157" s="19"/>
      <c r="E157" s="19"/>
      <c r="F157" s="19"/>
      <c r="G157" s="19"/>
      <c r="H157" s="36"/>
      <c r="I157" s="18"/>
      <c r="J157" s="19"/>
      <c r="K157" s="19"/>
      <c r="L157" s="19"/>
      <c r="M157" s="19"/>
      <c r="N157" s="19"/>
      <c r="O157" s="19"/>
      <c r="P157" s="19"/>
      <c r="Q157" s="226">
        <f t="shared" si="24"/>
        <v>0</v>
      </c>
      <c r="R157" s="226">
        <f t="shared" si="25"/>
        <v>0</v>
      </c>
    </row>
    <row r="158" spans="1:41" ht="15.75">
      <c r="A158" s="37" t="s">
        <v>162</v>
      </c>
      <c r="B158" s="19"/>
      <c r="C158" s="19"/>
      <c r="D158" s="19"/>
      <c r="E158" s="19"/>
      <c r="F158" s="19"/>
      <c r="G158" s="19"/>
      <c r="H158" s="36"/>
      <c r="I158" s="37" t="s">
        <v>163</v>
      </c>
      <c r="J158" s="19"/>
      <c r="K158" s="19"/>
      <c r="L158" s="19"/>
      <c r="M158" s="19"/>
      <c r="N158" s="19"/>
      <c r="O158" s="19"/>
      <c r="P158" s="19"/>
      <c r="Q158" s="226">
        <f t="shared" si="24"/>
        <v>0</v>
      </c>
      <c r="R158" s="226">
        <f t="shared" si="25"/>
        <v>0</v>
      </c>
    </row>
    <row r="159" spans="1:41" ht="15.75">
      <c r="A159" s="37" t="s">
        <v>905</v>
      </c>
      <c r="B159" s="19"/>
      <c r="C159" s="19"/>
      <c r="D159" s="19"/>
      <c r="E159" s="19"/>
      <c r="F159" s="19"/>
      <c r="G159" s="19"/>
      <c r="H159" s="36"/>
      <c r="I159" s="37" t="s">
        <v>905</v>
      </c>
      <c r="J159" s="19"/>
      <c r="K159" s="19"/>
      <c r="L159" s="19"/>
      <c r="M159" s="19"/>
      <c r="N159" s="19"/>
      <c r="O159" s="19"/>
      <c r="P159" s="19"/>
      <c r="Q159" s="226">
        <f t="shared" si="24"/>
        <v>0</v>
      </c>
      <c r="R159" s="226">
        <f t="shared" si="25"/>
        <v>0</v>
      </c>
    </row>
    <row r="160" spans="1:41">
      <c r="A160" s="39"/>
      <c r="B160" s="40"/>
      <c r="C160" s="40"/>
      <c r="D160" s="40"/>
      <c r="E160" s="40"/>
      <c r="F160" s="40"/>
      <c r="G160" s="40"/>
      <c r="H160" s="40"/>
      <c r="I160" s="41"/>
      <c r="L160" s="42"/>
      <c r="P160" s="39"/>
      <c r="Q160" s="226">
        <f t="shared" si="24"/>
        <v>0</v>
      </c>
      <c r="R160" s="226">
        <f t="shared" si="25"/>
        <v>0</v>
      </c>
    </row>
    <row r="161" spans="1:41" s="57" customFormat="1">
      <c r="A161" s="43"/>
      <c r="B161" s="44" t="s">
        <v>164</v>
      </c>
      <c r="C161" s="44"/>
      <c r="D161" s="44"/>
      <c r="E161" s="44"/>
      <c r="F161" s="44"/>
      <c r="G161" s="44"/>
      <c r="H161" s="45"/>
      <c r="I161" s="43"/>
      <c r="J161" s="44" t="s">
        <v>164</v>
      </c>
      <c r="K161" s="44"/>
      <c r="L161" s="44"/>
      <c r="M161" s="44"/>
      <c r="N161" s="44"/>
      <c r="O161" s="44"/>
      <c r="P161" s="45"/>
      <c r="Q161" s="226">
        <f t="shared" si="24"/>
        <v>0</v>
      </c>
      <c r="R161" s="226">
        <f t="shared" si="25"/>
        <v>0</v>
      </c>
    </row>
    <row r="162" spans="1:41" s="57" customFormat="1">
      <c r="A162" s="43"/>
      <c r="B162" s="44" t="s">
        <v>165</v>
      </c>
      <c r="C162" s="44"/>
      <c r="D162" s="670" t="s">
        <v>166</v>
      </c>
      <c r="E162" s="668"/>
      <c r="F162" s="668"/>
      <c r="G162" s="668"/>
      <c r="H162" s="49" t="s">
        <v>39</v>
      </c>
      <c r="I162" s="43"/>
      <c r="J162" s="44" t="s">
        <v>165</v>
      </c>
      <c r="K162" s="44"/>
      <c r="L162" s="670" t="s">
        <v>166</v>
      </c>
      <c r="M162" s="668"/>
      <c r="N162" s="668"/>
      <c r="O162" s="668"/>
      <c r="P162" s="49" t="s">
        <v>39</v>
      </c>
      <c r="Q162" s="226">
        <f t="shared" si="24"/>
        <v>0</v>
      </c>
      <c r="R162" s="226">
        <f t="shared" si="25"/>
        <v>0</v>
      </c>
    </row>
    <row r="163" spans="1:41" s="57" customFormat="1" ht="40.5" customHeight="1">
      <c r="A163" s="43"/>
      <c r="B163" s="50" t="s">
        <v>167</v>
      </c>
      <c r="C163" s="51" t="s">
        <v>168</v>
      </c>
      <c r="D163" s="52" t="s">
        <v>169</v>
      </c>
      <c r="E163" s="53" t="s">
        <v>7</v>
      </c>
      <c r="F163" s="50" t="s">
        <v>170</v>
      </c>
      <c r="G163" s="54" t="s">
        <v>171</v>
      </c>
      <c r="H163" s="55" t="s">
        <v>172</v>
      </c>
      <c r="I163" s="43"/>
      <c r="J163" s="50" t="s">
        <v>167</v>
      </c>
      <c r="K163" s="51" t="s">
        <v>168</v>
      </c>
      <c r="L163" s="52" t="s">
        <v>169</v>
      </c>
      <c r="M163" s="53" t="s">
        <v>7</v>
      </c>
      <c r="N163" s="50" t="s">
        <v>170</v>
      </c>
      <c r="O163" s="54" t="s">
        <v>171</v>
      </c>
      <c r="P163" s="55" t="s">
        <v>172</v>
      </c>
      <c r="Q163" s="226">
        <f t="shared" si="24"/>
        <v>0</v>
      </c>
      <c r="R163" s="226">
        <f t="shared" si="25"/>
        <v>0</v>
      </c>
      <c r="T163" s="56"/>
    </row>
    <row r="164" spans="1:41" ht="15.75" customHeight="1">
      <c r="A164" s="62" t="s">
        <v>141</v>
      </c>
      <c r="B164" s="82">
        <f>('Pivot Table for Data Exchange'!$G$7)*100</f>
        <v>94.861264467339751</v>
      </c>
      <c r="C164" s="221">
        <f>('Pivot Table for Data Exchange'!$G$10)*100</f>
        <v>0.39718159937086434</v>
      </c>
      <c r="D164" s="227">
        <f>SUM(E164:G164)</f>
        <v>4.7415539332893788</v>
      </c>
      <c r="E164" s="221">
        <f>('Pivot Table for Data Exchange'!$G$13)*100</f>
        <v>4.7415539332893788</v>
      </c>
      <c r="F164" s="221">
        <f>('Pivot Table for Data Exchange'!$G$16)*100</f>
        <v>0</v>
      </c>
      <c r="G164" s="60">
        <f>('Pivot Table for Data Exchange'!$G$19)*100</f>
        <v>0</v>
      </c>
      <c r="H164" s="221">
        <f>('Pivot Table for Data Exchange'!$G$22)*100</f>
        <v>0</v>
      </c>
      <c r="I164" s="229" t="s">
        <v>141</v>
      </c>
      <c r="J164" s="221">
        <f>('Pivot Table for Data Exchange'!$G$25)*100</f>
        <v>23.887799728547733</v>
      </c>
      <c r="K164" s="221">
        <f>('Pivot Table for Data Exchange'!$G$28)*100</f>
        <v>0.28401950434826323</v>
      </c>
      <c r="L164" s="227">
        <f>SUM(M164:O164)</f>
        <v>75.828180767104001</v>
      </c>
      <c r="M164" s="221">
        <f>('Pivot Table for Data Exchange'!$G$31)*100</f>
        <v>75.828180767104001</v>
      </c>
      <c r="N164" s="221">
        <f>('Pivot Table for Data Exchange'!$G$34)*100</f>
        <v>0</v>
      </c>
      <c r="O164" s="60">
        <f>('Pivot Table for Data Exchange'!$G$37)*100</f>
        <v>0</v>
      </c>
      <c r="P164" s="221">
        <f>('Pivot Table for Data Exchange'!$G$40)*100</f>
        <v>0</v>
      </c>
      <c r="Q164" s="226">
        <f t="shared" si="24"/>
        <v>100</v>
      </c>
      <c r="R164" s="226">
        <f t="shared" si="25"/>
        <v>100</v>
      </c>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row>
    <row r="165" spans="1:41" ht="15.75" customHeight="1">
      <c r="A165" s="65" t="s">
        <v>142</v>
      </c>
      <c r="B165" s="221">
        <f>('Pivot Table for Data Exchange'!$G$43)*100</f>
        <v>74.290198111034329</v>
      </c>
      <c r="C165" s="221">
        <f>('Pivot Table for Data Exchange'!$G$46)*100</f>
        <v>5.5949090071412115</v>
      </c>
      <c r="D165" s="227">
        <f t="shared" ref="D165:D167" si="26">SUM(E165:G165)</f>
        <v>20.114892881824463</v>
      </c>
      <c r="E165" s="221">
        <f>('Pivot Table for Data Exchange'!$G$49)*100</f>
        <v>17.998445058742224</v>
      </c>
      <c r="F165" s="221">
        <f>('Pivot Table for Data Exchange'!$G$52)*100</f>
        <v>2.1164478230822388</v>
      </c>
      <c r="G165" s="223">
        <f>('Pivot Table for Data Exchange'!$G$55)*100</f>
        <v>0</v>
      </c>
      <c r="H165" s="221">
        <f>('Pivot Table for Data Exchange'!$G$58)*100</f>
        <v>0</v>
      </c>
      <c r="I165" s="87" t="s">
        <v>142</v>
      </c>
      <c r="J165" s="221">
        <f>('Pivot Table for Data Exchange'!$G$61)*100</f>
        <v>17.082477252714998</v>
      </c>
      <c r="K165" s="221">
        <f>('Pivot Table for Data Exchange'!$G$64)*100</f>
        <v>0</v>
      </c>
      <c r="L165" s="227">
        <f t="shared" ref="L165:L167" si="27">SUM(M165:O165)</f>
        <v>82.917522747285005</v>
      </c>
      <c r="M165" s="221">
        <f>('Pivot Table for Data Exchange'!$G$67)*100</f>
        <v>82.917522747285005</v>
      </c>
      <c r="N165" s="221">
        <f>('Pivot Table for Data Exchange'!$G$70)*100</f>
        <v>0</v>
      </c>
      <c r="O165" s="223">
        <f>('Pivot Table for Data Exchange'!$G$73)*100</f>
        <v>0</v>
      </c>
      <c r="P165" s="221">
        <f>('Pivot Table for Data Exchange'!$G$76)*100</f>
        <v>0</v>
      </c>
      <c r="Q165" s="226">
        <f t="shared" si="24"/>
        <v>100</v>
      </c>
      <c r="R165" s="226">
        <f t="shared" si="25"/>
        <v>100</v>
      </c>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row>
    <row r="166" spans="1:41" ht="15.75" customHeight="1">
      <c r="A166" s="65" t="s">
        <v>143</v>
      </c>
      <c r="B166" s="221">
        <f>('Pivot Table for Data Exchange'!$G$79)*100</f>
        <v>0</v>
      </c>
      <c r="C166" s="221">
        <f>('Pivot Table for Data Exchange'!$G$82)*100</f>
        <v>0</v>
      </c>
      <c r="D166" s="227">
        <f t="shared" si="26"/>
        <v>0</v>
      </c>
      <c r="E166" s="221">
        <f>('Pivot Table for Data Exchange'!$G$85)*100</f>
        <v>0</v>
      </c>
      <c r="F166" s="221">
        <f>('Pivot Table for Data Exchange'!$G$88)*100</f>
        <v>0</v>
      </c>
      <c r="G166" s="223">
        <f>('Pivot Table for Data Exchange'!$G$91)*100</f>
        <v>0</v>
      </c>
      <c r="H166" s="221">
        <f>('Pivot Table for Data Exchange'!$G$94)*100</f>
        <v>0</v>
      </c>
      <c r="I166" s="87" t="s">
        <v>143</v>
      </c>
      <c r="J166" s="221">
        <f>('Pivot Table for Data Exchange'!$G$97)*100</f>
        <v>0</v>
      </c>
      <c r="K166" s="221">
        <f>('Pivot Table for Data Exchange'!$G$100)*100</f>
        <v>0</v>
      </c>
      <c r="L166" s="227">
        <f t="shared" si="27"/>
        <v>0</v>
      </c>
      <c r="M166" s="221">
        <f>('Pivot Table for Data Exchange'!$G$103)*100</f>
        <v>0</v>
      </c>
      <c r="N166" s="221">
        <f>('Pivot Table for Data Exchange'!$G$106)*100</f>
        <v>0</v>
      </c>
      <c r="O166" s="223">
        <f>('Pivot Table for Data Exchange'!$G$109)*100</f>
        <v>0</v>
      </c>
      <c r="P166" s="221">
        <f>('Pivot Table for Data Exchange'!$G$112)*100</f>
        <v>0</v>
      </c>
      <c r="Q166" s="226">
        <f t="shared" si="24"/>
        <v>0</v>
      </c>
      <c r="R166" s="226">
        <f t="shared" si="25"/>
        <v>0</v>
      </c>
      <c r="S166" s="98"/>
      <c r="T166" s="104"/>
      <c r="U166" s="98"/>
      <c r="V166" s="98"/>
      <c r="W166" s="98"/>
      <c r="X166" s="98"/>
      <c r="Y166" s="98"/>
      <c r="Z166" s="98"/>
      <c r="AA166" s="98"/>
      <c r="AB166" s="98"/>
      <c r="AC166" s="98"/>
      <c r="AD166" s="98"/>
      <c r="AE166" s="98"/>
      <c r="AF166" s="98"/>
      <c r="AG166" s="98"/>
      <c r="AH166" s="98"/>
      <c r="AI166" s="98"/>
      <c r="AJ166" s="98"/>
      <c r="AK166" s="98"/>
      <c r="AL166" s="98"/>
      <c r="AM166" s="98"/>
      <c r="AN166" s="98"/>
      <c r="AO166" s="98"/>
    </row>
    <row r="167" spans="1:41" ht="15.75" customHeight="1">
      <c r="A167" s="65" t="s">
        <v>144</v>
      </c>
      <c r="B167" s="221">
        <f>('Pivot Table for Data Exchange'!$G$115)*100</f>
        <v>0</v>
      </c>
      <c r="C167" s="221">
        <f>('Pivot Table for Data Exchange'!$G$118)*100</f>
        <v>0</v>
      </c>
      <c r="D167" s="227">
        <f t="shared" si="26"/>
        <v>0</v>
      </c>
      <c r="E167" s="221">
        <f>('Pivot Table for Data Exchange'!$G$121)*100</f>
        <v>0</v>
      </c>
      <c r="F167" s="221">
        <f>('Pivot Table for Data Exchange'!$G$124)*100</f>
        <v>0</v>
      </c>
      <c r="G167" s="223">
        <f>('Pivot Table for Data Exchange'!$G$127)*100</f>
        <v>0</v>
      </c>
      <c r="H167" s="221">
        <f>('Pivot Table for Data Exchange'!$G$130)*100</f>
        <v>0</v>
      </c>
      <c r="I167" s="87" t="s">
        <v>144</v>
      </c>
      <c r="J167" s="221">
        <f>('Pivot Table for Data Exchange'!$G$133)*100</f>
        <v>0</v>
      </c>
      <c r="K167" s="221">
        <f>('Pivot Table for Data Exchange'!$G$136)*100</f>
        <v>0</v>
      </c>
      <c r="L167" s="227">
        <f t="shared" si="27"/>
        <v>0</v>
      </c>
      <c r="M167" s="221">
        <f>('Pivot Table for Data Exchange'!$G$139)*100</f>
        <v>0</v>
      </c>
      <c r="N167" s="221">
        <f>('Pivot Table for Data Exchange'!$G$142)*100</f>
        <v>0</v>
      </c>
      <c r="O167" s="223">
        <f>('Pivot Table for Data Exchange'!$G$145)*100</f>
        <v>0</v>
      </c>
      <c r="P167" s="221">
        <f>('Pivot Table for Data Exchange'!$G$148)*100</f>
        <v>0</v>
      </c>
      <c r="Q167" s="226">
        <f t="shared" si="24"/>
        <v>0</v>
      </c>
      <c r="R167" s="226">
        <f t="shared" si="25"/>
        <v>0</v>
      </c>
      <c r="S167" s="98"/>
      <c r="U167" s="98"/>
      <c r="V167" s="98"/>
      <c r="W167" s="98"/>
      <c r="X167" s="98"/>
      <c r="Y167" s="98"/>
      <c r="Z167" s="98"/>
      <c r="AA167" s="98"/>
      <c r="AB167" s="98"/>
      <c r="AC167" s="98"/>
      <c r="AD167" s="98"/>
      <c r="AE167" s="98"/>
      <c r="AF167" s="98"/>
      <c r="AG167" s="98"/>
      <c r="AH167" s="98"/>
      <c r="AI167" s="98"/>
      <c r="AJ167" s="98"/>
      <c r="AK167" s="98"/>
      <c r="AL167" s="98"/>
      <c r="AM167" s="98"/>
      <c r="AN167" s="98"/>
      <c r="AO167" s="98"/>
    </row>
    <row r="168" spans="1:41" ht="10.5" customHeight="1">
      <c r="A168" s="65"/>
      <c r="B168" s="221"/>
      <c r="C168" s="221"/>
      <c r="D168" s="227"/>
      <c r="E168" s="221"/>
      <c r="F168" s="221"/>
      <c r="G168" s="223"/>
      <c r="H168" s="221"/>
      <c r="I168" s="87"/>
      <c r="J168" s="221"/>
      <c r="K168" s="221"/>
      <c r="L168" s="227"/>
      <c r="M168" s="221"/>
      <c r="N168" s="221"/>
      <c r="O168" s="223"/>
      <c r="P168" s="221"/>
      <c r="Q168" s="226">
        <f t="shared" si="24"/>
        <v>0</v>
      </c>
      <c r="R168" s="226">
        <f t="shared" si="25"/>
        <v>0</v>
      </c>
      <c r="S168" s="98"/>
      <c r="U168" s="98"/>
      <c r="V168" s="98"/>
      <c r="W168" s="98"/>
      <c r="X168" s="98"/>
      <c r="Y168" s="98"/>
      <c r="Z168" s="98"/>
      <c r="AA168" s="98"/>
      <c r="AB168" s="98"/>
      <c r="AC168" s="98"/>
      <c r="AD168" s="98"/>
      <c r="AE168" s="98"/>
      <c r="AF168" s="98"/>
      <c r="AG168" s="98"/>
      <c r="AH168" s="98"/>
      <c r="AI168" s="98"/>
      <c r="AJ168" s="98"/>
      <c r="AK168" s="98"/>
      <c r="AL168" s="98"/>
      <c r="AM168" s="98"/>
      <c r="AN168" s="98"/>
      <c r="AO168" s="98"/>
    </row>
    <row r="169" spans="1:41" ht="15.75" customHeight="1">
      <c r="A169" s="65" t="s">
        <v>145</v>
      </c>
      <c r="B169" s="221">
        <f>('Pivot Table for Data Exchange'!$G$151)*100</f>
        <v>85.100828501655499</v>
      </c>
      <c r="C169" s="221">
        <f>('Pivot Table for Data Exchange'!$G$154)*100</f>
        <v>0.63860548039612275</v>
      </c>
      <c r="D169" s="227">
        <f t="shared" ref="D169:D170" si="28">SUM(E169:G169)</f>
        <v>13.756798058339701</v>
      </c>
      <c r="E169" s="221">
        <f>('Pivot Table for Data Exchange'!$G$157)*100</f>
        <v>13.736572430221583</v>
      </c>
      <c r="F169" s="67">
        <f>('Pivot Table for Data Exchange'!$G$160)*100</f>
        <v>0</v>
      </c>
      <c r="G169" s="68">
        <f>('Pivot Table for Data Exchange'!$G$163)*100</f>
        <v>2.0225628118117667E-2</v>
      </c>
      <c r="H169" s="221">
        <f>('Pivot Table for Data Exchange'!$G$166)*100</f>
        <v>0.50376795960867149</v>
      </c>
      <c r="I169" s="87" t="s">
        <v>145</v>
      </c>
      <c r="J169" s="221">
        <f>('Pivot Table for Data Exchange'!$G$169)*100</f>
        <v>61.687681862269642</v>
      </c>
      <c r="K169" s="221">
        <f>('Pivot Table for Data Exchange'!$G$172)*100</f>
        <v>11.52602651147753</v>
      </c>
      <c r="L169" s="227">
        <f t="shared" ref="L169:L170" si="29">SUM(M169:O169)</f>
        <v>26.487229227287422</v>
      </c>
      <c r="M169" s="221">
        <f>('Pivot Table for Data Exchange'!$G$175)*100</f>
        <v>26.487229227287422</v>
      </c>
      <c r="N169" s="221">
        <f>('Pivot Table for Data Exchange'!$G$178)*100</f>
        <v>0</v>
      </c>
      <c r="O169" s="223">
        <f>('Pivot Table for Data Exchange'!$G$181)*100</f>
        <v>0</v>
      </c>
      <c r="P169" s="221">
        <f>('Pivot Table for Data Exchange'!$G$184)*100</f>
        <v>0.29906239896540576</v>
      </c>
      <c r="Q169" s="226">
        <f t="shared" si="24"/>
        <v>99.999999999999986</v>
      </c>
      <c r="R169" s="226">
        <f t="shared" si="25"/>
        <v>99.999999999999986</v>
      </c>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row>
    <row r="170" spans="1:41" ht="15.75" customHeight="1">
      <c r="A170" s="65" t="s">
        <v>146</v>
      </c>
      <c r="B170" s="221">
        <f>('Pivot Table for Data Exchange'!$G$187)*100</f>
        <v>0</v>
      </c>
      <c r="C170" s="221">
        <f>('Pivot Table for Data Exchange'!$G$190)*100</f>
        <v>0</v>
      </c>
      <c r="D170" s="227">
        <f t="shared" si="28"/>
        <v>0</v>
      </c>
      <c r="E170" s="221">
        <f>('Pivot Table for Data Exchange'!$G$193)*100</f>
        <v>0</v>
      </c>
      <c r="F170" s="221">
        <f>('Pivot Table for Data Exchange'!$G$196)*100</f>
        <v>0</v>
      </c>
      <c r="G170" s="223">
        <f>('Pivot Table for Data Exchange'!$G$199)*100</f>
        <v>0</v>
      </c>
      <c r="H170" s="221">
        <f>('Pivot Table for Data Exchange'!$G$202)*100</f>
        <v>0</v>
      </c>
      <c r="I170" s="87" t="s">
        <v>146</v>
      </c>
      <c r="J170" s="221">
        <f>('Pivot Table for Data Exchange'!$G$205)*100</f>
        <v>0</v>
      </c>
      <c r="K170" s="221">
        <f>('Pivot Table for Data Exchange'!$G$208)*100</f>
        <v>0</v>
      </c>
      <c r="L170" s="227">
        <f t="shared" si="29"/>
        <v>0</v>
      </c>
      <c r="M170" s="221">
        <f>('Pivot Table for Data Exchange'!$G$211)*100</f>
        <v>0</v>
      </c>
      <c r="N170" s="221">
        <f>('Pivot Table for Data Exchange'!$G$214)*100</f>
        <v>0</v>
      </c>
      <c r="O170" s="223">
        <f>('Pivot Table for Data Exchange'!$G$217)*100</f>
        <v>0</v>
      </c>
      <c r="P170" s="221">
        <f>('Pivot Table for Data Exchange'!$G$220)*100</f>
        <v>0</v>
      </c>
      <c r="Q170" s="226">
        <f t="shared" si="24"/>
        <v>0</v>
      </c>
      <c r="R170" s="226">
        <f t="shared" si="25"/>
        <v>0</v>
      </c>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row>
    <row r="171" spans="1:41" ht="15.75" customHeight="1">
      <c r="A171" s="222" t="s">
        <v>147</v>
      </c>
      <c r="B171" s="221">
        <f>('Pivot Table for Data Exchange'!$G$223)*100</f>
        <v>0</v>
      </c>
      <c r="C171" s="221">
        <f>('Pivot Table for Data Exchange'!$G$226)*100</f>
        <v>0</v>
      </c>
      <c r="D171" s="227">
        <f>SUM(E171:G171)</f>
        <v>0</v>
      </c>
      <c r="E171" s="221">
        <f>('Pivot Table for Data Exchange'!$G$229)*100</f>
        <v>0</v>
      </c>
      <c r="F171" s="221">
        <f>('Pivot Table for Data Exchange'!$G$232)*100</f>
        <v>0</v>
      </c>
      <c r="G171" s="223">
        <f>('Pivot Table for Data Exchange'!$G$235)*100</f>
        <v>0</v>
      </c>
      <c r="H171" s="221">
        <f>('Pivot Table for Data Exchange'!$G$238)*100</f>
        <v>0</v>
      </c>
      <c r="I171" s="87" t="s">
        <v>147</v>
      </c>
      <c r="J171" s="221">
        <f>('Pivot Table for Data Exchange'!$G$241)*100</f>
        <v>0</v>
      </c>
      <c r="K171" s="221">
        <f>('Pivot Table for Data Exchange'!$G$244)*100</f>
        <v>0</v>
      </c>
      <c r="L171" s="227">
        <f>SUM(M171:O171)</f>
        <v>0</v>
      </c>
      <c r="M171" s="221">
        <f>('Pivot Table for Data Exchange'!$G$247)*100</f>
        <v>0</v>
      </c>
      <c r="N171" s="221">
        <f>('Pivot Table for Data Exchange'!$G$250)*100</f>
        <v>0</v>
      </c>
      <c r="O171" s="223">
        <f>('Pivot Table for Data Exchange'!$G$253)*100</f>
        <v>0</v>
      </c>
      <c r="P171" s="221">
        <f>('Pivot Table for Data Exchange'!$G$256)*100</f>
        <v>0</v>
      </c>
      <c r="Q171" s="226">
        <f t="shared" si="24"/>
        <v>0</v>
      </c>
      <c r="R171" s="226">
        <f t="shared" si="25"/>
        <v>0</v>
      </c>
      <c r="S171" s="98"/>
      <c r="T171" s="104"/>
      <c r="U171" s="98"/>
      <c r="V171" s="98"/>
      <c r="W171" s="98"/>
      <c r="X171" s="98"/>
      <c r="Y171" s="98"/>
      <c r="Z171" s="98"/>
      <c r="AA171" s="98"/>
      <c r="AB171" s="98"/>
      <c r="AC171" s="98"/>
      <c r="AD171" s="98"/>
      <c r="AE171" s="98"/>
      <c r="AF171" s="98"/>
      <c r="AG171" s="98"/>
      <c r="AH171" s="98"/>
      <c r="AI171" s="98"/>
      <c r="AJ171" s="98"/>
      <c r="AK171" s="98"/>
      <c r="AL171" s="98"/>
      <c r="AM171" s="98"/>
      <c r="AN171" s="98"/>
      <c r="AO171" s="98"/>
    </row>
    <row r="172" spans="1:41" ht="15.75" customHeight="1">
      <c r="A172" s="65" t="s">
        <v>177</v>
      </c>
      <c r="B172" s="221">
        <f>('Pivot Table for Data Exchange'!$G$259)*100</f>
        <v>82.178300045675371</v>
      </c>
      <c r="C172" s="221">
        <f>('Pivot Table for Data Exchange'!$G$262)*100</f>
        <v>2.2740799180611497</v>
      </c>
      <c r="D172" s="227">
        <f>SUM(E172:G172)</f>
        <v>15.547620036263476</v>
      </c>
      <c r="E172" s="221">
        <f>('Pivot Table for Data Exchange'!$G$265)*100</f>
        <v>15.547620036263476</v>
      </c>
      <c r="F172" s="221">
        <f>('Pivot Table for Data Exchange'!$G$268)*100</f>
        <v>0</v>
      </c>
      <c r="G172" s="223">
        <f>('Pivot Table for Data Exchange'!$G$271)*100</f>
        <v>0</v>
      </c>
      <c r="H172" s="221">
        <f>('Pivot Table for Data Exchange'!$G$274)*100</f>
        <v>0</v>
      </c>
      <c r="I172" s="87" t="s">
        <v>177</v>
      </c>
      <c r="J172" s="221">
        <f>('Pivot Table for Data Exchange'!$G$277)*100</f>
        <v>83.37782523580708</v>
      </c>
      <c r="K172" s="221">
        <f>('Pivot Table for Data Exchange'!$G$280)*100</f>
        <v>7.7059975084534615</v>
      </c>
      <c r="L172" s="227">
        <f>SUM(M172:O172)</f>
        <v>8.9161772557394556</v>
      </c>
      <c r="M172" s="221">
        <f>('Pivot Table for Data Exchange'!$G$283)*100</f>
        <v>8.9161772557394556</v>
      </c>
      <c r="N172" s="221">
        <f>('Pivot Table for Data Exchange'!$G$286)*100</f>
        <v>0</v>
      </c>
      <c r="O172" s="223">
        <f>('Pivot Table for Data Exchange'!$G$289)*100</f>
        <v>0</v>
      </c>
      <c r="P172" s="221">
        <f>('Pivot Table for Data Exchange'!$G$292)*100</f>
        <v>0</v>
      </c>
      <c r="Q172" s="226">
        <f t="shared" si="24"/>
        <v>100</v>
      </c>
      <c r="R172" s="226">
        <f t="shared" si="25"/>
        <v>100</v>
      </c>
      <c r="S172" s="98"/>
      <c r="U172" s="98"/>
      <c r="V172" s="98"/>
      <c r="W172" s="98"/>
      <c r="X172" s="98"/>
      <c r="Y172" s="98"/>
      <c r="Z172" s="98"/>
      <c r="AA172" s="98"/>
      <c r="AB172" s="98"/>
      <c r="AC172" s="98"/>
      <c r="AD172" s="98"/>
      <c r="AE172" s="98"/>
      <c r="AF172" s="98"/>
      <c r="AG172" s="98"/>
      <c r="AH172" s="98"/>
      <c r="AI172" s="98"/>
      <c r="AJ172" s="98"/>
      <c r="AK172" s="98"/>
      <c r="AL172" s="98"/>
      <c r="AM172" s="98"/>
      <c r="AN172" s="98"/>
      <c r="AO172" s="98"/>
    </row>
    <row r="173" spans="1:41" ht="11.25" customHeight="1">
      <c r="A173" s="65"/>
      <c r="B173" s="221"/>
      <c r="C173" s="221"/>
      <c r="D173" s="227"/>
      <c r="E173" s="221"/>
      <c r="F173" s="221"/>
      <c r="G173" s="223"/>
      <c r="H173" s="221"/>
      <c r="I173" s="87"/>
      <c r="J173" s="221"/>
      <c r="K173" s="221"/>
      <c r="L173" s="227"/>
      <c r="M173" s="221"/>
      <c r="N173" s="221"/>
      <c r="O173" s="223"/>
      <c r="P173" s="221"/>
      <c r="Q173" s="226">
        <f t="shared" si="24"/>
        <v>0</v>
      </c>
      <c r="R173" s="226">
        <f t="shared" si="25"/>
        <v>0</v>
      </c>
      <c r="S173" s="98"/>
      <c r="U173" s="98"/>
      <c r="V173" s="98"/>
      <c r="W173" s="98"/>
      <c r="X173" s="98"/>
      <c r="Y173" s="98"/>
      <c r="Z173" s="98"/>
      <c r="AA173" s="98"/>
      <c r="AB173" s="98"/>
      <c r="AC173" s="98"/>
      <c r="AD173" s="98"/>
      <c r="AE173" s="98"/>
      <c r="AF173" s="98"/>
      <c r="AG173" s="98"/>
      <c r="AH173" s="98"/>
      <c r="AI173" s="98"/>
      <c r="AJ173" s="98"/>
      <c r="AK173" s="98"/>
      <c r="AL173" s="98"/>
      <c r="AM173" s="98"/>
      <c r="AN173" s="98"/>
      <c r="AO173" s="98"/>
    </row>
    <row r="174" spans="1:41" ht="15.75" customHeight="1">
      <c r="A174" s="65" t="s">
        <v>148</v>
      </c>
      <c r="B174" s="221">
        <f>('Pivot Table for Data Exchange'!$G$295)*100</f>
        <v>49.803672479501095</v>
      </c>
      <c r="C174" s="221">
        <f>('Pivot Table for Data Exchange'!$G$298)*100</f>
        <v>6.9292066058436311E-2</v>
      </c>
      <c r="D174" s="227">
        <f>SUM(E174:G174)</f>
        <v>50.127035454440474</v>
      </c>
      <c r="E174" s="221">
        <f>('Pivot Table for Data Exchange'!$G$301)*100</f>
        <v>50.127035454440474</v>
      </c>
      <c r="F174" s="221">
        <f>('Pivot Table for Data Exchange'!$G$304)*100</f>
        <v>0</v>
      </c>
      <c r="G174" s="223">
        <f>('Pivot Table for Data Exchange'!$G$307)*100</f>
        <v>0</v>
      </c>
      <c r="H174" s="221">
        <f>('Pivot Table for Data Exchange'!$G$310)*100</f>
        <v>0</v>
      </c>
      <c r="I174" s="87" t="s">
        <v>148</v>
      </c>
      <c r="J174" s="221">
        <f>('Pivot Table for Data Exchange'!$G$313)*100</f>
        <v>61.152640462985289</v>
      </c>
      <c r="K174" s="221">
        <f>('Pivot Table for Data Exchange'!$G$316)*100</f>
        <v>8.5362912949119849</v>
      </c>
      <c r="L174" s="227">
        <f>SUM(M174:O174)</f>
        <v>30.311068242102724</v>
      </c>
      <c r="M174" s="221">
        <f>('Pivot Table for Data Exchange'!$G$319)*100</f>
        <v>30.311068242102724</v>
      </c>
      <c r="N174" s="221">
        <f>('Pivot Table for Data Exchange'!$G$322)*100</f>
        <v>0</v>
      </c>
      <c r="O174" s="223">
        <f>('Pivot Table for Data Exchange'!$G$325)*100</f>
        <v>0</v>
      </c>
      <c r="P174" s="221">
        <f>('Pivot Table for Data Exchange'!$G$328)*100</f>
        <v>0</v>
      </c>
      <c r="Q174" s="226">
        <f t="shared" si="24"/>
        <v>100</v>
      </c>
      <c r="R174" s="226">
        <f t="shared" si="25"/>
        <v>100</v>
      </c>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row>
    <row r="175" spans="1:41" ht="15.75" customHeight="1">
      <c r="A175" s="65" t="s">
        <v>149</v>
      </c>
      <c r="B175" s="221">
        <f>('Pivot Table for Data Exchange'!$G$331)*100</f>
        <v>75.398017317978301</v>
      </c>
      <c r="C175" s="221">
        <f>('Pivot Table for Data Exchange'!$G$334)*100</f>
        <v>6.0024043068453059</v>
      </c>
      <c r="D175" s="227">
        <f>SUM(E175:G175)</f>
        <v>18.599578375176403</v>
      </c>
      <c r="E175" s="221">
        <f>('Pivot Table for Data Exchange'!$G$337)*100</f>
        <v>18.279352579403106</v>
      </c>
      <c r="F175" s="221">
        <f>('Pivot Table for Data Exchange'!$G$340)*100</f>
        <v>0.32022579577329824</v>
      </c>
      <c r="G175" s="223">
        <f>('Pivot Table for Data Exchange'!$G$343)*100</f>
        <v>0</v>
      </c>
      <c r="H175" s="221">
        <f>('Pivot Table for Data Exchange'!$G$346)*100</f>
        <v>0</v>
      </c>
      <c r="I175" s="87" t="s">
        <v>149</v>
      </c>
      <c r="J175" s="221">
        <f>('Pivot Table for Data Exchange'!$G$349)*100</f>
        <v>68.559545030133265</v>
      </c>
      <c r="K175" s="221">
        <f>('Pivot Table for Data Exchange'!$G$352)*100</f>
        <v>3.9215686274509802</v>
      </c>
      <c r="L175" s="227">
        <f>SUM(M175:O175)</f>
        <v>27.518886342415755</v>
      </c>
      <c r="M175" s="221">
        <f>('Pivot Table for Data Exchange'!$G$355)*100</f>
        <v>26.245649775061541</v>
      </c>
      <c r="N175" s="221">
        <f>('Pivot Table for Data Exchange'!$G$358)*100</f>
        <v>1.2732365673542145</v>
      </c>
      <c r="O175" s="223">
        <f>('Pivot Table for Data Exchange'!$G$361)*100</f>
        <v>0</v>
      </c>
      <c r="P175" s="221">
        <f>('Pivot Table for Data Exchange'!$G$364)*100</f>
        <v>0</v>
      </c>
      <c r="Q175" s="226">
        <f t="shared" si="24"/>
        <v>100.00000000000001</v>
      </c>
      <c r="R175" s="226">
        <f t="shared" si="25"/>
        <v>100</v>
      </c>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row>
    <row r="176" spans="1:41" ht="15.75" customHeight="1">
      <c r="A176" s="65" t="s">
        <v>150</v>
      </c>
      <c r="B176" s="221">
        <f>('Pivot Table for Data Exchange'!$G$367)*100</f>
        <v>81.626382397826717</v>
      </c>
      <c r="C176" s="221">
        <f>('Pivot Table for Data Exchange'!$G$370)*100</f>
        <v>0.59955872115303943</v>
      </c>
      <c r="D176" s="227">
        <f>SUM(E176:G176)</f>
        <v>17.774058881020249</v>
      </c>
      <c r="E176" s="221">
        <f>('Pivot Table for Data Exchange'!$G$373)*100</f>
        <v>12.085960937978326</v>
      </c>
      <c r="F176" s="221">
        <f>('Pivot Table for Data Exchange'!$G$376)*100</f>
        <v>4.8118895850482204</v>
      </c>
      <c r="G176" s="223">
        <f>('Pivot Table for Data Exchange'!$G$379)*100</f>
        <v>0.87620835799370056</v>
      </c>
      <c r="H176" s="221">
        <f>('Pivot Table for Data Exchange'!$G$382)*100</f>
        <v>0</v>
      </c>
      <c r="I176" s="87" t="s">
        <v>150</v>
      </c>
      <c r="J176" s="221">
        <f>('Pivot Table for Data Exchange'!$G$385)*100</f>
        <v>47.066556307512535</v>
      </c>
      <c r="K176" s="221">
        <f>('Pivot Table for Data Exchange'!$G$388)*100</f>
        <v>0.7814401869613905</v>
      </c>
      <c r="L176" s="227">
        <f>SUM(M176:O176)</f>
        <v>52.152003505526068</v>
      </c>
      <c r="M176" s="221">
        <f>('Pivot Table for Data Exchange'!$G$391)*100</f>
        <v>39.804761672914942</v>
      </c>
      <c r="N176" s="221">
        <f>('Pivot Table for Data Exchange'!$G$394)*100</f>
        <v>10.375383416914163</v>
      </c>
      <c r="O176" s="223">
        <f>('Pivot Table for Data Exchange'!$G$397)*100</f>
        <v>1.9718584156969667</v>
      </c>
      <c r="P176" s="221">
        <f>('Pivot Table for Data Exchange'!$G$400)*100</f>
        <v>0</v>
      </c>
      <c r="Q176" s="226">
        <f t="shared" si="24"/>
        <v>100.00000000000001</v>
      </c>
      <c r="R176" s="226">
        <f t="shared" si="25"/>
        <v>100</v>
      </c>
      <c r="S176" s="98"/>
      <c r="T176" s="104"/>
      <c r="U176" s="98"/>
      <c r="V176" s="98"/>
      <c r="W176" s="98"/>
      <c r="X176" s="98"/>
      <c r="Y176" s="98"/>
      <c r="Z176" s="98"/>
      <c r="AA176" s="98"/>
      <c r="AB176" s="98"/>
      <c r="AC176" s="98"/>
      <c r="AD176" s="98"/>
      <c r="AE176" s="98"/>
      <c r="AF176" s="98"/>
      <c r="AG176" s="98"/>
      <c r="AH176" s="98"/>
      <c r="AI176" s="98"/>
      <c r="AJ176" s="98"/>
      <c r="AK176" s="98"/>
      <c r="AL176" s="98"/>
      <c r="AM176" s="98"/>
      <c r="AN176" s="98"/>
      <c r="AO176" s="98"/>
    </row>
    <row r="177" spans="1:41" ht="15.75" customHeight="1">
      <c r="A177" s="65" t="s">
        <v>151</v>
      </c>
      <c r="B177" s="221">
        <f>('Pivot Table for Data Exchange'!$G$403)*100</f>
        <v>91.540879768881837</v>
      </c>
      <c r="C177" s="221">
        <f>('Pivot Table for Data Exchange'!$G$406)*100</f>
        <v>0.96009136045136811</v>
      </c>
      <c r="D177" s="227">
        <f>SUM(E177:G177)</f>
        <v>7.4990288706667991</v>
      </c>
      <c r="E177" s="221">
        <f>('Pivot Table for Data Exchange'!$G$409)*100</f>
        <v>7.4990288706667991</v>
      </c>
      <c r="F177" s="221">
        <f>('Pivot Table for Data Exchange'!$G$412)*100</f>
        <v>0</v>
      </c>
      <c r="G177" s="223">
        <f>('Pivot Table for Data Exchange'!$G$415)*100</f>
        <v>0</v>
      </c>
      <c r="H177" s="221">
        <f>('Pivot Table for Data Exchange'!$G$418)*100</f>
        <v>0</v>
      </c>
      <c r="I177" s="87" t="s">
        <v>151</v>
      </c>
      <c r="J177" s="221">
        <f>('Pivot Table for Data Exchange'!$G$421)*100</f>
        <v>65.631577004024663</v>
      </c>
      <c r="K177" s="221">
        <f>('Pivot Table for Data Exchange'!$G$424)*100</f>
        <v>8.1084074880921602</v>
      </c>
      <c r="L177" s="227">
        <f>SUM(M177:O177)</f>
        <v>26.260015507883171</v>
      </c>
      <c r="M177" s="221">
        <f>('Pivot Table for Data Exchange'!$G$427)*100</f>
        <v>26.260015507883171</v>
      </c>
      <c r="N177" s="221">
        <f>('Pivot Table for Data Exchange'!$G$430)*100</f>
        <v>0</v>
      </c>
      <c r="O177" s="223">
        <f>('Pivot Table for Data Exchange'!$G$433)*100</f>
        <v>0</v>
      </c>
      <c r="P177" s="221">
        <f>('Pivot Table for Data Exchange'!$G$436)*100</f>
        <v>0</v>
      </c>
      <c r="Q177" s="226">
        <f t="shared" si="24"/>
        <v>100.00000000000001</v>
      </c>
      <c r="R177" s="226">
        <f t="shared" si="25"/>
        <v>99.999999999999986</v>
      </c>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row>
    <row r="178" spans="1:41" ht="11.25" customHeight="1">
      <c r="A178" s="65"/>
      <c r="B178" s="221"/>
      <c r="C178" s="221"/>
      <c r="D178" s="227"/>
      <c r="E178" s="221"/>
      <c r="F178" s="221"/>
      <c r="G178" s="223"/>
      <c r="H178" s="221"/>
      <c r="I178" s="87"/>
      <c r="J178" s="221"/>
      <c r="K178" s="221"/>
      <c r="L178" s="227"/>
      <c r="M178" s="221"/>
      <c r="N178" s="221"/>
      <c r="O178" s="223"/>
      <c r="P178" s="221"/>
      <c r="Q178" s="226">
        <f t="shared" si="24"/>
        <v>0</v>
      </c>
      <c r="R178" s="226">
        <f t="shared" si="25"/>
        <v>0</v>
      </c>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row>
    <row r="179" spans="1:41" ht="15.75" customHeight="1">
      <c r="A179" s="65" t="s">
        <v>152</v>
      </c>
      <c r="B179" s="221">
        <f>('Pivot Table for Data Exchange'!$G$439)*100</f>
        <v>81.737116138407345</v>
      </c>
      <c r="C179" s="221">
        <f>('Pivot Table for Data Exchange'!$G$442)*100</f>
        <v>7.986894950480715</v>
      </c>
      <c r="D179" s="227">
        <f>SUM(E179:G179)</f>
        <v>10.108690406610437</v>
      </c>
      <c r="E179" s="221">
        <f>('Pivot Table for Data Exchange'!$G$445)*100</f>
        <v>8.7188259076748196</v>
      </c>
      <c r="F179" s="221">
        <f>('Pivot Table for Data Exchange'!$G$448)*100</f>
        <v>1.3705608253392889</v>
      </c>
      <c r="G179" s="68">
        <f>('Pivot Table for Data Exchange'!$G$451)*100</f>
        <v>1.9303673596328012E-2</v>
      </c>
      <c r="H179" s="221">
        <f>('Pivot Table for Data Exchange'!$G$454)*100</f>
        <v>0.16729850450150943</v>
      </c>
      <c r="I179" s="87" t="s">
        <v>152</v>
      </c>
      <c r="J179" s="221">
        <f>('Pivot Table for Data Exchange'!$G$457)*100</f>
        <v>15.557847687811588</v>
      </c>
      <c r="K179" s="221">
        <f>('Pivot Table for Data Exchange'!$G$460)*100</f>
        <v>0</v>
      </c>
      <c r="L179" s="227">
        <f>SUM(M179:O179)</f>
        <v>84.390579336427706</v>
      </c>
      <c r="M179" s="221">
        <f>('Pivot Table for Data Exchange'!$G$463)*100</f>
        <v>84.390579336427706</v>
      </c>
      <c r="N179" s="67">
        <f>('Pivot Table for Data Exchange'!$G$466)*100</f>
        <v>0</v>
      </c>
      <c r="O179" s="223">
        <f>('Pivot Table for Data Exchange'!$G$469)*100</f>
        <v>0</v>
      </c>
      <c r="P179" s="221">
        <f>('Pivot Table for Data Exchange'!$G$472)*100</f>
        <v>5.1572975760701398E-2</v>
      </c>
      <c r="Q179" s="226">
        <f t="shared" si="24"/>
        <v>100</v>
      </c>
      <c r="R179" s="226">
        <f t="shared" si="25"/>
        <v>100</v>
      </c>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row>
    <row r="180" spans="1:41" ht="15.75" customHeight="1">
      <c r="A180" s="65" t="s">
        <v>153</v>
      </c>
      <c r="B180" s="221">
        <f>('Pivot Table for Data Exchange'!$G$475)*100</f>
        <v>58.389875565766673</v>
      </c>
      <c r="C180" s="221">
        <f>('Pivot Table for Data Exchange'!$G$478)*100</f>
        <v>2.9881295746867105</v>
      </c>
      <c r="D180" s="227">
        <f>SUM(E180:G180)</f>
        <v>38.621994859546618</v>
      </c>
      <c r="E180" s="221">
        <f>('Pivot Table for Data Exchange'!$G$481)*100</f>
        <v>37.55919372567169</v>
      </c>
      <c r="F180" s="221">
        <f>('Pivot Table for Data Exchange'!$G$484)*100</f>
        <v>1.0628011338749266</v>
      </c>
      <c r="G180" s="223">
        <f>('Pivot Table for Data Exchange'!$G$487)*100</f>
        <v>0</v>
      </c>
      <c r="H180" s="221">
        <f>('Pivot Table for Data Exchange'!$G$490)*100</f>
        <v>0</v>
      </c>
      <c r="I180" s="87" t="s">
        <v>153</v>
      </c>
      <c r="J180" s="221">
        <f>('Pivot Table for Data Exchange'!$G$493)*100</f>
        <v>37.543845820360225</v>
      </c>
      <c r="K180" s="221">
        <f>('Pivot Table for Data Exchange'!$G$496)*100</f>
        <v>2.9204272257911952</v>
      </c>
      <c r="L180" s="227">
        <f>SUM(M180:O180)</f>
        <v>59.535726953848574</v>
      </c>
      <c r="M180" s="221">
        <f>('Pivot Table for Data Exchange'!$G$499)*100</f>
        <v>58.932723761478734</v>
      </c>
      <c r="N180" s="221">
        <f>('Pivot Table for Data Exchange'!$G$502)*100</f>
        <v>0.60300319236984201</v>
      </c>
      <c r="O180" s="223">
        <f>('Pivot Table for Data Exchange'!$G$505)*100</f>
        <v>0</v>
      </c>
      <c r="P180" s="221">
        <f>('Pivot Table for Data Exchange'!$G$508)*100</f>
        <v>0</v>
      </c>
      <c r="Q180" s="226">
        <f t="shared" si="24"/>
        <v>100</v>
      </c>
      <c r="R180" s="226">
        <f t="shared" si="25"/>
        <v>100</v>
      </c>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row>
    <row r="181" spans="1:41" ht="15.75" customHeight="1">
      <c r="A181" s="65" t="s">
        <v>154</v>
      </c>
      <c r="B181" s="221">
        <f>('Pivot Table for Data Exchange'!$G$511)*100</f>
        <v>99.652206734787413</v>
      </c>
      <c r="C181" s="221">
        <f>('Pivot Table for Data Exchange'!$G$514)*100</f>
        <v>0.34779326521258525</v>
      </c>
      <c r="D181" s="227">
        <f>SUM(E181:G181)</f>
        <v>0</v>
      </c>
      <c r="E181" s="221">
        <f>('Pivot Table for Data Exchange'!$G$517)*100</f>
        <v>0</v>
      </c>
      <c r="F181" s="221">
        <f>('Pivot Table for Data Exchange'!$G$520)*100</f>
        <v>0</v>
      </c>
      <c r="G181" s="223">
        <f>('Pivot Table for Data Exchange'!$G$523)*100</f>
        <v>0</v>
      </c>
      <c r="H181" s="221">
        <f>('Pivot Table for Data Exchange'!$G$526)*100</f>
        <v>0</v>
      </c>
      <c r="I181" s="87" t="s">
        <v>154</v>
      </c>
      <c r="J181" s="221">
        <f>('Pivot Table for Data Exchange'!$G$529)*100</f>
        <v>98.26163818503241</v>
      </c>
      <c r="K181" s="221">
        <f>('Pivot Table for Data Exchange'!$G$532)*100</f>
        <v>1.7383618149675901</v>
      </c>
      <c r="L181" s="227">
        <f>SUM(M181:O181)</f>
        <v>0</v>
      </c>
      <c r="M181" s="221">
        <f>('Pivot Table for Data Exchange'!$G$535)*100</f>
        <v>0</v>
      </c>
      <c r="N181" s="221">
        <f>('Pivot Table for Data Exchange'!$G$538)*100</f>
        <v>0</v>
      </c>
      <c r="O181" s="223">
        <f>('Pivot Table for Data Exchange'!$G$541)*100</f>
        <v>0</v>
      </c>
      <c r="P181" s="221">
        <f>('Pivot Table for Data Exchange'!$G$544)*100</f>
        <v>0</v>
      </c>
      <c r="Q181" s="226">
        <f t="shared" si="24"/>
        <v>100</v>
      </c>
      <c r="R181" s="226">
        <f t="shared" si="25"/>
        <v>100</v>
      </c>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row>
    <row r="182" spans="1:41" ht="15.75" customHeight="1">
      <c r="A182" s="220" t="s">
        <v>155</v>
      </c>
      <c r="B182" s="224">
        <f>('Pivot Table for Data Exchange'!$G$547)*100</f>
        <v>86.875884715013427</v>
      </c>
      <c r="C182" s="224">
        <f>('Pivot Table for Data Exchange'!$G$550)*100</f>
        <v>4.6231475150943213</v>
      </c>
      <c r="D182" s="228">
        <f>SUM(E182:G182)</f>
        <v>8.5009677698922452</v>
      </c>
      <c r="E182" s="224">
        <f>('Pivot Table for Data Exchange'!$G$553)*100</f>
        <v>8.5009677698922452</v>
      </c>
      <c r="F182" s="224">
        <f>('Pivot Table for Data Exchange'!$G$556)*100</f>
        <v>0</v>
      </c>
      <c r="G182" s="225">
        <f>('Pivot Table for Data Exchange'!$G$559)*100</f>
        <v>0</v>
      </c>
      <c r="H182" s="224">
        <f>('Pivot Table for Data Exchange'!$G$562)*100</f>
        <v>0</v>
      </c>
      <c r="I182" s="230" t="s">
        <v>155</v>
      </c>
      <c r="J182" s="224">
        <f>('Pivot Table for Data Exchange'!$G$565)*100</f>
        <v>52.980678605089537</v>
      </c>
      <c r="K182" s="224">
        <f>('Pivot Table for Data Exchange'!$G$568)*100</f>
        <v>0</v>
      </c>
      <c r="L182" s="228">
        <f>SUM(M182:O182)</f>
        <v>47.019321394910463</v>
      </c>
      <c r="M182" s="224">
        <f>('Pivot Table for Data Exchange'!$G$571)*100</f>
        <v>47.019321394910463</v>
      </c>
      <c r="N182" s="224">
        <f>('Pivot Table for Data Exchange'!$G$574)*100</f>
        <v>0</v>
      </c>
      <c r="O182" s="225">
        <f>('Pivot Table for Data Exchange'!$G$577)*100</f>
        <v>0</v>
      </c>
      <c r="P182" s="224">
        <f>('Pivot Table for Data Exchange'!$G$580)*100</f>
        <v>0</v>
      </c>
      <c r="Q182" s="226">
        <f t="shared" si="24"/>
        <v>99.999999999999986</v>
      </c>
      <c r="R182" s="226">
        <f t="shared" si="25"/>
        <v>100</v>
      </c>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row>
    <row r="183" spans="1:41" s="103" customFormat="1" ht="13.5" customHeight="1">
      <c r="A183" s="691" t="s">
        <v>175</v>
      </c>
      <c r="B183" s="69"/>
      <c r="C183" s="69"/>
      <c r="D183" s="70"/>
      <c r="E183" s="69"/>
      <c r="F183" s="70"/>
      <c r="G183" s="70"/>
      <c r="H183" s="69"/>
      <c r="I183" s="691" t="s">
        <v>175</v>
      </c>
      <c r="J183" s="69"/>
      <c r="K183" s="69"/>
      <c r="L183" s="70"/>
      <c r="M183" s="69"/>
      <c r="N183" s="70"/>
      <c r="O183" s="70"/>
      <c r="P183" s="69"/>
      <c r="Q183" s="226">
        <f t="shared" si="24"/>
        <v>0</v>
      </c>
      <c r="R183" s="226">
        <f t="shared" si="25"/>
        <v>0</v>
      </c>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102"/>
    </row>
    <row r="184" spans="1:41" s="103" customFormat="1" ht="11.25" customHeight="1">
      <c r="A184" s="78"/>
      <c r="B184" s="111"/>
      <c r="C184" s="111"/>
      <c r="D184" s="111"/>
      <c r="E184" s="111"/>
      <c r="F184" s="111"/>
      <c r="G184" s="112"/>
      <c r="H184" s="112"/>
      <c r="I184" s="78"/>
      <c r="J184" s="111"/>
      <c r="K184" s="111"/>
      <c r="L184" s="111"/>
      <c r="M184" s="111"/>
      <c r="N184" s="111"/>
      <c r="O184" s="111"/>
      <c r="P184" s="112"/>
      <c r="Q184" s="226">
        <f t="shared" si="24"/>
        <v>0</v>
      </c>
      <c r="R184" s="226">
        <f t="shared" si="25"/>
        <v>0</v>
      </c>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row>
    <row r="185" spans="1:41" s="103" customFormat="1" ht="13.5" customHeight="1">
      <c r="A185" s="24"/>
      <c r="B185" s="76"/>
      <c r="C185" s="25"/>
      <c r="D185" s="25"/>
      <c r="E185" s="25"/>
      <c r="F185" s="25"/>
      <c r="G185" s="25"/>
      <c r="H185" s="27" t="s">
        <v>899</v>
      </c>
      <c r="I185" s="24"/>
      <c r="J185" s="25"/>
      <c r="K185" s="25"/>
      <c r="L185" s="25"/>
      <c r="M185" s="25"/>
      <c r="N185" s="25"/>
      <c r="O185" s="25"/>
      <c r="P185" s="27" t="s">
        <v>899</v>
      </c>
      <c r="Q185" s="226">
        <f t="shared" si="24"/>
        <v>0</v>
      </c>
      <c r="R185" s="226">
        <f t="shared" si="25"/>
        <v>0</v>
      </c>
    </row>
    <row r="186" spans="1:41" ht="18">
      <c r="A186" s="16" t="s">
        <v>206</v>
      </c>
      <c r="B186" s="34"/>
      <c r="C186" s="34"/>
      <c r="D186" s="34"/>
      <c r="E186" s="34"/>
      <c r="F186" s="34"/>
      <c r="G186" s="34"/>
      <c r="H186" s="35"/>
      <c r="I186" s="16" t="s">
        <v>221</v>
      </c>
      <c r="J186" s="19"/>
      <c r="K186" s="19"/>
      <c r="L186" s="34"/>
      <c r="M186" s="19"/>
      <c r="N186" s="19"/>
      <c r="O186" s="19"/>
      <c r="P186" s="19"/>
      <c r="Q186" s="226">
        <f t="shared" si="24"/>
        <v>0</v>
      </c>
      <c r="R186" s="226">
        <f t="shared" si="25"/>
        <v>0</v>
      </c>
    </row>
    <row r="187" spans="1:41">
      <c r="A187" s="18"/>
      <c r="B187" s="19"/>
      <c r="C187" s="19"/>
      <c r="D187" s="19"/>
      <c r="E187" s="19"/>
      <c r="F187" s="19"/>
      <c r="G187" s="19"/>
      <c r="H187" s="36"/>
      <c r="I187" s="18"/>
      <c r="J187" s="19"/>
      <c r="K187" s="19"/>
      <c r="L187" s="19"/>
      <c r="M187" s="19"/>
      <c r="N187" s="19"/>
      <c r="O187" s="19"/>
      <c r="P187" s="19"/>
      <c r="Q187" s="226">
        <f t="shared" si="24"/>
        <v>0</v>
      </c>
      <c r="R187" s="226">
        <f t="shared" si="25"/>
        <v>0</v>
      </c>
    </row>
    <row r="188" spans="1:41" ht="15.75">
      <c r="A188" s="37" t="s">
        <v>162</v>
      </c>
      <c r="B188" s="19"/>
      <c r="C188" s="19"/>
      <c r="D188" s="19"/>
      <c r="E188" s="19"/>
      <c r="F188" s="19"/>
      <c r="G188" s="19"/>
      <c r="H188" s="36"/>
      <c r="I188" s="37" t="s">
        <v>163</v>
      </c>
      <c r="J188" s="19"/>
      <c r="K188" s="19"/>
      <c r="L188" s="19"/>
      <c r="M188" s="19"/>
      <c r="N188" s="19"/>
      <c r="O188" s="19"/>
      <c r="P188" s="19"/>
      <c r="Q188" s="226">
        <f t="shared" si="24"/>
        <v>0</v>
      </c>
      <c r="R188" s="226">
        <f t="shared" si="25"/>
        <v>0</v>
      </c>
    </row>
    <row r="189" spans="1:41" ht="15.75">
      <c r="A189" s="37" t="s">
        <v>906</v>
      </c>
      <c r="B189" s="19"/>
      <c r="C189" s="19"/>
      <c r="D189" s="19"/>
      <c r="E189" s="19"/>
      <c r="F189" s="19"/>
      <c r="G189" s="19"/>
      <c r="H189" s="36"/>
      <c r="I189" s="37" t="s">
        <v>906</v>
      </c>
      <c r="J189" s="19"/>
      <c r="K189" s="19"/>
      <c r="L189" s="19"/>
      <c r="M189" s="19"/>
      <c r="N189" s="19"/>
      <c r="O189" s="19"/>
      <c r="P189" s="19"/>
      <c r="Q189" s="226">
        <f t="shared" si="24"/>
        <v>0</v>
      </c>
      <c r="R189" s="226">
        <f t="shared" si="25"/>
        <v>0</v>
      </c>
    </row>
    <row r="190" spans="1:41">
      <c r="A190" s="39"/>
      <c r="B190" s="40"/>
      <c r="C190" s="40"/>
      <c r="D190" s="40"/>
      <c r="E190" s="40"/>
      <c r="F190" s="40"/>
      <c r="G190" s="40"/>
      <c r="H190" s="40"/>
      <c r="I190" s="41"/>
      <c r="L190" s="42"/>
      <c r="P190" s="39"/>
      <c r="Q190" s="226">
        <f t="shared" si="24"/>
        <v>0</v>
      </c>
      <c r="R190" s="226">
        <f t="shared" si="25"/>
        <v>0</v>
      </c>
    </row>
    <row r="191" spans="1:41" s="57" customFormat="1">
      <c r="A191" s="43"/>
      <c r="B191" s="44" t="s">
        <v>164</v>
      </c>
      <c r="C191" s="44"/>
      <c r="D191" s="44"/>
      <c r="E191" s="44"/>
      <c r="F191" s="44"/>
      <c r="G191" s="44"/>
      <c r="H191" s="45"/>
      <c r="I191" s="43"/>
      <c r="J191" s="44" t="s">
        <v>164</v>
      </c>
      <c r="K191" s="44"/>
      <c r="L191" s="44"/>
      <c r="M191" s="44"/>
      <c r="N191" s="44"/>
      <c r="O191" s="44"/>
      <c r="P191" s="45"/>
      <c r="Q191" s="226">
        <f t="shared" si="24"/>
        <v>0</v>
      </c>
      <c r="R191" s="226">
        <f t="shared" si="25"/>
        <v>0</v>
      </c>
    </row>
    <row r="192" spans="1:41" s="57" customFormat="1">
      <c r="A192" s="43"/>
      <c r="B192" s="44" t="s">
        <v>165</v>
      </c>
      <c r="C192" s="44"/>
      <c r="D192" s="670" t="s">
        <v>166</v>
      </c>
      <c r="E192" s="668"/>
      <c r="F192" s="668"/>
      <c r="G192" s="668"/>
      <c r="H192" s="49" t="s">
        <v>39</v>
      </c>
      <c r="I192" s="43"/>
      <c r="J192" s="44" t="s">
        <v>165</v>
      </c>
      <c r="K192" s="44"/>
      <c r="L192" s="670" t="s">
        <v>166</v>
      </c>
      <c r="M192" s="668"/>
      <c r="N192" s="668"/>
      <c r="O192" s="668"/>
      <c r="P192" s="49" t="s">
        <v>39</v>
      </c>
      <c r="Q192" s="226">
        <f t="shared" si="24"/>
        <v>0</v>
      </c>
      <c r="R192" s="226">
        <f t="shared" si="25"/>
        <v>0</v>
      </c>
    </row>
    <row r="193" spans="1:41" s="57" customFormat="1" ht="40.5" customHeight="1">
      <c r="A193" s="43"/>
      <c r="B193" s="50" t="s">
        <v>167</v>
      </c>
      <c r="C193" s="51" t="s">
        <v>168</v>
      </c>
      <c r="D193" s="52" t="s">
        <v>169</v>
      </c>
      <c r="E193" s="53" t="s">
        <v>7</v>
      </c>
      <c r="F193" s="50" t="s">
        <v>170</v>
      </c>
      <c r="G193" s="54" t="s">
        <v>171</v>
      </c>
      <c r="H193" s="55" t="s">
        <v>172</v>
      </c>
      <c r="I193" s="43"/>
      <c r="J193" s="50" t="s">
        <v>167</v>
      </c>
      <c r="K193" s="51" t="s">
        <v>168</v>
      </c>
      <c r="L193" s="52" t="s">
        <v>169</v>
      </c>
      <c r="M193" s="53" t="s">
        <v>7</v>
      </c>
      <c r="N193" s="50" t="s">
        <v>170</v>
      </c>
      <c r="O193" s="54" t="s">
        <v>171</v>
      </c>
      <c r="P193" s="55" t="s">
        <v>172</v>
      </c>
      <c r="Q193" s="226">
        <f t="shared" si="24"/>
        <v>0</v>
      </c>
      <c r="R193" s="226">
        <f t="shared" si="25"/>
        <v>0</v>
      </c>
      <c r="T193" s="56"/>
    </row>
    <row r="194" spans="1:41" ht="15.75" customHeight="1">
      <c r="A194" s="62" t="s">
        <v>141</v>
      </c>
      <c r="B194" s="82">
        <f>('Pivot Table for Data Exchange'!$H$7)*100</f>
        <v>23.614234506821496</v>
      </c>
      <c r="C194" s="221">
        <f>('Pivot Table for Data Exchange'!$H$10)*100</f>
        <v>4.7321148682722063</v>
      </c>
      <c r="D194" s="227">
        <f>SUM(E194:G194)</f>
        <v>71.653650624906291</v>
      </c>
      <c r="E194" s="221">
        <f>('Pivot Table for Data Exchange'!$H$13)*100</f>
        <v>71.653650624906291</v>
      </c>
      <c r="F194" s="221">
        <f>('Pivot Table for Data Exchange'!$H$16)*100</f>
        <v>0</v>
      </c>
      <c r="G194" s="60">
        <f>('Pivot Table for Data Exchange'!$H$19)*100</f>
        <v>0</v>
      </c>
      <c r="H194" s="221">
        <f>('Pivot Table for Data Exchange'!$H$22)*100</f>
        <v>0</v>
      </c>
      <c r="I194" s="229" t="s">
        <v>141</v>
      </c>
      <c r="J194" s="221">
        <f>('Pivot Table for Data Exchange'!$H$25)*100</f>
        <v>0</v>
      </c>
      <c r="K194" s="221">
        <f>('Pivot Table for Data Exchange'!$H$28)*100</f>
        <v>0</v>
      </c>
      <c r="L194" s="227">
        <f>SUM(M194:O194)</f>
        <v>0</v>
      </c>
      <c r="M194" s="221">
        <f>('Pivot Table for Data Exchange'!$H$31)*100</f>
        <v>0</v>
      </c>
      <c r="N194" s="221">
        <f>('Pivot Table for Data Exchange'!$H$34)*100</f>
        <v>0</v>
      </c>
      <c r="O194" s="60">
        <f>('Pivot Table for Data Exchange'!$H$37)*100</f>
        <v>0</v>
      </c>
      <c r="P194" s="221">
        <f>('Pivot Table for Data Exchange'!$H$40)*100</f>
        <v>0</v>
      </c>
      <c r="Q194" s="226">
        <f t="shared" si="24"/>
        <v>100</v>
      </c>
      <c r="R194" s="226">
        <f t="shared" si="25"/>
        <v>0</v>
      </c>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row>
    <row r="195" spans="1:41" ht="15.75" customHeight="1">
      <c r="A195" s="65" t="s">
        <v>142</v>
      </c>
      <c r="B195" s="221">
        <f>('Pivot Table for Data Exchange'!$H$43)*100</f>
        <v>82.64052178970546</v>
      </c>
      <c r="C195" s="221">
        <f>('Pivot Table for Data Exchange'!$H$46)*100</f>
        <v>0.97586307174608455</v>
      </c>
      <c r="D195" s="227">
        <f t="shared" ref="D195:D197" si="30">SUM(E195:G195)</f>
        <v>16.383615138548461</v>
      </c>
      <c r="E195" s="221">
        <f>('Pivot Table for Data Exchange'!$H$49)*100</f>
        <v>16.287649038261808</v>
      </c>
      <c r="F195" s="221">
        <f>('Pivot Table for Data Exchange'!$H$52)*100</f>
        <v>9.5966100286651979E-2</v>
      </c>
      <c r="G195" s="223">
        <f>('Pivot Table for Data Exchange'!$H$55)*100</f>
        <v>0</v>
      </c>
      <c r="H195" s="221">
        <f>('Pivot Table for Data Exchange'!$H$58)*100</f>
        <v>0</v>
      </c>
      <c r="I195" s="87" t="s">
        <v>142</v>
      </c>
      <c r="J195" s="221">
        <f>('Pivot Table for Data Exchange'!$H$61)*100</f>
        <v>76.462765957446805</v>
      </c>
      <c r="K195" s="221">
        <f>('Pivot Table for Data Exchange'!$H$64)*100</f>
        <v>0</v>
      </c>
      <c r="L195" s="227">
        <f t="shared" ref="L195:L197" si="31">SUM(M195:O195)</f>
        <v>23.537234042553195</v>
      </c>
      <c r="M195" s="221">
        <f>('Pivot Table for Data Exchange'!$H$67)*100</f>
        <v>23.537234042553195</v>
      </c>
      <c r="N195" s="221">
        <f>('Pivot Table for Data Exchange'!$H$70)*100</f>
        <v>0</v>
      </c>
      <c r="O195" s="223">
        <f>('Pivot Table for Data Exchange'!$H$73)*100</f>
        <v>0</v>
      </c>
      <c r="P195" s="221">
        <f>('Pivot Table for Data Exchange'!$H$76)*100</f>
        <v>0</v>
      </c>
      <c r="Q195" s="226">
        <f t="shared" si="24"/>
        <v>100.00000000000001</v>
      </c>
      <c r="R195" s="226">
        <f t="shared" si="25"/>
        <v>100</v>
      </c>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row>
    <row r="196" spans="1:41" ht="15.75" customHeight="1">
      <c r="A196" s="65" t="s">
        <v>143</v>
      </c>
      <c r="B196" s="221">
        <f>('Pivot Table for Data Exchange'!$H$79)*100</f>
        <v>0</v>
      </c>
      <c r="C196" s="221">
        <f>('Pivot Table for Data Exchange'!$H$82)*100</f>
        <v>0</v>
      </c>
      <c r="D196" s="227">
        <f t="shared" si="30"/>
        <v>0</v>
      </c>
      <c r="E196" s="221">
        <f>('Pivot Table for Data Exchange'!$H$85)*100</f>
        <v>0</v>
      </c>
      <c r="F196" s="221">
        <f>('Pivot Table for Data Exchange'!$H$88)*100</f>
        <v>0</v>
      </c>
      <c r="G196" s="223">
        <f>('Pivot Table for Data Exchange'!$H$91)*100</f>
        <v>0</v>
      </c>
      <c r="H196" s="221">
        <f>('Pivot Table for Data Exchange'!$H$94)*100</f>
        <v>0</v>
      </c>
      <c r="I196" s="87" t="s">
        <v>143</v>
      </c>
      <c r="J196" s="221">
        <f>('Pivot Table for Data Exchange'!$H$97)*100</f>
        <v>0</v>
      </c>
      <c r="K196" s="221">
        <f>('Pivot Table for Data Exchange'!$H$100)*100</f>
        <v>0</v>
      </c>
      <c r="L196" s="227">
        <f t="shared" si="31"/>
        <v>0</v>
      </c>
      <c r="M196" s="221">
        <f>('Pivot Table for Data Exchange'!$H$103)*100</f>
        <v>0</v>
      </c>
      <c r="N196" s="221">
        <f>('Pivot Table for Data Exchange'!$H$106)*100</f>
        <v>0</v>
      </c>
      <c r="O196" s="223">
        <f>('Pivot Table for Data Exchange'!$H$109)*100</f>
        <v>0</v>
      </c>
      <c r="P196" s="221">
        <f>('Pivot Table for Data Exchange'!$H$112)*100</f>
        <v>0</v>
      </c>
      <c r="Q196" s="226">
        <f t="shared" si="24"/>
        <v>0</v>
      </c>
      <c r="R196" s="226">
        <f t="shared" si="25"/>
        <v>0</v>
      </c>
      <c r="S196" s="98"/>
      <c r="T196" s="104"/>
      <c r="U196" s="98"/>
      <c r="V196" s="98"/>
      <c r="W196" s="98"/>
      <c r="X196" s="98"/>
      <c r="Y196" s="98"/>
      <c r="Z196" s="98"/>
      <c r="AA196" s="98"/>
      <c r="AB196" s="98"/>
      <c r="AC196" s="98"/>
      <c r="AD196" s="98"/>
      <c r="AE196" s="98"/>
      <c r="AF196" s="98"/>
      <c r="AG196" s="98"/>
      <c r="AH196" s="98"/>
      <c r="AI196" s="98"/>
      <c r="AJ196" s="98"/>
      <c r="AK196" s="98"/>
      <c r="AL196" s="98"/>
      <c r="AM196" s="98"/>
      <c r="AN196" s="98"/>
      <c r="AO196" s="98"/>
    </row>
    <row r="197" spans="1:41" ht="15.75" customHeight="1">
      <c r="A197" s="65" t="s">
        <v>174</v>
      </c>
      <c r="B197" s="221">
        <f>('Pivot Table for Data Exchange'!$H$115)*100</f>
        <v>100</v>
      </c>
      <c r="C197" s="221">
        <f>('Pivot Table for Data Exchange'!$H$118)*100</f>
        <v>0</v>
      </c>
      <c r="D197" s="227">
        <f t="shared" si="30"/>
        <v>0</v>
      </c>
      <c r="E197" s="221">
        <f>('Pivot Table for Data Exchange'!$H$121)*100</f>
        <v>0</v>
      </c>
      <c r="F197" s="221">
        <f>('Pivot Table for Data Exchange'!$H$124)*100</f>
        <v>0</v>
      </c>
      <c r="G197" s="223">
        <f>('Pivot Table for Data Exchange'!$H$127)*100</f>
        <v>0</v>
      </c>
      <c r="H197" s="221">
        <f>('Pivot Table for Data Exchange'!$H$130)*100</f>
        <v>0</v>
      </c>
      <c r="I197" s="87" t="s">
        <v>144</v>
      </c>
      <c r="J197" s="221">
        <f>('Pivot Table for Data Exchange'!$H$133)*100</f>
        <v>0</v>
      </c>
      <c r="K197" s="221">
        <f>('Pivot Table for Data Exchange'!$H$136)*100</f>
        <v>0</v>
      </c>
      <c r="L197" s="227">
        <f t="shared" si="31"/>
        <v>0</v>
      </c>
      <c r="M197" s="221">
        <f>('Pivot Table for Data Exchange'!$H$139)*100</f>
        <v>0</v>
      </c>
      <c r="N197" s="221">
        <f>('Pivot Table for Data Exchange'!$H$142)*100</f>
        <v>0</v>
      </c>
      <c r="O197" s="223">
        <f>('Pivot Table for Data Exchange'!$H$145)*100</f>
        <v>0</v>
      </c>
      <c r="P197" s="221">
        <f>('Pivot Table for Data Exchange'!$H$148)*100</f>
        <v>0</v>
      </c>
      <c r="Q197" s="226">
        <f t="shared" si="24"/>
        <v>100</v>
      </c>
      <c r="R197" s="226">
        <f t="shared" si="25"/>
        <v>0</v>
      </c>
      <c r="S197" s="98"/>
      <c r="U197" s="98"/>
      <c r="V197" s="98"/>
      <c r="W197" s="98"/>
      <c r="X197" s="98"/>
      <c r="Y197" s="98"/>
      <c r="Z197" s="98"/>
      <c r="AA197" s="98"/>
      <c r="AB197" s="98"/>
      <c r="AC197" s="98"/>
      <c r="AD197" s="98"/>
      <c r="AE197" s="98"/>
      <c r="AF197" s="98"/>
      <c r="AG197" s="98"/>
      <c r="AH197" s="98"/>
      <c r="AI197" s="98"/>
      <c r="AJ197" s="98"/>
      <c r="AK197" s="98"/>
      <c r="AL197" s="98"/>
      <c r="AM197" s="98"/>
      <c r="AN197" s="98"/>
      <c r="AO197" s="98"/>
    </row>
    <row r="198" spans="1:41" ht="15.75" customHeight="1">
      <c r="A198" s="65"/>
      <c r="B198" s="221"/>
      <c r="C198" s="221"/>
      <c r="D198" s="227"/>
      <c r="E198" s="221"/>
      <c r="F198" s="221"/>
      <c r="G198" s="223"/>
      <c r="H198" s="221"/>
      <c r="I198" s="87"/>
      <c r="J198" s="221"/>
      <c r="K198" s="221"/>
      <c r="L198" s="227"/>
      <c r="M198" s="221"/>
      <c r="N198" s="221"/>
      <c r="O198" s="223"/>
      <c r="P198" s="221"/>
      <c r="Q198" s="226">
        <f t="shared" si="24"/>
        <v>0</v>
      </c>
      <c r="R198" s="226">
        <f t="shared" si="25"/>
        <v>0</v>
      </c>
      <c r="S198" s="98"/>
      <c r="U198" s="98"/>
      <c r="V198" s="98"/>
      <c r="W198" s="98"/>
      <c r="X198" s="98"/>
      <c r="Y198" s="98"/>
      <c r="Z198" s="98"/>
      <c r="AA198" s="98"/>
      <c r="AB198" s="98"/>
      <c r="AC198" s="98"/>
      <c r="AD198" s="98"/>
      <c r="AE198" s="98"/>
      <c r="AF198" s="98"/>
      <c r="AG198" s="98"/>
      <c r="AH198" s="98"/>
      <c r="AI198" s="98"/>
      <c r="AJ198" s="98"/>
      <c r="AK198" s="98"/>
      <c r="AL198" s="98"/>
      <c r="AM198" s="98"/>
      <c r="AN198" s="98"/>
      <c r="AO198" s="98"/>
    </row>
    <row r="199" spans="1:41" ht="15.75" customHeight="1">
      <c r="A199" s="65" t="s">
        <v>145</v>
      </c>
      <c r="B199" s="221">
        <f>('Pivot Table for Data Exchange'!$H$151)*100</f>
        <v>86.303478481655446</v>
      </c>
      <c r="C199" s="221">
        <f>('Pivot Table for Data Exchange'!$H$154)*100</f>
        <v>6.0429097372095972</v>
      </c>
      <c r="D199" s="227">
        <f t="shared" ref="D199:D200" si="32">SUM(E199:G199)</f>
        <v>7.6536117811349502</v>
      </c>
      <c r="E199" s="221">
        <f>('Pivot Table for Data Exchange'!$H$157)*100</f>
        <v>7.6536117811349502</v>
      </c>
      <c r="F199" s="221">
        <f>('Pivot Table for Data Exchange'!$H$160)*100</f>
        <v>0</v>
      </c>
      <c r="G199" s="223">
        <f>('Pivot Table for Data Exchange'!$H$163)*100</f>
        <v>0</v>
      </c>
      <c r="H199" s="221">
        <f>('Pivot Table for Data Exchange'!$H$166)*100</f>
        <v>0</v>
      </c>
      <c r="I199" s="87" t="s">
        <v>145</v>
      </c>
      <c r="J199" s="221">
        <f>('Pivot Table for Data Exchange'!$H$169)*100</f>
        <v>0</v>
      </c>
      <c r="K199" s="221">
        <f>('Pivot Table for Data Exchange'!$H$172)*100</f>
        <v>0</v>
      </c>
      <c r="L199" s="227">
        <f t="shared" ref="L199:L200" si="33">SUM(M199:O199)</f>
        <v>0</v>
      </c>
      <c r="M199" s="221">
        <f>('Pivot Table for Data Exchange'!$H$175)*100</f>
        <v>0</v>
      </c>
      <c r="N199" s="221">
        <f>('Pivot Table for Data Exchange'!$H$178)*100</f>
        <v>0</v>
      </c>
      <c r="O199" s="223">
        <f>('Pivot Table for Data Exchange'!$H$181)*100</f>
        <v>0</v>
      </c>
      <c r="P199" s="221">
        <f>('Pivot Table for Data Exchange'!$H$184)*100</f>
        <v>0</v>
      </c>
      <c r="Q199" s="226">
        <f t="shared" si="24"/>
        <v>100</v>
      </c>
      <c r="R199" s="226">
        <f t="shared" si="25"/>
        <v>0</v>
      </c>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row>
    <row r="200" spans="1:41" ht="15.75" customHeight="1">
      <c r="A200" s="65" t="s">
        <v>146</v>
      </c>
      <c r="B200" s="221">
        <f>('Pivot Table for Data Exchange'!$H$187)*100</f>
        <v>0</v>
      </c>
      <c r="C200" s="221">
        <f>('Pivot Table for Data Exchange'!$H$190)*100</f>
        <v>0</v>
      </c>
      <c r="D200" s="227">
        <f t="shared" si="32"/>
        <v>0</v>
      </c>
      <c r="E200" s="221">
        <f>('Pivot Table for Data Exchange'!$H$193)*100</f>
        <v>0</v>
      </c>
      <c r="F200" s="221">
        <f>('Pivot Table for Data Exchange'!$H$196)*100</f>
        <v>0</v>
      </c>
      <c r="G200" s="223">
        <f>('Pivot Table for Data Exchange'!$H$199)*100</f>
        <v>0</v>
      </c>
      <c r="H200" s="221">
        <f>('Pivot Table for Data Exchange'!$H$202)*100</f>
        <v>0</v>
      </c>
      <c r="I200" s="87" t="s">
        <v>146</v>
      </c>
      <c r="J200" s="221">
        <f>('Pivot Table for Data Exchange'!$H$205)*100</f>
        <v>0</v>
      </c>
      <c r="K200" s="221">
        <f>('Pivot Table for Data Exchange'!$H$208)*100</f>
        <v>0</v>
      </c>
      <c r="L200" s="227">
        <f t="shared" si="33"/>
        <v>0</v>
      </c>
      <c r="M200" s="221">
        <f>('Pivot Table for Data Exchange'!$H$211)*100</f>
        <v>0</v>
      </c>
      <c r="N200" s="221">
        <f>('Pivot Table for Data Exchange'!$H$214)*100</f>
        <v>0</v>
      </c>
      <c r="O200" s="223">
        <f>('Pivot Table for Data Exchange'!$H$217)*100</f>
        <v>0</v>
      </c>
      <c r="P200" s="221">
        <f>('Pivot Table for Data Exchange'!$H$220)*100</f>
        <v>0</v>
      </c>
      <c r="Q200" s="226">
        <f t="shared" si="24"/>
        <v>0</v>
      </c>
      <c r="R200" s="226">
        <f t="shared" si="25"/>
        <v>0</v>
      </c>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row>
    <row r="201" spans="1:41" ht="15.75" customHeight="1">
      <c r="A201" s="222" t="s">
        <v>147</v>
      </c>
      <c r="B201" s="221">
        <f>('Pivot Table for Data Exchange'!$H$223)*100</f>
        <v>0</v>
      </c>
      <c r="C201" s="221">
        <f>('Pivot Table for Data Exchange'!$H$226)*100</f>
        <v>0</v>
      </c>
      <c r="D201" s="227">
        <f>SUM(E201:G201)</f>
        <v>0</v>
      </c>
      <c r="E201" s="221">
        <f>('Pivot Table for Data Exchange'!$H$229)*100</f>
        <v>0</v>
      </c>
      <c r="F201" s="221">
        <f>('Pivot Table for Data Exchange'!$H$232)*100</f>
        <v>0</v>
      </c>
      <c r="G201" s="223">
        <f>('Pivot Table for Data Exchange'!$H$235)*100</f>
        <v>0</v>
      </c>
      <c r="H201" s="221">
        <f>('Pivot Table for Data Exchange'!$H$238)*100</f>
        <v>0</v>
      </c>
      <c r="I201" s="87" t="s">
        <v>147</v>
      </c>
      <c r="J201" s="221">
        <f>('Pivot Table for Data Exchange'!$H$241)*100</f>
        <v>0</v>
      </c>
      <c r="K201" s="221">
        <f>('Pivot Table for Data Exchange'!$H$244)*100</f>
        <v>0</v>
      </c>
      <c r="L201" s="227">
        <f>SUM(M201:O201)</f>
        <v>0</v>
      </c>
      <c r="M201" s="221">
        <f>('Pivot Table for Data Exchange'!$H$247)*100</f>
        <v>0</v>
      </c>
      <c r="N201" s="221">
        <f>('Pivot Table for Data Exchange'!$H$250)*100</f>
        <v>0</v>
      </c>
      <c r="O201" s="223">
        <f>('Pivot Table for Data Exchange'!$H$253)*100</f>
        <v>0</v>
      </c>
      <c r="P201" s="221">
        <f>('Pivot Table for Data Exchange'!$H$256)*100</f>
        <v>0</v>
      </c>
      <c r="Q201" s="226">
        <f t="shared" si="24"/>
        <v>0</v>
      </c>
      <c r="R201" s="226">
        <f t="shared" si="25"/>
        <v>0</v>
      </c>
      <c r="S201" s="98"/>
      <c r="T201" s="104"/>
      <c r="U201" s="98"/>
      <c r="V201" s="98"/>
      <c r="W201" s="98"/>
      <c r="X201" s="98"/>
      <c r="Y201" s="98"/>
      <c r="Z201" s="98"/>
      <c r="AA201" s="98"/>
      <c r="AB201" s="98"/>
      <c r="AC201" s="98"/>
      <c r="AD201" s="98"/>
      <c r="AE201" s="98"/>
      <c r="AF201" s="98"/>
      <c r="AG201" s="98"/>
      <c r="AH201" s="98"/>
      <c r="AI201" s="98"/>
      <c r="AJ201" s="98"/>
      <c r="AK201" s="98"/>
      <c r="AL201" s="98"/>
      <c r="AM201" s="98"/>
      <c r="AN201" s="98"/>
      <c r="AO201" s="98"/>
    </row>
    <row r="202" spans="1:41" ht="15.75" customHeight="1">
      <c r="A202" s="65" t="s">
        <v>177</v>
      </c>
      <c r="B202" s="221">
        <f>('Pivot Table for Data Exchange'!$H$259)*100</f>
        <v>100</v>
      </c>
      <c r="C202" s="221">
        <f>('Pivot Table for Data Exchange'!$H$262)*100</f>
        <v>0</v>
      </c>
      <c r="D202" s="227">
        <f>SUM(E202:G202)</f>
        <v>0</v>
      </c>
      <c r="E202" s="221">
        <f>('Pivot Table for Data Exchange'!$H$265)*100</f>
        <v>0</v>
      </c>
      <c r="F202" s="221">
        <f>('Pivot Table for Data Exchange'!$H$268)*100</f>
        <v>0</v>
      </c>
      <c r="G202" s="223">
        <f>('Pivot Table for Data Exchange'!$H$271)*100</f>
        <v>0</v>
      </c>
      <c r="H202" s="221">
        <f>('Pivot Table for Data Exchange'!$H$274)*100</f>
        <v>0</v>
      </c>
      <c r="I202" s="87" t="s">
        <v>177</v>
      </c>
      <c r="J202" s="221">
        <f>('Pivot Table for Data Exchange'!$H$277)*100</f>
        <v>100</v>
      </c>
      <c r="K202" s="221">
        <f>('Pivot Table for Data Exchange'!$H$280)*100</f>
        <v>0</v>
      </c>
      <c r="L202" s="227">
        <f>SUM(M202:O202)</f>
        <v>0</v>
      </c>
      <c r="M202" s="221">
        <f>('Pivot Table for Data Exchange'!$H$283)*100</f>
        <v>0</v>
      </c>
      <c r="N202" s="221">
        <f>('Pivot Table for Data Exchange'!$H$286)*100</f>
        <v>0</v>
      </c>
      <c r="O202" s="223">
        <f>('Pivot Table for Data Exchange'!$H$289)*100</f>
        <v>0</v>
      </c>
      <c r="P202" s="221">
        <f>('Pivot Table for Data Exchange'!$H$292)*100</f>
        <v>0</v>
      </c>
      <c r="Q202" s="226">
        <f t="shared" si="24"/>
        <v>100</v>
      </c>
      <c r="R202" s="226">
        <f t="shared" si="25"/>
        <v>100</v>
      </c>
      <c r="S202" s="98"/>
      <c r="U202" s="98"/>
      <c r="V202" s="98"/>
      <c r="W202" s="98"/>
      <c r="X202" s="98"/>
      <c r="Y202" s="98"/>
      <c r="Z202" s="98"/>
      <c r="AA202" s="98"/>
      <c r="AB202" s="98"/>
      <c r="AC202" s="98"/>
      <c r="AD202" s="98"/>
      <c r="AE202" s="98"/>
      <c r="AF202" s="98"/>
      <c r="AG202" s="98"/>
      <c r="AH202" s="98"/>
      <c r="AI202" s="98"/>
      <c r="AJ202" s="98"/>
      <c r="AK202" s="98"/>
      <c r="AL202" s="98"/>
      <c r="AM202" s="98"/>
      <c r="AN202" s="98"/>
      <c r="AO202" s="98"/>
    </row>
    <row r="203" spans="1:41" ht="11.25" customHeight="1">
      <c r="A203" s="65"/>
      <c r="B203" s="221"/>
      <c r="C203" s="221"/>
      <c r="D203" s="227"/>
      <c r="E203" s="221"/>
      <c r="F203" s="221"/>
      <c r="G203" s="223"/>
      <c r="H203" s="221"/>
      <c r="I203" s="87"/>
      <c r="J203" s="221"/>
      <c r="K203" s="221"/>
      <c r="L203" s="227"/>
      <c r="M203" s="221"/>
      <c r="N203" s="221"/>
      <c r="O203" s="223"/>
      <c r="P203" s="221"/>
      <c r="Q203" s="226">
        <f t="shared" si="24"/>
        <v>0</v>
      </c>
      <c r="R203" s="226">
        <f t="shared" si="25"/>
        <v>0</v>
      </c>
      <c r="S203" s="98"/>
      <c r="U203" s="98"/>
      <c r="V203" s="98"/>
      <c r="W203" s="98"/>
      <c r="X203" s="98"/>
      <c r="Y203" s="98"/>
      <c r="Z203" s="98"/>
      <c r="AA203" s="98"/>
      <c r="AB203" s="98"/>
      <c r="AC203" s="98"/>
      <c r="AD203" s="98"/>
      <c r="AE203" s="98"/>
      <c r="AF203" s="98"/>
      <c r="AG203" s="98"/>
      <c r="AH203" s="98"/>
      <c r="AI203" s="98"/>
      <c r="AJ203" s="98"/>
      <c r="AK203" s="98"/>
      <c r="AL203" s="98"/>
      <c r="AM203" s="98"/>
      <c r="AN203" s="98"/>
      <c r="AO203" s="98"/>
    </row>
    <row r="204" spans="1:41" ht="15.75" customHeight="1">
      <c r="A204" s="65" t="s">
        <v>148</v>
      </c>
      <c r="B204" s="221">
        <f>('Pivot Table for Data Exchange'!$H$295)*100</f>
        <v>0</v>
      </c>
      <c r="C204" s="221">
        <f>('Pivot Table for Data Exchange'!$H$298)*100</f>
        <v>0</v>
      </c>
      <c r="D204" s="227">
        <f>SUM(E204:G204)</f>
        <v>0</v>
      </c>
      <c r="E204" s="221">
        <f>('Pivot Table for Data Exchange'!$H$301)*100</f>
        <v>0</v>
      </c>
      <c r="F204" s="221">
        <f>('Pivot Table for Data Exchange'!$H$304)*100</f>
        <v>0</v>
      </c>
      <c r="G204" s="223">
        <f>('Pivot Table for Data Exchange'!$H$307)*100</f>
        <v>0</v>
      </c>
      <c r="H204" s="221">
        <f>('Pivot Table for Data Exchange'!$H$310)*100</f>
        <v>0</v>
      </c>
      <c r="I204" s="87" t="s">
        <v>148</v>
      </c>
      <c r="J204" s="221">
        <f>('Pivot Table for Data Exchange'!$H$313)*100</f>
        <v>0</v>
      </c>
      <c r="K204" s="221">
        <f>('Pivot Table for Data Exchange'!$H$316)*100</f>
        <v>0</v>
      </c>
      <c r="L204" s="227">
        <f>SUM(M204:O204)</f>
        <v>0</v>
      </c>
      <c r="M204" s="221">
        <f>('Pivot Table for Data Exchange'!$H$319)*100</f>
        <v>0</v>
      </c>
      <c r="N204" s="221">
        <f>('Pivot Table for Data Exchange'!$H$322)*100</f>
        <v>0</v>
      </c>
      <c r="O204" s="223">
        <f>('Pivot Table for Data Exchange'!$H$325)*100</f>
        <v>0</v>
      </c>
      <c r="P204" s="221">
        <f>('Pivot Table for Data Exchange'!$H$328)*100</f>
        <v>0</v>
      </c>
      <c r="Q204" s="226">
        <f t="shared" si="24"/>
        <v>0</v>
      </c>
      <c r="R204" s="226">
        <f t="shared" si="25"/>
        <v>0</v>
      </c>
      <c r="S204" s="98"/>
      <c r="T204" s="98"/>
      <c r="U204" s="98"/>
      <c r="V204" s="98"/>
      <c r="W204" s="98"/>
      <c r="X204" s="98"/>
      <c r="Y204" s="98"/>
      <c r="Z204" s="98"/>
      <c r="AA204" s="98"/>
      <c r="AB204" s="98"/>
      <c r="AC204" s="98"/>
      <c r="AD204" s="98"/>
      <c r="AE204" s="98"/>
      <c r="AF204" s="98"/>
      <c r="AG204" s="98"/>
      <c r="AH204" s="98"/>
      <c r="AI204" s="98"/>
      <c r="AJ204" s="98"/>
      <c r="AK204" s="98"/>
      <c r="AL204" s="98"/>
      <c r="AM204" s="98"/>
      <c r="AN204" s="98"/>
      <c r="AO204" s="98"/>
    </row>
    <row r="205" spans="1:41" ht="15.75" customHeight="1">
      <c r="A205" s="65" t="s">
        <v>149</v>
      </c>
      <c r="B205" s="221">
        <f>('Pivot Table for Data Exchange'!$H$331)*100</f>
        <v>88.982925110350024</v>
      </c>
      <c r="C205" s="221">
        <f>('Pivot Table for Data Exchange'!$H$334)*100</f>
        <v>0.71959346678371394</v>
      </c>
      <c r="D205" s="227">
        <f>SUM(E205:G205)</f>
        <v>10.297481422866259</v>
      </c>
      <c r="E205" s="221">
        <f>('Pivot Table for Data Exchange'!$H$337)*100</f>
        <v>9.3856254404728059</v>
      </c>
      <c r="F205" s="221">
        <f>('Pivot Table for Data Exchange'!$H$340)*100</f>
        <v>0.74370355716564251</v>
      </c>
      <c r="G205" s="223">
        <f>('Pivot Table for Data Exchange'!$H$343)*100</f>
        <v>0.16815242522780943</v>
      </c>
      <c r="H205" s="221">
        <f>('Pivot Table for Data Exchange'!$H$346)*100</f>
        <v>0</v>
      </c>
      <c r="I205" s="87" t="s">
        <v>149</v>
      </c>
      <c r="J205" s="221">
        <f>('Pivot Table for Data Exchange'!$H$349)*100</f>
        <v>76.470588235294116</v>
      </c>
      <c r="K205" s="221">
        <f>('Pivot Table for Data Exchange'!$H$352)*100</f>
        <v>0</v>
      </c>
      <c r="L205" s="227">
        <f>SUM(M205:O205)</f>
        <v>23.52941176470588</v>
      </c>
      <c r="M205" s="221">
        <f>('Pivot Table for Data Exchange'!$H$355)*100</f>
        <v>23.52941176470588</v>
      </c>
      <c r="N205" s="221">
        <f>('Pivot Table for Data Exchange'!$H$358)*100</f>
        <v>0</v>
      </c>
      <c r="O205" s="223">
        <f>('Pivot Table for Data Exchange'!$H$361)*100</f>
        <v>0</v>
      </c>
      <c r="P205" s="221">
        <f>('Pivot Table for Data Exchange'!$H$364)*100</f>
        <v>0</v>
      </c>
      <c r="Q205" s="226">
        <f t="shared" si="24"/>
        <v>100</v>
      </c>
      <c r="R205" s="226">
        <f t="shared" si="25"/>
        <v>100</v>
      </c>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row>
    <row r="206" spans="1:41" ht="15.75" customHeight="1">
      <c r="A206" s="65" t="s">
        <v>150</v>
      </c>
      <c r="B206" s="221">
        <f>('Pivot Table for Data Exchange'!$H$367)*100</f>
        <v>77.180054040776227</v>
      </c>
      <c r="C206" s="221">
        <f>('Pivot Table for Data Exchange'!$H$370)*100</f>
        <v>0.76281144814674662</v>
      </c>
      <c r="D206" s="227">
        <f>SUM(E206:G206)</f>
        <v>22.057134511077031</v>
      </c>
      <c r="E206" s="221">
        <f>('Pivot Table for Data Exchange'!$H$373)*100</f>
        <v>20.589270183964363</v>
      </c>
      <c r="F206" s="221">
        <f>('Pivot Table for Data Exchange'!$H$376)*100</f>
        <v>1.467864327112669</v>
      </c>
      <c r="G206" s="223">
        <f>('Pivot Table for Data Exchange'!$H$379)*100</f>
        <v>0</v>
      </c>
      <c r="H206" s="221">
        <f>('Pivot Table for Data Exchange'!$H$382)*100</f>
        <v>0</v>
      </c>
      <c r="I206" s="87" t="s">
        <v>150</v>
      </c>
      <c r="J206" s="221">
        <f>('Pivot Table for Data Exchange'!$H$385)*100</f>
        <v>100</v>
      </c>
      <c r="K206" s="221">
        <f>('Pivot Table for Data Exchange'!$H$388)*100</f>
        <v>0</v>
      </c>
      <c r="L206" s="227">
        <f>SUM(M206:O206)</f>
        <v>0</v>
      </c>
      <c r="M206" s="221">
        <f>('Pivot Table for Data Exchange'!$H$391)*100</f>
        <v>0</v>
      </c>
      <c r="N206" s="221">
        <f>('Pivot Table for Data Exchange'!$H$394)*100</f>
        <v>0</v>
      </c>
      <c r="O206" s="223">
        <f>('Pivot Table for Data Exchange'!$H$397)*100</f>
        <v>0</v>
      </c>
      <c r="P206" s="221">
        <f>('Pivot Table for Data Exchange'!$H$400)*100</f>
        <v>0</v>
      </c>
      <c r="Q206" s="226">
        <f t="shared" si="24"/>
        <v>100</v>
      </c>
      <c r="R206" s="226">
        <f t="shared" si="25"/>
        <v>100</v>
      </c>
      <c r="S206" s="98"/>
      <c r="T206" s="104"/>
      <c r="U206" s="98"/>
      <c r="V206" s="98"/>
      <c r="W206" s="98"/>
      <c r="X206" s="98"/>
      <c r="Y206" s="98"/>
      <c r="Z206" s="98"/>
      <c r="AA206" s="98"/>
      <c r="AB206" s="98"/>
      <c r="AC206" s="98"/>
      <c r="AD206" s="98"/>
      <c r="AE206" s="98"/>
      <c r="AF206" s="98"/>
      <c r="AG206" s="98"/>
      <c r="AH206" s="98"/>
      <c r="AI206" s="98"/>
      <c r="AJ206" s="98"/>
      <c r="AK206" s="98"/>
      <c r="AL206" s="98"/>
      <c r="AM206" s="98"/>
      <c r="AN206" s="98"/>
      <c r="AO206" s="98"/>
    </row>
    <row r="207" spans="1:41" ht="15.75" customHeight="1">
      <c r="A207" s="65" t="s">
        <v>151</v>
      </c>
      <c r="B207" s="221">
        <f>('Pivot Table for Data Exchange'!$H$403)*100</f>
        <v>85.543716549035892</v>
      </c>
      <c r="C207" s="221">
        <f>('Pivot Table for Data Exchange'!$H$406)*100</f>
        <v>4.3292859602989333</v>
      </c>
      <c r="D207" s="227">
        <f>SUM(E207:G207)</f>
        <v>10.126997490665167</v>
      </c>
      <c r="E207" s="221">
        <f>('Pivot Table for Data Exchange'!$H$409)*100</f>
        <v>9.9400274441413323</v>
      </c>
      <c r="F207" s="221">
        <f>('Pivot Table for Data Exchange'!$H$412)*100</f>
        <v>0.1541682839757923</v>
      </c>
      <c r="G207" s="68">
        <f>('Pivot Table for Data Exchange'!$H$415)*100</f>
        <v>3.2801762548040916E-2</v>
      </c>
      <c r="H207" s="221">
        <f>('Pivot Table for Data Exchange'!$H$418)*100</f>
        <v>0</v>
      </c>
      <c r="I207" s="87" t="s">
        <v>151</v>
      </c>
      <c r="J207" s="221">
        <f>('Pivot Table for Data Exchange'!$H$421)*100</f>
        <v>66.45916566013193</v>
      </c>
      <c r="K207" s="221">
        <f>('Pivot Table for Data Exchange'!$H$424)*100</f>
        <v>0.70612282820774874</v>
      </c>
      <c r="L207" s="227">
        <f>SUM(M207:O207)</f>
        <v>32.834711511660316</v>
      </c>
      <c r="M207" s="221">
        <f>('Pivot Table for Data Exchange'!$H$427)*100</f>
        <v>32.277246120969991</v>
      </c>
      <c r="N207" s="221">
        <f>('Pivot Table for Data Exchange'!$H$430)*100</f>
        <v>0.55746539069032797</v>
      </c>
      <c r="O207" s="223">
        <f>('Pivot Table for Data Exchange'!$H$433)*100</f>
        <v>0</v>
      </c>
      <c r="P207" s="221">
        <f>('Pivot Table for Data Exchange'!$H$436)*100</f>
        <v>0</v>
      </c>
      <c r="Q207" s="226">
        <f t="shared" si="24"/>
        <v>99.999999999999986</v>
      </c>
      <c r="R207" s="226">
        <f t="shared" si="25"/>
        <v>100</v>
      </c>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row>
    <row r="208" spans="1:41" ht="11.25" customHeight="1">
      <c r="A208" s="65"/>
      <c r="B208" s="221"/>
      <c r="C208" s="221"/>
      <c r="D208" s="227"/>
      <c r="E208" s="221"/>
      <c r="F208" s="221"/>
      <c r="G208" s="223"/>
      <c r="H208" s="221"/>
      <c r="I208" s="87"/>
      <c r="J208" s="221"/>
      <c r="K208" s="221"/>
      <c r="L208" s="227"/>
      <c r="M208" s="221"/>
      <c r="N208" s="221"/>
      <c r="O208" s="223"/>
      <c r="P208" s="221"/>
      <c r="Q208" s="226">
        <f t="shared" si="24"/>
        <v>0</v>
      </c>
      <c r="R208" s="226">
        <f t="shared" si="25"/>
        <v>0</v>
      </c>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row>
    <row r="209" spans="1:41" ht="15.75" customHeight="1">
      <c r="A209" s="65" t="s">
        <v>152</v>
      </c>
      <c r="B209" s="221">
        <f>('Pivot Table for Data Exchange'!$H$439)*100</f>
        <v>0</v>
      </c>
      <c r="C209" s="221">
        <f>('Pivot Table for Data Exchange'!$H$442)*100</f>
        <v>0</v>
      </c>
      <c r="D209" s="227">
        <f>SUM(E209:G209)</f>
        <v>0</v>
      </c>
      <c r="E209" s="221">
        <f>('Pivot Table for Data Exchange'!$H$445)*100</f>
        <v>0</v>
      </c>
      <c r="F209" s="221">
        <f>('Pivot Table for Data Exchange'!$H$448)*100</f>
        <v>0</v>
      </c>
      <c r="G209" s="223">
        <f>('Pivot Table for Data Exchange'!$H$451)*100</f>
        <v>0</v>
      </c>
      <c r="H209" s="221">
        <f>('Pivot Table for Data Exchange'!$H$454)*100</f>
        <v>0</v>
      </c>
      <c r="I209" s="87" t="s">
        <v>152</v>
      </c>
      <c r="J209" s="221">
        <f>('Pivot Table for Data Exchange'!$H$457)*100</f>
        <v>0</v>
      </c>
      <c r="K209" s="221">
        <f>('Pivot Table for Data Exchange'!$H$460)*100</f>
        <v>0</v>
      </c>
      <c r="L209" s="227">
        <f>SUM(M209:O209)</f>
        <v>0</v>
      </c>
      <c r="M209" s="221">
        <f>('Pivot Table for Data Exchange'!$H$463)*100</f>
        <v>0</v>
      </c>
      <c r="N209" s="221">
        <f>('Pivot Table for Data Exchange'!$H$466)*100</f>
        <v>0</v>
      </c>
      <c r="O209" s="223">
        <f>('Pivot Table for Data Exchange'!$H$469)*100</f>
        <v>0</v>
      </c>
      <c r="P209" s="221">
        <f>('Pivot Table for Data Exchange'!$H$472)*100</f>
        <v>0</v>
      </c>
      <c r="Q209" s="226">
        <f t="shared" si="24"/>
        <v>0</v>
      </c>
      <c r="R209" s="226">
        <f t="shared" si="25"/>
        <v>0</v>
      </c>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row>
    <row r="210" spans="1:41" ht="15.75" customHeight="1">
      <c r="A210" s="65" t="s">
        <v>153</v>
      </c>
      <c r="B210" s="221">
        <f>('Pivot Table for Data Exchange'!$H$475)*100</f>
        <v>98.709517514871109</v>
      </c>
      <c r="C210" s="221">
        <f>('Pivot Table for Data Exchange'!$H$478)*100</f>
        <v>0.19497686715135493</v>
      </c>
      <c r="D210" s="227">
        <f>SUM(E210:G210)</f>
        <v>1.0955056179775282</v>
      </c>
      <c r="E210" s="221">
        <f>('Pivot Table for Data Exchange'!$H$481)*100</f>
        <v>1.0492399206873761</v>
      </c>
      <c r="F210" s="221">
        <f>('Pivot Table for Data Exchange'!$H$484)*100</f>
        <v>0</v>
      </c>
      <c r="G210" s="68">
        <f>('Pivot Table for Data Exchange'!$H$487)*100</f>
        <v>4.6265697290152015E-2</v>
      </c>
      <c r="H210" s="221">
        <f>('Pivot Table for Data Exchange'!$H$490)*100</f>
        <v>0</v>
      </c>
      <c r="I210" s="87" t="s">
        <v>153</v>
      </c>
      <c r="J210" s="221">
        <f>('Pivot Table for Data Exchange'!$H$493)*100</f>
        <v>80.824544582933839</v>
      </c>
      <c r="K210" s="221">
        <f>('Pivot Table for Data Exchange'!$H$496)*100</f>
        <v>0.62320230105465013</v>
      </c>
      <c r="L210" s="227">
        <f>SUM(M210:O210)</f>
        <v>18.552253116011507</v>
      </c>
      <c r="M210" s="221">
        <f>('Pivot Table for Data Exchange'!$H$499)*100</f>
        <v>18.40843720038351</v>
      </c>
      <c r="N210" s="221">
        <f>('Pivot Table for Data Exchange'!$H$502)*100</f>
        <v>0.14381591562799617</v>
      </c>
      <c r="O210" s="223">
        <f>('Pivot Table for Data Exchange'!$H$505)*100</f>
        <v>0</v>
      </c>
      <c r="P210" s="221">
        <f>('Pivot Table for Data Exchange'!$H$508)*100</f>
        <v>0</v>
      </c>
      <c r="Q210" s="226">
        <f t="shared" si="24"/>
        <v>99.999999999999986</v>
      </c>
      <c r="R210" s="226">
        <f t="shared" si="25"/>
        <v>100</v>
      </c>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row>
    <row r="211" spans="1:41" ht="15.75" customHeight="1">
      <c r="A211" s="65" t="s">
        <v>154</v>
      </c>
      <c r="B211" s="221">
        <f>('Pivot Table for Data Exchange'!$H$511)*100</f>
        <v>80.153743949890867</v>
      </c>
      <c r="C211" s="221">
        <f>('Pivot Table for Data Exchange'!$H$514)*100</f>
        <v>0.2220745942867989</v>
      </c>
      <c r="D211" s="227">
        <f>SUM(E211:G211)</f>
        <v>19.624181455822338</v>
      </c>
      <c r="E211" s="221">
        <f>('Pivot Table for Data Exchange'!$H$517)*100</f>
        <v>19.624181455822338</v>
      </c>
      <c r="F211" s="221">
        <f>('Pivot Table for Data Exchange'!$H$520)*100</f>
        <v>0</v>
      </c>
      <c r="G211" s="223">
        <f>('Pivot Table for Data Exchange'!$H$523)*100</f>
        <v>0</v>
      </c>
      <c r="H211" s="221">
        <f>('Pivot Table for Data Exchange'!$H$526)*100</f>
        <v>0</v>
      </c>
      <c r="I211" s="87" t="s">
        <v>154</v>
      </c>
      <c r="J211" s="221">
        <f>('Pivot Table for Data Exchange'!$H$529)*100</f>
        <v>0</v>
      </c>
      <c r="K211" s="221">
        <f>('Pivot Table for Data Exchange'!$H$532)*100</f>
        <v>0</v>
      </c>
      <c r="L211" s="227">
        <f>SUM(M211:O211)</f>
        <v>0</v>
      </c>
      <c r="M211" s="221">
        <f>('Pivot Table for Data Exchange'!$H$535)*100</f>
        <v>0</v>
      </c>
      <c r="N211" s="221">
        <f>('Pivot Table for Data Exchange'!$H$538)*100</f>
        <v>0</v>
      </c>
      <c r="O211" s="223">
        <f>('Pivot Table for Data Exchange'!$H$541)*100</f>
        <v>0</v>
      </c>
      <c r="P211" s="221">
        <f>('Pivot Table for Data Exchange'!$H$544)*100</f>
        <v>0</v>
      </c>
      <c r="Q211" s="226">
        <f t="shared" si="24"/>
        <v>100</v>
      </c>
      <c r="R211" s="226">
        <f t="shared" si="25"/>
        <v>0</v>
      </c>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row>
    <row r="212" spans="1:41" ht="15.75" customHeight="1">
      <c r="A212" s="220" t="s">
        <v>155</v>
      </c>
      <c r="B212" s="224">
        <f>('Pivot Table for Data Exchange'!$H$547)*100</f>
        <v>75.051513512330416</v>
      </c>
      <c r="C212" s="224">
        <f>('Pivot Table for Data Exchange'!$H$550)*100</f>
        <v>6.9085951741453764</v>
      </c>
      <c r="D212" s="228">
        <f>SUM(E212:G212)</f>
        <v>18.039891313524215</v>
      </c>
      <c r="E212" s="224">
        <f>('Pivot Table for Data Exchange'!$H$553)*100</f>
        <v>16.459622473961836</v>
      </c>
      <c r="F212" s="224">
        <f>('Pivot Table for Data Exchange'!$H$556)*100</f>
        <v>1.5802688395623776</v>
      </c>
      <c r="G212" s="233">
        <f>('Pivot Table for Data Exchange'!$H$559)*100</f>
        <v>0</v>
      </c>
      <c r="H212" s="224">
        <f>('Pivot Table for Data Exchange'!$H$562)*100</f>
        <v>0</v>
      </c>
      <c r="I212" s="230" t="s">
        <v>155</v>
      </c>
      <c r="J212" s="224">
        <f>('Pivot Table for Data Exchange'!$H$565)*100</f>
        <v>32.728054152788225</v>
      </c>
      <c r="K212" s="224">
        <f>('Pivot Table for Data Exchange'!$H$568)*100</f>
        <v>15.92349844203288</v>
      </c>
      <c r="L212" s="228">
        <f>SUM(M212:O212)</f>
        <v>51.348447405178902</v>
      </c>
      <c r="M212" s="224">
        <f>('Pivot Table for Data Exchange'!$H$571)*100</f>
        <v>51.348447405178902</v>
      </c>
      <c r="N212" s="224">
        <f>('Pivot Table for Data Exchange'!$H$574)*100</f>
        <v>0</v>
      </c>
      <c r="O212" s="225">
        <f>('Pivot Table for Data Exchange'!$H$577)*100</f>
        <v>0</v>
      </c>
      <c r="P212" s="224">
        <f>('Pivot Table for Data Exchange'!$H$580)*100</f>
        <v>0</v>
      </c>
      <c r="Q212" s="226">
        <f t="shared" si="24"/>
        <v>100</v>
      </c>
      <c r="R212" s="226">
        <f t="shared" si="25"/>
        <v>100</v>
      </c>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row>
    <row r="213" spans="1:41" s="103" customFormat="1" ht="13.5" customHeight="1">
      <c r="A213" s="691" t="s">
        <v>175</v>
      </c>
      <c r="B213" s="69"/>
      <c r="C213" s="69"/>
      <c r="D213" s="70"/>
      <c r="E213" s="69"/>
      <c r="F213" s="70"/>
      <c r="G213" s="70"/>
      <c r="H213" s="69"/>
      <c r="I213" s="691" t="s">
        <v>175</v>
      </c>
      <c r="J213" s="69"/>
      <c r="K213" s="69"/>
      <c r="L213" s="70"/>
      <c r="M213" s="69"/>
      <c r="N213" s="70"/>
      <c r="O213" s="70"/>
      <c r="P213" s="69"/>
      <c r="Q213" s="226">
        <f t="shared" si="24"/>
        <v>0</v>
      </c>
      <c r="R213" s="226">
        <f t="shared" si="25"/>
        <v>0</v>
      </c>
      <c r="S213" s="102"/>
      <c r="T213" s="102"/>
      <c r="U213" s="102"/>
      <c r="V213" s="102"/>
      <c r="W213" s="102"/>
      <c r="X213" s="102"/>
      <c r="Y213" s="102"/>
      <c r="Z213" s="102"/>
      <c r="AA213" s="102"/>
      <c r="AB213" s="102"/>
      <c r="AC213" s="102"/>
      <c r="AD213" s="102"/>
      <c r="AE213" s="102"/>
      <c r="AF213" s="102"/>
      <c r="AG213" s="102"/>
      <c r="AH213" s="102"/>
      <c r="AI213" s="102"/>
      <c r="AJ213" s="102"/>
      <c r="AK213" s="102"/>
      <c r="AL213" s="102"/>
      <c r="AM213" s="102"/>
      <c r="AN213" s="102"/>
      <c r="AO213" s="102"/>
    </row>
    <row r="214" spans="1:41" s="103" customFormat="1" ht="23.25" customHeight="1">
      <c r="A214" s="666" t="s">
        <v>176</v>
      </c>
      <c r="B214" s="680"/>
      <c r="C214" s="680"/>
      <c r="D214" s="680"/>
      <c r="E214" s="680"/>
      <c r="F214" s="680"/>
      <c r="G214" s="680"/>
      <c r="H214" s="680"/>
      <c r="I214" s="666"/>
      <c r="J214" s="680"/>
      <c r="K214" s="680"/>
      <c r="L214" s="680"/>
      <c r="M214" s="680"/>
      <c r="N214" s="680"/>
      <c r="O214" s="680"/>
      <c r="P214" s="680"/>
      <c r="Q214" s="226">
        <f t="shared" si="24"/>
        <v>0</v>
      </c>
      <c r="R214" s="226">
        <f t="shared" si="25"/>
        <v>0</v>
      </c>
    </row>
    <row r="215" spans="1:41" s="103" customFormat="1" ht="10.5" customHeight="1">
      <c r="A215" s="78"/>
      <c r="B215" s="111"/>
      <c r="C215" s="111"/>
      <c r="D215" s="111"/>
      <c r="E215" s="111"/>
      <c r="F215" s="111"/>
      <c r="G215" s="112"/>
      <c r="H215" s="112"/>
      <c r="I215" s="78"/>
      <c r="J215" s="111"/>
      <c r="K215" s="111"/>
      <c r="L215" s="111"/>
      <c r="M215" s="111"/>
      <c r="N215" s="111"/>
      <c r="O215" s="111"/>
      <c r="P215" s="112"/>
      <c r="Q215" s="226">
        <f t="shared" si="24"/>
        <v>0</v>
      </c>
      <c r="R215" s="226">
        <f t="shared" si="25"/>
        <v>0</v>
      </c>
    </row>
    <row r="216" spans="1:41" s="103" customFormat="1">
      <c r="A216" s="25"/>
      <c r="B216" s="25"/>
      <c r="C216" s="25"/>
      <c r="D216" s="25"/>
      <c r="E216" s="25"/>
      <c r="F216" s="25"/>
      <c r="G216" s="25"/>
      <c r="H216" s="27" t="s">
        <v>899</v>
      </c>
      <c r="I216" s="25"/>
      <c r="J216" s="25"/>
      <c r="K216" s="25"/>
      <c r="L216" s="25"/>
      <c r="M216" s="25"/>
      <c r="N216" s="25"/>
      <c r="O216" s="25"/>
      <c r="P216" s="27" t="s">
        <v>899</v>
      </c>
      <c r="Q216" s="226">
        <f t="shared" si="24"/>
        <v>0</v>
      </c>
      <c r="R216" s="226">
        <f t="shared" si="25"/>
        <v>0</v>
      </c>
    </row>
    <row r="217" spans="1:41" ht="18">
      <c r="A217" s="16" t="s">
        <v>207</v>
      </c>
      <c r="B217" s="34"/>
      <c r="C217" s="34"/>
      <c r="D217" s="34"/>
      <c r="E217" s="34"/>
      <c r="F217" s="34"/>
      <c r="G217" s="34"/>
      <c r="H217" s="35"/>
      <c r="I217" s="65"/>
      <c r="J217" s="65"/>
      <c r="K217" s="65"/>
      <c r="L217" s="65"/>
      <c r="M217" s="65"/>
      <c r="N217" s="65"/>
      <c r="O217" s="65"/>
      <c r="P217" s="65"/>
      <c r="Q217" s="226">
        <f>SUM(B217,C217,D217,H217)</f>
        <v>0</v>
      </c>
    </row>
    <row r="218" spans="1:41">
      <c r="A218" s="18"/>
      <c r="B218" s="19"/>
      <c r="C218" s="19"/>
      <c r="D218" s="19"/>
      <c r="E218" s="19"/>
      <c r="F218" s="19"/>
      <c r="G218" s="19"/>
      <c r="H218" s="36"/>
      <c r="I218" s="65"/>
      <c r="J218" s="65"/>
      <c r="K218" s="65"/>
      <c r="L218" s="65"/>
      <c r="M218" s="65"/>
      <c r="N218" s="65"/>
      <c r="O218" s="65"/>
      <c r="P218" s="65"/>
      <c r="Q218" s="226">
        <f t="shared" ref="Q218:Q281" si="34">SUM(B218,C218,D218,H218)</f>
        <v>0</v>
      </c>
    </row>
    <row r="219" spans="1:41" ht="15.75">
      <c r="A219" s="37" t="s">
        <v>162</v>
      </c>
      <c r="B219" s="19"/>
      <c r="C219" s="19"/>
      <c r="D219" s="19"/>
      <c r="E219" s="19"/>
      <c r="F219" s="19"/>
      <c r="G219" s="19"/>
      <c r="H219" s="36"/>
      <c r="I219" s="80"/>
      <c r="J219" s="65"/>
      <c r="K219" s="65"/>
      <c r="L219" s="36"/>
      <c r="M219" s="65"/>
      <c r="N219" s="65"/>
      <c r="O219" s="65"/>
      <c r="P219" s="65"/>
      <c r="Q219" s="226">
        <f t="shared" si="34"/>
        <v>0</v>
      </c>
    </row>
    <row r="220" spans="1:41" ht="15.75">
      <c r="A220" s="37" t="s">
        <v>907</v>
      </c>
      <c r="B220" s="19"/>
      <c r="C220" s="19"/>
      <c r="D220" s="19"/>
      <c r="E220" s="19"/>
      <c r="F220" s="19"/>
      <c r="G220" s="19"/>
      <c r="H220" s="36"/>
      <c r="I220" s="80"/>
      <c r="J220" s="65"/>
      <c r="K220" s="65"/>
      <c r="L220" s="65"/>
      <c r="M220" s="65"/>
      <c r="N220" s="65"/>
      <c r="O220" s="65"/>
      <c r="P220" s="65"/>
      <c r="Q220" s="226">
        <f t="shared" si="34"/>
        <v>0</v>
      </c>
    </row>
    <row r="221" spans="1:41">
      <c r="A221" s="39"/>
      <c r="B221" s="40"/>
      <c r="C221" s="40"/>
      <c r="D221" s="40"/>
      <c r="E221" s="40"/>
      <c r="F221" s="40"/>
      <c r="G221" s="40"/>
      <c r="H221" s="40"/>
      <c r="I221" s="80"/>
      <c r="J221" s="65"/>
      <c r="K221" s="65"/>
      <c r="L221" s="65"/>
      <c r="M221" s="65"/>
      <c r="N221" s="65"/>
      <c r="O221" s="65"/>
      <c r="P221" s="65"/>
      <c r="Q221" s="226">
        <f t="shared" si="34"/>
        <v>0</v>
      </c>
    </row>
    <row r="222" spans="1:41">
      <c r="A222" s="43"/>
      <c r="B222" s="44" t="s">
        <v>164</v>
      </c>
      <c r="C222" s="44"/>
      <c r="D222" s="44"/>
      <c r="E222" s="44"/>
      <c r="F222" s="44"/>
      <c r="G222" s="44"/>
      <c r="H222" s="45"/>
      <c r="I222" s="80"/>
      <c r="J222" s="65"/>
      <c r="K222" s="65"/>
      <c r="L222" s="65"/>
      <c r="M222" s="65"/>
      <c r="N222" s="65"/>
      <c r="O222" s="65"/>
      <c r="P222" s="65"/>
      <c r="Q222" s="226">
        <f t="shared" si="34"/>
        <v>0</v>
      </c>
    </row>
    <row r="223" spans="1:41">
      <c r="A223" s="43"/>
      <c r="B223" s="44" t="s">
        <v>165</v>
      </c>
      <c r="C223" s="44"/>
      <c r="D223" s="670" t="s">
        <v>166</v>
      </c>
      <c r="E223" s="668"/>
      <c r="F223" s="668"/>
      <c r="G223" s="668"/>
      <c r="H223" s="49" t="s">
        <v>39</v>
      </c>
      <c r="I223" s="80"/>
      <c r="J223" s="65"/>
      <c r="K223" s="65"/>
      <c r="L223" s="65"/>
      <c r="M223" s="65"/>
      <c r="N223" s="65"/>
      <c r="O223" s="65"/>
      <c r="P223" s="65"/>
      <c r="Q223" s="226">
        <f t="shared" si="34"/>
        <v>0</v>
      </c>
    </row>
    <row r="224" spans="1:41" ht="36">
      <c r="A224" s="43"/>
      <c r="B224" s="50" t="s">
        <v>167</v>
      </c>
      <c r="C224" s="51" t="s">
        <v>168</v>
      </c>
      <c r="D224" s="52" t="s">
        <v>169</v>
      </c>
      <c r="E224" s="53" t="s">
        <v>7</v>
      </c>
      <c r="F224" s="50" t="s">
        <v>170</v>
      </c>
      <c r="G224" s="54" t="s">
        <v>171</v>
      </c>
      <c r="H224" s="55" t="s">
        <v>172</v>
      </c>
      <c r="I224" s="73"/>
      <c r="J224" s="48"/>
      <c r="K224" s="48"/>
      <c r="L224" s="48"/>
      <c r="M224" s="48"/>
      <c r="N224" s="48"/>
      <c r="O224" s="48"/>
      <c r="P224" s="65"/>
      <c r="Q224" s="226">
        <f t="shared" si="34"/>
        <v>0</v>
      </c>
    </row>
    <row r="225" spans="1:41" ht="15.75" customHeight="1">
      <c r="A225" s="62" t="s">
        <v>141</v>
      </c>
      <c r="B225" s="82">
        <f>('Pivot Table for Data Exchange'!$O$7)*100</f>
        <v>67.428353278534729</v>
      </c>
      <c r="C225" s="221">
        <f>('Pivot Table for Data Exchange'!$O$10)*100</f>
        <v>12.381165587078906</v>
      </c>
      <c r="D225" s="227">
        <f>SUM(E225:G225)</f>
        <v>20.190481134386374</v>
      </c>
      <c r="E225" s="221">
        <f>('Pivot Table for Data Exchange'!$O$13)*100</f>
        <v>19.725985323230145</v>
      </c>
      <c r="F225" s="221">
        <f>('Pivot Table for Data Exchange'!$O$16)*100</f>
        <v>0.34666852681287197</v>
      </c>
      <c r="G225" s="60">
        <f>('Pivot Table for Data Exchange'!$O$19)*100</f>
        <v>0.11782728434335486</v>
      </c>
      <c r="H225" s="221">
        <f>('Pivot Table for Data Exchange'!$O$22)*100</f>
        <v>0</v>
      </c>
      <c r="I225" s="64"/>
      <c r="J225" s="64"/>
      <c r="K225" s="64"/>
      <c r="L225" s="64"/>
      <c r="M225" s="64"/>
      <c r="N225" s="64"/>
      <c r="O225" s="64"/>
      <c r="P225" s="81"/>
      <c r="Q225" s="226">
        <f t="shared" si="34"/>
        <v>100.00000000000001</v>
      </c>
      <c r="R225" s="97"/>
      <c r="Z225" s="98"/>
      <c r="AA225" s="98"/>
      <c r="AB225" s="98"/>
      <c r="AC225" s="98"/>
      <c r="AD225" s="98"/>
      <c r="AE225" s="98"/>
      <c r="AF225" s="98"/>
      <c r="AG225" s="98"/>
      <c r="AH225" s="98"/>
      <c r="AI225" s="98"/>
      <c r="AJ225" s="98"/>
      <c r="AK225" s="98"/>
      <c r="AL225" s="98"/>
      <c r="AM225" s="98"/>
      <c r="AN225" s="98"/>
      <c r="AO225" s="98"/>
    </row>
    <row r="226" spans="1:41" ht="15.75" customHeight="1">
      <c r="A226" s="65" t="s">
        <v>142</v>
      </c>
      <c r="B226" s="221">
        <f>('Pivot Table for Data Exchange'!$O$43)*100</f>
        <v>66.336891850180407</v>
      </c>
      <c r="C226" s="221">
        <f>('Pivot Table for Data Exchange'!$O$46)*100</f>
        <v>8.7393874242085587</v>
      </c>
      <c r="D226" s="227">
        <f t="shared" ref="D226:D228" si="35">SUM(E226:G226)</f>
        <v>24.921592001674597</v>
      </c>
      <c r="E226" s="221">
        <f>('Pivot Table for Data Exchange'!$O$49)*100</f>
        <v>23.97537421192866</v>
      </c>
      <c r="F226" s="221">
        <f>('Pivot Table for Data Exchange'!$O$52)*100</f>
        <v>0.94249252285717333</v>
      </c>
      <c r="G226" s="232">
        <f>('Pivot Table for Data Exchange'!$O$55)*100</f>
        <v>3.7252668887635303E-3</v>
      </c>
      <c r="H226" s="61">
        <f>('Pivot Table for Data Exchange'!$O$58)*100</f>
        <v>2.128723936436303E-3</v>
      </c>
      <c r="I226" s="64"/>
      <c r="J226" s="64"/>
      <c r="K226" s="64"/>
      <c r="L226" s="64"/>
      <c r="M226" s="64"/>
      <c r="N226" s="64"/>
      <c r="O226" s="64"/>
      <c r="P226" s="81"/>
      <c r="Q226" s="226">
        <f t="shared" si="34"/>
        <v>100</v>
      </c>
      <c r="R226" s="97"/>
      <c r="Z226" s="98"/>
      <c r="AA226" s="98"/>
      <c r="AB226" s="98"/>
      <c r="AC226" s="98"/>
      <c r="AD226" s="98"/>
      <c r="AE226" s="98"/>
      <c r="AF226" s="98"/>
      <c r="AG226" s="98"/>
      <c r="AH226" s="98"/>
      <c r="AI226" s="98"/>
      <c r="AJ226" s="98"/>
      <c r="AK226" s="98"/>
      <c r="AL226" s="98"/>
      <c r="AM226" s="98"/>
      <c r="AN226" s="98"/>
      <c r="AO226" s="98"/>
    </row>
    <row r="227" spans="1:41" ht="15.75" customHeight="1">
      <c r="A227" s="65" t="s">
        <v>143</v>
      </c>
      <c r="B227" s="221">
        <f>('Pivot Table for Data Exchange'!$O$79)*100</f>
        <v>89.394331673430685</v>
      </c>
      <c r="C227" s="221">
        <f>('Pivot Table for Data Exchange'!$O$82)*100</f>
        <v>0</v>
      </c>
      <c r="D227" s="227">
        <f t="shared" si="35"/>
        <v>10.605668326569315</v>
      </c>
      <c r="E227" s="221">
        <f>('Pivot Table for Data Exchange'!$O$85)*100</f>
        <v>10.223700181905604</v>
      </c>
      <c r="F227" s="221">
        <f>('Pivot Table for Data Exchange'!$O$88)*100</f>
        <v>0.31942758576630675</v>
      </c>
      <c r="G227" s="223">
        <f>('Pivot Table for Data Exchange'!$O$91)*100</f>
        <v>6.2540558897403217E-2</v>
      </c>
      <c r="H227" s="221">
        <f>('Pivot Table for Data Exchange'!$O$94)*100</f>
        <v>0</v>
      </c>
      <c r="I227" s="64"/>
      <c r="J227" s="64"/>
      <c r="K227" s="64"/>
      <c r="L227" s="64"/>
      <c r="M227" s="64"/>
      <c r="N227" s="64"/>
      <c r="O227" s="64"/>
      <c r="P227" s="81"/>
      <c r="Q227" s="226">
        <f t="shared" si="34"/>
        <v>100</v>
      </c>
      <c r="R227" s="97"/>
      <c r="Z227" s="98"/>
      <c r="AA227" s="98"/>
      <c r="AB227" s="98"/>
      <c r="AC227" s="98"/>
      <c r="AD227" s="98"/>
      <c r="AE227" s="98"/>
      <c r="AF227" s="98"/>
      <c r="AG227" s="98"/>
      <c r="AH227" s="98"/>
      <c r="AI227" s="98"/>
      <c r="AJ227" s="98"/>
      <c r="AK227" s="98"/>
      <c r="AL227" s="98"/>
      <c r="AM227" s="98"/>
      <c r="AN227" s="98"/>
      <c r="AO227" s="98"/>
    </row>
    <row r="228" spans="1:41" ht="15.75" customHeight="1">
      <c r="A228" s="65" t="s">
        <v>174</v>
      </c>
      <c r="B228" s="221">
        <f>('Pivot Table for Data Exchange'!$O$115)*100</f>
        <v>75.394498119004709</v>
      </c>
      <c r="C228" s="221">
        <f>('Pivot Table for Data Exchange'!$O$118)*100</f>
        <v>3.1740238371883391</v>
      </c>
      <c r="D228" s="227">
        <f t="shared" si="35"/>
        <v>21.426957810348451</v>
      </c>
      <c r="E228" s="221">
        <f>('Pivot Table for Data Exchange'!$O$121)*100</f>
        <v>21.066505984631416</v>
      </c>
      <c r="F228" s="221">
        <f>('Pivot Table for Data Exchange'!$O$124)*100</f>
        <v>0.26237327183853559</v>
      </c>
      <c r="G228" s="223">
        <f>('Pivot Table for Data Exchange'!$O$127)*100</f>
        <v>9.8078553878502228E-2</v>
      </c>
      <c r="H228" s="61">
        <f>('Pivot Table for Data Exchange'!$O$130)*100</f>
        <v>4.5202334584947433E-3</v>
      </c>
      <c r="I228" s="64"/>
      <c r="J228" s="64"/>
      <c r="K228" s="64"/>
      <c r="L228" s="64"/>
      <c r="M228" s="64"/>
      <c r="N228" s="64"/>
      <c r="O228" s="64"/>
      <c r="P228" s="81"/>
      <c r="Q228" s="226">
        <f t="shared" si="34"/>
        <v>100</v>
      </c>
      <c r="R228" s="97"/>
      <c r="Z228" s="98"/>
      <c r="AA228" s="98"/>
      <c r="AB228" s="98"/>
      <c r="AC228" s="98"/>
      <c r="AD228" s="98"/>
      <c r="AE228" s="98"/>
      <c r="AF228" s="98"/>
      <c r="AG228" s="98"/>
      <c r="AH228" s="98"/>
      <c r="AI228" s="98"/>
      <c r="AJ228" s="98"/>
      <c r="AK228" s="98"/>
      <c r="AL228" s="98"/>
      <c r="AM228" s="98"/>
      <c r="AN228" s="98"/>
      <c r="AO228" s="98"/>
    </row>
    <row r="229" spans="1:41" ht="15.75" customHeight="1">
      <c r="A229" s="65"/>
      <c r="B229" s="221"/>
      <c r="C229" s="221"/>
      <c r="D229" s="227"/>
      <c r="E229" s="221"/>
      <c r="F229" s="221"/>
      <c r="G229" s="223"/>
      <c r="H229" s="221"/>
      <c r="I229" s="64"/>
      <c r="J229" s="64"/>
      <c r="K229" s="64"/>
      <c r="L229" s="64"/>
      <c r="M229" s="64"/>
      <c r="N229" s="64"/>
      <c r="O229" s="64"/>
      <c r="P229" s="81"/>
      <c r="Q229" s="226">
        <f t="shared" si="34"/>
        <v>0</v>
      </c>
      <c r="R229" s="97"/>
      <c r="Z229" s="98"/>
      <c r="AA229" s="98"/>
      <c r="AB229" s="98"/>
      <c r="AC229" s="98"/>
      <c r="AD229" s="98"/>
      <c r="AE229" s="98"/>
      <c r="AF229" s="98"/>
      <c r="AG229" s="98"/>
      <c r="AH229" s="98"/>
      <c r="AI229" s="98"/>
      <c r="AJ229" s="98"/>
      <c r="AK229" s="98"/>
      <c r="AL229" s="98"/>
      <c r="AM229" s="98"/>
      <c r="AN229" s="98"/>
      <c r="AO229" s="98"/>
    </row>
    <row r="230" spans="1:41" ht="15.75" customHeight="1">
      <c r="A230" s="65" t="s">
        <v>145</v>
      </c>
      <c r="B230" s="221">
        <f>('Pivot Table for Data Exchange'!$O$151)*100</f>
        <v>73.350043372420842</v>
      </c>
      <c r="C230" s="221">
        <f>('Pivot Table for Data Exchange'!$O$154)*100</f>
        <v>6.9258843426580299</v>
      </c>
      <c r="D230" s="227">
        <f t="shared" ref="D230:D231" si="36">SUM(E230:G230)</f>
        <v>19.680026949220213</v>
      </c>
      <c r="E230" s="221">
        <f>('Pivot Table for Data Exchange'!$O$157)*100</f>
        <v>18.323185913322856</v>
      </c>
      <c r="F230" s="67">
        <f>('Pivot Table for Data Exchange'!$O$160)*100</f>
        <v>4.3066550463108158E-2</v>
      </c>
      <c r="G230" s="223">
        <f>('Pivot Table for Data Exchange'!$O$163)*100</f>
        <v>1.3137744854342481</v>
      </c>
      <c r="H230" s="67">
        <f>('Pivot Table for Data Exchange'!$O$166)*100</f>
        <v>4.4045335700906074E-2</v>
      </c>
      <c r="I230" s="64"/>
      <c r="J230" s="64"/>
      <c r="K230" s="64"/>
      <c r="L230" s="64"/>
      <c r="M230" s="64"/>
      <c r="N230" s="64"/>
      <c r="O230" s="64"/>
      <c r="P230" s="81"/>
      <c r="Q230" s="226">
        <f t="shared" si="34"/>
        <v>99.999999999999972</v>
      </c>
      <c r="R230" s="97"/>
      <c r="Z230" s="98"/>
      <c r="AA230" s="98"/>
      <c r="AB230" s="98"/>
      <c r="AC230" s="98"/>
      <c r="AD230" s="98"/>
      <c r="AE230" s="98"/>
      <c r="AF230" s="98"/>
      <c r="AG230" s="98"/>
      <c r="AH230" s="98"/>
      <c r="AI230" s="98"/>
      <c r="AJ230" s="98"/>
      <c r="AK230" s="98"/>
      <c r="AL230" s="98"/>
      <c r="AM230" s="98"/>
      <c r="AN230" s="98"/>
      <c r="AO230" s="98"/>
    </row>
    <row r="231" spans="1:41" ht="15.75" customHeight="1">
      <c r="A231" s="65" t="s">
        <v>146</v>
      </c>
      <c r="B231" s="221">
        <f>('Pivot Table for Data Exchange'!$O$187)*100</f>
        <v>58.165748825100536</v>
      </c>
      <c r="C231" s="221">
        <f>('Pivot Table for Data Exchange'!$O$190)*100</f>
        <v>6.4360496941885046</v>
      </c>
      <c r="D231" s="227">
        <f t="shared" si="36"/>
        <v>35.398201480710959</v>
      </c>
      <c r="E231" s="221">
        <f>('Pivot Table for Data Exchange'!$O$193)*100</f>
        <v>35.398201480710959</v>
      </c>
      <c r="F231" s="221">
        <f>('Pivot Table for Data Exchange'!$O$196)*100</f>
        <v>0</v>
      </c>
      <c r="G231" s="223">
        <f>('Pivot Table for Data Exchange'!$O$199)*100</f>
        <v>0</v>
      </c>
      <c r="H231" s="221">
        <f>('Pivot Table for Data Exchange'!$O$202)*100</f>
        <v>0</v>
      </c>
      <c r="I231" s="64"/>
      <c r="J231" s="64"/>
      <c r="K231" s="64"/>
      <c r="L231" s="64"/>
      <c r="M231" s="64"/>
      <c r="N231" s="64"/>
      <c r="O231" s="64"/>
      <c r="P231" s="81"/>
      <c r="Q231" s="226">
        <f t="shared" si="34"/>
        <v>100</v>
      </c>
      <c r="R231" s="97"/>
      <c r="Z231" s="98"/>
      <c r="AA231" s="98"/>
      <c r="AB231" s="98"/>
      <c r="AC231" s="98"/>
      <c r="AD231" s="98"/>
      <c r="AE231" s="98"/>
      <c r="AF231" s="98"/>
      <c r="AG231" s="98"/>
      <c r="AH231" s="98"/>
      <c r="AI231" s="98"/>
      <c r="AJ231" s="98"/>
      <c r="AK231" s="98"/>
      <c r="AL231" s="98"/>
      <c r="AM231" s="98"/>
      <c r="AN231" s="98"/>
      <c r="AO231" s="98"/>
    </row>
    <row r="232" spans="1:41" ht="15.75" customHeight="1">
      <c r="A232" s="222" t="s">
        <v>147</v>
      </c>
      <c r="B232" s="221">
        <f>('Pivot Table for Data Exchange'!$O$223)*100</f>
        <v>0</v>
      </c>
      <c r="C232" s="221">
        <f>('Pivot Table for Data Exchange'!$O$226)*100</f>
        <v>0</v>
      </c>
      <c r="D232" s="227">
        <f>SUM(E232:G232)</f>
        <v>0</v>
      </c>
      <c r="E232" s="221">
        <f>('Pivot Table for Data Exchange'!$O$229)*100</f>
        <v>0</v>
      </c>
      <c r="F232" s="221">
        <f>('Pivot Table for Data Exchange'!$O$232)*100</f>
        <v>0</v>
      </c>
      <c r="G232" s="223">
        <f>('Pivot Table for Data Exchange'!$O$235)*100</f>
        <v>0</v>
      </c>
      <c r="H232" s="221">
        <f>('Pivot Table for Data Exchange'!$O$238)*100</f>
        <v>0</v>
      </c>
      <c r="Q232" s="226">
        <f t="shared" si="34"/>
        <v>0</v>
      </c>
      <c r="R232" s="97"/>
      <c r="Z232" s="98"/>
      <c r="AA232" s="98"/>
      <c r="AB232" s="98"/>
      <c r="AC232" s="98"/>
      <c r="AD232" s="98"/>
      <c r="AE232" s="98"/>
      <c r="AF232" s="98"/>
      <c r="AG232" s="98"/>
      <c r="AH232" s="98"/>
      <c r="AI232" s="98"/>
      <c r="AJ232" s="98"/>
      <c r="AK232" s="98"/>
      <c r="AL232" s="98"/>
      <c r="AM232" s="98"/>
      <c r="AN232" s="98"/>
      <c r="AO232" s="98"/>
    </row>
    <row r="233" spans="1:41" ht="15.75" customHeight="1">
      <c r="A233" s="65" t="s">
        <v>177</v>
      </c>
      <c r="B233" s="221">
        <f>('Pivot Table for Data Exchange'!$O$259)*100</f>
        <v>72.887724864035704</v>
      </c>
      <c r="C233" s="221">
        <f>('Pivot Table for Data Exchange'!$O$262)*100</f>
        <v>10.822793194812439</v>
      </c>
      <c r="D233" s="227">
        <f>SUM(E233:G233)</f>
        <v>16.286658067215171</v>
      </c>
      <c r="E233" s="221">
        <f>('Pivot Table for Data Exchange'!$O$265)*100</f>
        <v>16.104535629619299</v>
      </c>
      <c r="F233" s="221">
        <f>('Pivot Table for Data Exchange'!$O$268)*100</f>
        <v>0.18212243759587227</v>
      </c>
      <c r="G233" s="68">
        <f>('Pivot Table for Data Exchange'!$O$271)*100</f>
        <v>0</v>
      </c>
      <c r="H233" s="61">
        <f>('Pivot Table for Data Exchange'!$O$274)*100</f>
        <v>2.8238739366894436E-3</v>
      </c>
      <c r="I233" s="64"/>
      <c r="J233" s="64"/>
      <c r="K233" s="64"/>
      <c r="L233" s="64"/>
      <c r="M233" s="64"/>
      <c r="N233" s="64"/>
      <c r="O233" s="64"/>
      <c r="P233" s="81"/>
      <c r="Q233" s="226">
        <f t="shared" si="34"/>
        <v>100</v>
      </c>
      <c r="R233" s="97"/>
      <c r="Z233" s="98"/>
      <c r="AA233" s="98"/>
      <c r="AB233" s="98"/>
      <c r="AC233" s="98"/>
      <c r="AD233" s="98"/>
      <c r="AE233" s="98"/>
      <c r="AF233" s="98"/>
      <c r="AG233" s="98"/>
      <c r="AH233" s="98"/>
      <c r="AI233" s="98"/>
      <c r="AJ233" s="98"/>
      <c r="AK233" s="98"/>
      <c r="AL233" s="98"/>
      <c r="AM233" s="98"/>
      <c r="AN233" s="98"/>
      <c r="AO233" s="98"/>
    </row>
    <row r="234" spans="1:41" ht="15.75" customHeight="1">
      <c r="A234" s="65"/>
      <c r="B234" s="221"/>
      <c r="C234" s="221"/>
      <c r="D234" s="227"/>
      <c r="E234" s="221"/>
      <c r="F234" s="221"/>
      <c r="G234" s="223"/>
      <c r="H234" s="221"/>
      <c r="I234" s="64"/>
      <c r="J234" s="64"/>
      <c r="K234" s="64"/>
      <c r="L234" s="64"/>
      <c r="M234" s="64"/>
      <c r="N234" s="64"/>
      <c r="O234" s="64"/>
      <c r="P234" s="81"/>
      <c r="Q234" s="226">
        <f t="shared" si="34"/>
        <v>0</v>
      </c>
      <c r="R234" s="97"/>
      <c r="Z234" s="98"/>
      <c r="AA234" s="98"/>
      <c r="AB234" s="98"/>
      <c r="AC234" s="98"/>
      <c r="AD234" s="98"/>
      <c r="AE234" s="98"/>
      <c r="AF234" s="98"/>
      <c r="AG234" s="98"/>
      <c r="AH234" s="98"/>
      <c r="AI234" s="98"/>
      <c r="AJ234" s="98"/>
      <c r="AK234" s="98"/>
      <c r="AL234" s="98"/>
      <c r="AM234" s="98"/>
      <c r="AN234" s="98"/>
      <c r="AO234" s="98"/>
    </row>
    <row r="235" spans="1:41" ht="15.75" customHeight="1">
      <c r="A235" s="65" t="s">
        <v>179</v>
      </c>
      <c r="B235" s="221">
        <f>('Pivot Table for Data Exchange'!$O$295)*100</f>
        <v>78.117702824203533</v>
      </c>
      <c r="C235" s="221">
        <f>('Pivot Table for Data Exchange'!$O$298)*100</f>
        <v>0</v>
      </c>
      <c r="D235" s="227">
        <f>SUM(E235:G235)</f>
        <v>21.882297175796474</v>
      </c>
      <c r="E235" s="221">
        <f>('Pivot Table for Data Exchange'!$O$301)*100</f>
        <v>21.882297175796474</v>
      </c>
      <c r="F235" s="221">
        <f>('Pivot Table for Data Exchange'!$O$304)*100</f>
        <v>0</v>
      </c>
      <c r="G235" s="223">
        <f>('Pivot Table for Data Exchange'!$O$307)*100</f>
        <v>0</v>
      </c>
      <c r="H235" s="221">
        <f>('Pivot Table for Data Exchange'!$O$310)*100</f>
        <v>0</v>
      </c>
      <c r="I235" s="64"/>
      <c r="J235" s="64"/>
      <c r="K235" s="64"/>
      <c r="L235" s="64"/>
      <c r="M235" s="64"/>
      <c r="N235" s="64"/>
      <c r="O235" s="64"/>
      <c r="P235" s="81"/>
      <c r="Q235" s="226">
        <f t="shared" si="34"/>
        <v>100</v>
      </c>
      <c r="R235" s="97"/>
      <c r="Z235" s="98"/>
      <c r="AA235" s="98"/>
      <c r="AB235" s="98"/>
      <c r="AC235" s="98"/>
      <c r="AD235" s="98"/>
      <c r="AE235" s="98"/>
      <c r="AF235" s="98"/>
      <c r="AG235" s="98"/>
      <c r="AH235" s="98"/>
      <c r="AI235" s="98"/>
      <c r="AJ235" s="98"/>
      <c r="AK235" s="98"/>
      <c r="AL235" s="98"/>
      <c r="AM235" s="98"/>
      <c r="AN235" s="98"/>
      <c r="AO235" s="98"/>
    </row>
    <row r="236" spans="1:41" ht="15.75" customHeight="1">
      <c r="A236" s="65" t="s">
        <v>149</v>
      </c>
      <c r="B236" s="221">
        <f>('Pivot Table for Data Exchange'!$O$331)*100</f>
        <v>59.214994932386489</v>
      </c>
      <c r="C236" s="221">
        <f>('Pivot Table for Data Exchange'!$O$334)*100</f>
        <v>1.7650314562598528</v>
      </c>
      <c r="D236" s="227">
        <f>SUM(E236:G236)</f>
        <v>39.019973611353663</v>
      </c>
      <c r="E236" s="221">
        <f>('Pivot Table for Data Exchange'!$O$337)*100</f>
        <v>38.507358190591937</v>
      </c>
      <c r="F236" s="221">
        <f>('Pivot Table for Data Exchange'!$O$340)*100</f>
        <v>0.44745194242749525</v>
      </c>
      <c r="G236" s="223">
        <f>('Pivot Table for Data Exchange'!$O$343)*100</f>
        <v>6.5163478334227531E-2</v>
      </c>
      <c r="H236" s="221">
        <f>('Pivot Table for Data Exchange'!$O$346)*100</f>
        <v>0</v>
      </c>
      <c r="I236" s="64"/>
      <c r="J236" s="64"/>
      <c r="K236" s="64"/>
      <c r="L236" s="64"/>
      <c r="M236" s="64"/>
      <c r="N236" s="64"/>
      <c r="O236" s="64"/>
      <c r="P236" s="81"/>
      <c r="Q236" s="226">
        <f t="shared" si="34"/>
        <v>100</v>
      </c>
      <c r="R236" s="97"/>
      <c r="Z236" s="98"/>
      <c r="AA236" s="98"/>
      <c r="AB236" s="98"/>
      <c r="AC236" s="98"/>
      <c r="AD236" s="98"/>
      <c r="AE236" s="98"/>
      <c r="AF236" s="98"/>
      <c r="AG236" s="98"/>
      <c r="AH236" s="98"/>
      <c r="AI236" s="98"/>
      <c r="AJ236" s="98"/>
      <c r="AK236" s="98"/>
      <c r="AL236" s="98"/>
      <c r="AM236" s="98"/>
      <c r="AN236" s="98"/>
      <c r="AO236" s="98"/>
    </row>
    <row r="237" spans="1:41" ht="15.75" customHeight="1">
      <c r="A237" s="65" t="s">
        <v>150</v>
      </c>
      <c r="B237" s="221">
        <f>('Pivot Table for Data Exchange'!$O$367)*100</f>
        <v>67.657572745287894</v>
      </c>
      <c r="C237" s="221">
        <f>('Pivot Table for Data Exchange'!$O$370)*100</f>
        <v>6.6958084372296138</v>
      </c>
      <c r="D237" s="227">
        <f>SUM(E237:G237)</f>
        <v>25.646618817482487</v>
      </c>
      <c r="E237" s="221">
        <f>('Pivot Table for Data Exchange'!$O$373)*100</f>
        <v>23.449320729088168</v>
      </c>
      <c r="F237" s="221">
        <f>('Pivot Table for Data Exchange'!$O$376)*100</f>
        <v>2.0530921264976127</v>
      </c>
      <c r="G237" s="223">
        <f>('Pivot Table for Data Exchange'!$O$379)*100</f>
        <v>0.14420596189670559</v>
      </c>
      <c r="H237" s="67">
        <f>('Pivot Table for Data Exchange'!$O$382)*100</f>
        <v>0</v>
      </c>
      <c r="I237" s="64"/>
      <c r="J237" s="64"/>
      <c r="K237" s="64"/>
      <c r="L237" s="64"/>
      <c r="M237" s="64"/>
      <c r="N237" s="64"/>
      <c r="O237" s="64"/>
      <c r="P237" s="81"/>
      <c r="Q237" s="226">
        <f t="shared" si="34"/>
        <v>100</v>
      </c>
      <c r="R237" s="97"/>
      <c r="Z237" s="98"/>
      <c r="AA237" s="98"/>
      <c r="AB237" s="98"/>
      <c r="AC237" s="98"/>
      <c r="AD237" s="98"/>
      <c r="AE237" s="98"/>
      <c r="AF237" s="98"/>
      <c r="AG237" s="98"/>
      <c r="AH237" s="98"/>
      <c r="AI237" s="98"/>
      <c r="AJ237" s="98"/>
      <c r="AK237" s="98"/>
      <c r="AL237" s="98"/>
      <c r="AM237" s="98"/>
      <c r="AN237" s="98"/>
      <c r="AO237" s="98"/>
    </row>
    <row r="238" spans="1:41" ht="15.75" customHeight="1">
      <c r="A238" s="65" t="s">
        <v>151</v>
      </c>
      <c r="B238" s="221">
        <f>('Pivot Table for Data Exchange'!$O$403)*100</f>
        <v>70.135606224566288</v>
      </c>
      <c r="C238" s="221">
        <f>('Pivot Table for Data Exchange'!$O$406)*100</f>
        <v>5.9973638573510577</v>
      </c>
      <c r="D238" s="227">
        <f>SUM(E238:G238)</f>
        <v>23.867029918082654</v>
      </c>
      <c r="E238" s="221">
        <f>('Pivot Table for Data Exchange'!$O$409)*100</f>
        <v>22.718477985236486</v>
      </c>
      <c r="F238" s="221">
        <f>('Pivot Table for Data Exchange'!$O$412)*100</f>
        <v>0.873512525393076</v>
      </c>
      <c r="G238" s="223">
        <f>('Pivot Table for Data Exchange'!$O$415)*100</f>
        <v>0.27503940745309424</v>
      </c>
      <c r="H238" s="221">
        <f>('Pivot Table for Data Exchange'!$O$418)*100</f>
        <v>0</v>
      </c>
      <c r="I238" s="64"/>
      <c r="J238" s="64"/>
      <c r="K238" s="64"/>
      <c r="L238" s="64"/>
      <c r="M238" s="64"/>
      <c r="N238" s="64"/>
      <c r="O238" s="64"/>
      <c r="P238" s="81"/>
      <c r="Q238" s="226">
        <f t="shared" si="34"/>
        <v>100</v>
      </c>
      <c r="R238" s="97"/>
      <c r="Z238" s="98"/>
      <c r="AA238" s="98"/>
      <c r="AB238" s="98"/>
      <c r="AC238" s="98"/>
      <c r="AD238" s="98"/>
      <c r="AE238" s="98"/>
      <c r="AF238" s="98"/>
      <c r="AG238" s="98"/>
      <c r="AH238" s="98"/>
      <c r="AI238" s="98"/>
      <c r="AJ238" s="98"/>
      <c r="AK238" s="98"/>
      <c r="AL238" s="98"/>
      <c r="AM238" s="98"/>
      <c r="AN238" s="98"/>
      <c r="AO238" s="98"/>
    </row>
    <row r="239" spans="1:41" ht="10.5" customHeight="1">
      <c r="A239" s="65"/>
      <c r="B239" s="221"/>
      <c r="C239" s="221"/>
      <c r="D239" s="227"/>
      <c r="E239" s="221"/>
      <c r="F239" s="221"/>
      <c r="G239" s="223"/>
      <c r="H239" s="221"/>
      <c r="I239" s="64"/>
      <c r="J239" s="64"/>
      <c r="K239" s="64"/>
      <c r="L239" s="64"/>
      <c r="M239" s="64"/>
      <c r="N239" s="64"/>
      <c r="O239" s="64"/>
      <c r="P239" s="81"/>
      <c r="Q239" s="226">
        <f t="shared" si="34"/>
        <v>0</v>
      </c>
      <c r="R239" s="97"/>
      <c r="Z239" s="98"/>
      <c r="AA239" s="98"/>
      <c r="AB239" s="98"/>
      <c r="AC239" s="98"/>
      <c r="AD239" s="98"/>
      <c r="AE239" s="98"/>
      <c r="AF239" s="98"/>
      <c r="AG239" s="98"/>
      <c r="AH239" s="98"/>
      <c r="AI239" s="98"/>
      <c r="AJ239" s="98"/>
      <c r="AK239" s="98"/>
      <c r="AL239" s="98"/>
      <c r="AM239" s="98"/>
      <c r="AN239" s="98"/>
      <c r="AO239" s="98"/>
    </row>
    <row r="240" spans="1:41" ht="15.75" customHeight="1">
      <c r="A240" s="65" t="s">
        <v>152</v>
      </c>
      <c r="B240" s="221">
        <f>('Pivot Table for Data Exchange'!$O$439)*100</f>
        <v>45.005943587411437</v>
      </c>
      <c r="C240" s="221">
        <f>('Pivot Table for Data Exchange'!$O$442)*100</f>
        <v>28.887779054694672</v>
      </c>
      <c r="D240" s="227">
        <f>SUM(E240:G240)</f>
        <v>25.952378999466248</v>
      </c>
      <c r="E240" s="221">
        <f>('Pivot Table for Data Exchange'!$O$445)*100</f>
        <v>19.090444297209142</v>
      </c>
      <c r="F240" s="221">
        <f>('Pivot Table for Data Exchange'!$O$448)*100</f>
        <v>2.0775367027534926</v>
      </c>
      <c r="G240" s="223">
        <f>('Pivot Table for Data Exchange'!$O$451)*100</f>
        <v>4.7843979995036126</v>
      </c>
      <c r="H240" s="221">
        <f>('Pivot Table for Data Exchange'!$O$454)*100</f>
        <v>0.15389835842763633</v>
      </c>
      <c r="I240" s="64"/>
      <c r="J240" s="64"/>
      <c r="K240" s="64"/>
      <c r="L240" s="64"/>
      <c r="M240" s="64"/>
      <c r="N240" s="64"/>
      <c r="O240" s="64"/>
      <c r="P240" s="81"/>
      <c r="Q240" s="226">
        <f t="shared" si="34"/>
        <v>100</v>
      </c>
      <c r="R240" s="97"/>
      <c r="Z240" s="98"/>
      <c r="AA240" s="98"/>
      <c r="AB240" s="98"/>
      <c r="AC240" s="98"/>
      <c r="AD240" s="98"/>
      <c r="AE240" s="98"/>
      <c r="AF240" s="98"/>
      <c r="AG240" s="98"/>
      <c r="AH240" s="98"/>
      <c r="AI240" s="98"/>
      <c r="AJ240" s="98"/>
      <c r="AK240" s="98"/>
      <c r="AL240" s="98"/>
      <c r="AM240" s="98"/>
      <c r="AN240" s="98"/>
      <c r="AO240" s="98"/>
    </row>
    <row r="241" spans="1:41" ht="15.75" customHeight="1">
      <c r="A241" s="65" t="s">
        <v>153</v>
      </c>
      <c r="B241" s="221">
        <f>('Pivot Table for Data Exchange'!$O$475)*100</f>
        <v>63.382257562891851</v>
      </c>
      <c r="C241" s="221">
        <f>('Pivot Table for Data Exchange'!$O$478)*100</f>
        <v>12.519281929271219</v>
      </c>
      <c r="D241" s="227">
        <f>SUM(E241:G241)</f>
        <v>24.098460507836926</v>
      </c>
      <c r="E241" s="221">
        <f>('Pivot Table for Data Exchange'!$O$481)*100</f>
        <v>23.427277393763806</v>
      </c>
      <c r="F241" s="221">
        <f>('Pivot Table for Data Exchange'!$O$484)*100</f>
        <v>0.46331052856831251</v>
      </c>
      <c r="G241" s="223">
        <f>('Pivot Table for Data Exchange'!$O$487)*100</f>
        <v>0.20787258550480742</v>
      </c>
      <c r="H241" s="221">
        <f>('Pivot Table for Data Exchange'!$O$490)*100</f>
        <v>0</v>
      </c>
      <c r="I241" s="64"/>
      <c r="J241" s="64"/>
      <c r="K241" s="64"/>
      <c r="L241" s="64"/>
      <c r="M241" s="64"/>
      <c r="N241" s="64"/>
      <c r="O241" s="64"/>
      <c r="P241" s="81"/>
      <c r="Q241" s="226">
        <f t="shared" si="34"/>
        <v>100</v>
      </c>
      <c r="R241" s="97"/>
      <c r="Z241" s="98"/>
      <c r="AA241" s="98"/>
      <c r="AB241" s="98"/>
      <c r="AC241" s="98"/>
      <c r="AD241" s="98"/>
      <c r="AE241" s="98"/>
      <c r="AF241" s="98"/>
      <c r="AG241" s="98"/>
      <c r="AH241" s="98"/>
      <c r="AI241" s="98"/>
      <c r="AJ241" s="98"/>
      <c r="AK241" s="98"/>
      <c r="AL241" s="98"/>
      <c r="AM241" s="98"/>
      <c r="AN241" s="98"/>
      <c r="AO241" s="98"/>
    </row>
    <row r="242" spans="1:41" ht="15.75" customHeight="1">
      <c r="A242" s="65" t="s">
        <v>154</v>
      </c>
      <c r="B242" s="221">
        <f>('Pivot Table for Data Exchange'!$O$511)*100</f>
        <v>59.932730951523048</v>
      </c>
      <c r="C242" s="221">
        <f>('Pivot Table for Data Exchange'!$O$514)*100</f>
        <v>11.948058427340005</v>
      </c>
      <c r="D242" s="227">
        <f>SUM(E242:G242)</f>
        <v>28.119210621136947</v>
      </c>
      <c r="E242" s="221">
        <f>('Pivot Table for Data Exchange'!$O$517)*100</f>
        <v>26.240111976496021</v>
      </c>
      <c r="F242" s="221">
        <f>('Pivot Table for Data Exchange'!$O$520)*100</f>
        <v>1.879098644640927</v>
      </c>
      <c r="G242" s="223">
        <f>('Pivot Table for Data Exchange'!$O$523)*100</f>
        <v>0</v>
      </c>
      <c r="H242" s="221">
        <f>('Pivot Table for Data Exchange'!$O$526)*100</f>
        <v>0</v>
      </c>
      <c r="I242" s="64"/>
      <c r="J242" s="64"/>
      <c r="K242" s="64"/>
      <c r="L242" s="64"/>
      <c r="M242" s="64"/>
      <c r="N242" s="64"/>
      <c r="O242" s="64"/>
      <c r="P242" s="81"/>
      <c r="Q242" s="226">
        <f t="shared" si="34"/>
        <v>100</v>
      </c>
      <c r="R242" s="97"/>
      <c r="Z242" s="98"/>
      <c r="AA242" s="98"/>
      <c r="AB242" s="98"/>
      <c r="AC242" s="98"/>
      <c r="AD242" s="98"/>
      <c r="AE242" s="98"/>
      <c r="AF242" s="98"/>
      <c r="AG242" s="98"/>
      <c r="AH242" s="98"/>
      <c r="AI242" s="98"/>
      <c r="AJ242" s="98"/>
      <c r="AK242" s="98"/>
      <c r="AL242" s="98"/>
      <c r="AM242" s="98"/>
      <c r="AN242" s="98"/>
      <c r="AO242" s="98"/>
    </row>
    <row r="243" spans="1:41" ht="15.75" customHeight="1">
      <c r="A243" s="220" t="s">
        <v>155</v>
      </c>
      <c r="B243" s="224">
        <f>('Pivot Table for Data Exchange'!$O$547)*100</f>
        <v>64.846953665379303</v>
      </c>
      <c r="C243" s="224">
        <f>('Pivot Table for Data Exchange'!$O$550)*100</f>
        <v>16.854801430662096</v>
      </c>
      <c r="D243" s="228">
        <f>SUM(E243:G243)</f>
        <v>18.298244903958608</v>
      </c>
      <c r="E243" s="224">
        <f>('Pivot Table for Data Exchange'!$O$553)*100</f>
        <v>16.050426791469711</v>
      </c>
      <c r="F243" s="224">
        <f>('Pivot Table for Data Exchange'!$O$556)*100</f>
        <v>2.0780388255619013</v>
      </c>
      <c r="G243" s="225">
        <f>('Pivot Table for Data Exchange'!$O$559)*100</f>
        <v>0.1697792869269949</v>
      </c>
      <c r="H243" s="224">
        <f>('Pivot Table for Data Exchange'!$O$562)*100</f>
        <v>0</v>
      </c>
      <c r="I243" s="64"/>
      <c r="J243" s="64"/>
      <c r="K243" s="64"/>
      <c r="L243" s="64"/>
      <c r="M243" s="64"/>
      <c r="N243" s="64"/>
      <c r="O243" s="64"/>
      <c r="P243" s="81"/>
      <c r="Q243" s="226">
        <f t="shared" si="34"/>
        <v>100</v>
      </c>
      <c r="R243" s="97"/>
      <c r="Z243" s="98"/>
      <c r="AA243" s="98"/>
      <c r="AB243" s="98"/>
      <c r="AC243" s="98"/>
      <c r="AD243" s="98"/>
      <c r="AE243" s="98"/>
      <c r="AF243" s="98"/>
      <c r="AG243" s="98"/>
      <c r="AH243" s="98"/>
      <c r="AI243" s="98"/>
      <c r="AJ243" s="98"/>
      <c r="AK243" s="98"/>
      <c r="AL243" s="98"/>
      <c r="AM243" s="98"/>
      <c r="AN243" s="98"/>
      <c r="AO243" s="98"/>
    </row>
    <row r="244" spans="1:41" s="103" customFormat="1" ht="12.75" customHeight="1">
      <c r="A244" s="691" t="s">
        <v>175</v>
      </c>
      <c r="B244" s="69"/>
      <c r="C244" s="69"/>
      <c r="D244" s="70"/>
      <c r="E244" s="69"/>
      <c r="F244" s="70"/>
      <c r="G244" s="70"/>
      <c r="H244" s="69"/>
      <c r="I244" s="24"/>
      <c r="J244" s="69"/>
      <c r="K244" s="69"/>
      <c r="L244" s="70"/>
      <c r="M244" s="69"/>
      <c r="N244" s="70"/>
      <c r="O244" s="70"/>
      <c r="P244" s="69"/>
      <c r="Q244" s="226">
        <f t="shared" si="34"/>
        <v>0</v>
      </c>
      <c r="R244" s="101"/>
      <c r="S244" s="102"/>
      <c r="T244" s="102"/>
      <c r="U244" s="102"/>
      <c r="V244" s="102"/>
      <c r="W244" s="102"/>
      <c r="X244" s="102"/>
      <c r="Y244" s="102"/>
      <c r="Z244" s="102"/>
      <c r="AA244" s="102"/>
      <c r="AB244" s="102"/>
      <c r="AC244" s="102"/>
      <c r="AD244" s="102"/>
      <c r="AE244" s="102"/>
      <c r="AF244" s="102"/>
      <c r="AG244" s="102"/>
      <c r="AH244" s="102"/>
      <c r="AI244" s="102"/>
      <c r="AJ244" s="102"/>
      <c r="AK244" s="102"/>
      <c r="AL244" s="102"/>
      <c r="AM244" s="102"/>
      <c r="AN244" s="102"/>
      <c r="AO244" s="102"/>
    </row>
    <row r="245" spans="1:41" s="103" customFormat="1" ht="24.75" customHeight="1">
      <c r="A245" s="666" t="s">
        <v>180</v>
      </c>
      <c r="B245" s="692"/>
      <c r="C245" s="692"/>
      <c r="D245" s="692"/>
      <c r="E245" s="692"/>
      <c r="F245" s="692"/>
      <c r="G245" s="692"/>
      <c r="H245" s="692"/>
      <c r="I245" s="24"/>
      <c r="J245" s="25"/>
      <c r="K245" s="25"/>
      <c r="L245" s="25"/>
      <c r="M245" s="25"/>
      <c r="N245" s="25"/>
      <c r="O245" s="25"/>
      <c r="P245" s="77"/>
      <c r="Q245" s="226">
        <f t="shared" si="34"/>
        <v>0</v>
      </c>
      <c r="R245" s="106"/>
    </row>
    <row r="246" spans="1:41" ht="12" customHeight="1">
      <c r="A246" s="65"/>
      <c r="B246" s="83"/>
      <c r="C246" s="83"/>
      <c r="D246" s="84"/>
      <c r="E246" s="83"/>
      <c r="F246" s="84"/>
      <c r="G246" s="84"/>
      <c r="H246" s="83"/>
      <c r="I246" s="65"/>
      <c r="J246" s="83"/>
      <c r="K246" s="83"/>
      <c r="L246" s="84"/>
      <c r="M246" s="83"/>
      <c r="N246" s="84"/>
      <c r="O246" s="84"/>
      <c r="P246" s="83"/>
      <c r="Q246" s="226">
        <f t="shared" si="34"/>
        <v>0</v>
      </c>
      <c r="R246" s="97"/>
      <c r="S246" s="98"/>
      <c r="T246" s="98"/>
      <c r="U246" s="98"/>
      <c r="V246" s="98"/>
      <c r="W246" s="98"/>
      <c r="X246" s="98"/>
      <c r="Y246" s="98"/>
      <c r="Z246" s="98"/>
      <c r="AA246" s="98"/>
      <c r="AB246" s="98"/>
      <c r="AC246" s="98"/>
      <c r="AD246" s="98"/>
      <c r="AE246" s="98"/>
      <c r="AF246" s="98"/>
      <c r="AG246" s="98"/>
      <c r="AH246" s="98"/>
      <c r="AI246" s="98"/>
      <c r="AJ246" s="98"/>
      <c r="AK246" s="98"/>
      <c r="AL246" s="98"/>
      <c r="AM246" s="98"/>
      <c r="AN246" s="98"/>
      <c r="AO246" s="98"/>
    </row>
    <row r="247" spans="1:41" s="103" customFormat="1">
      <c r="A247" s="25"/>
      <c r="B247" s="25"/>
      <c r="C247" s="25"/>
      <c r="D247" s="25"/>
      <c r="E247" s="25"/>
      <c r="F247" s="25"/>
      <c r="G247" s="25"/>
      <c r="H247" s="27" t="s">
        <v>899</v>
      </c>
      <c r="I247" s="26"/>
      <c r="J247" s="26"/>
      <c r="K247" s="26"/>
      <c r="L247" s="26"/>
      <c r="M247" s="26"/>
      <c r="N247" s="26"/>
      <c r="O247" s="26"/>
      <c r="P247" s="26"/>
      <c r="Q247" s="226">
        <f t="shared" si="34"/>
        <v>0</v>
      </c>
      <c r="R247" s="105"/>
    </row>
    <row r="248" spans="1:41" ht="18">
      <c r="A248" s="16" t="s">
        <v>208</v>
      </c>
      <c r="B248" s="34"/>
      <c r="C248" s="34"/>
      <c r="D248" s="34"/>
      <c r="E248" s="34"/>
      <c r="F248" s="34"/>
      <c r="G248" s="34"/>
      <c r="H248" s="35"/>
      <c r="I248" s="80"/>
      <c r="J248" s="65"/>
      <c r="K248" s="65"/>
      <c r="L248" s="65"/>
      <c r="M248" s="65"/>
      <c r="N248" s="65"/>
      <c r="O248" s="65"/>
      <c r="P248" s="65"/>
      <c r="Q248" s="226">
        <f t="shared" si="34"/>
        <v>0</v>
      </c>
    </row>
    <row r="249" spans="1:41">
      <c r="A249" s="18"/>
      <c r="B249" s="19"/>
      <c r="C249" s="19"/>
      <c r="D249" s="19"/>
      <c r="E249" s="19"/>
      <c r="F249" s="19"/>
      <c r="G249" s="19"/>
      <c r="H249" s="36"/>
      <c r="I249" s="80"/>
      <c r="J249" s="65"/>
      <c r="K249" s="65"/>
      <c r="L249" s="65"/>
      <c r="M249" s="65"/>
      <c r="N249" s="65"/>
      <c r="O249" s="65"/>
      <c r="P249" s="65"/>
      <c r="Q249" s="226">
        <f t="shared" si="34"/>
        <v>0</v>
      </c>
    </row>
    <row r="250" spans="1:41" ht="15.75">
      <c r="A250" s="37" t="s">
        <v>162</v>
      </c>
      <c r="B250" s="19"/>
      <c r="C250" s="19"/>
      <c r="D250" s="19"/>
      <c r="E250" s="19"/>
      <c r="F250" s="19"/>
      <c r="G250" s="19"/>
      <c r="H250" s="36"/>
      <c r="I250" s="80"/>
      <c r="J250" s="65"/>
      <c r="K250" s="65"/>
      <c r="L250" s="65"/>
      <c r="M250" s="65"/>
      <c r="N250" s="65"/>
      <c r="O250" s="65"/>
      <c r="P250" s="65"/>
      <c r="Q250" s="226">
        <f t="shared" si="34"/>
        <v>0</v>
      </c>
    </row>
    <row r="251" spans="1:41" ht="15.75">
      <c r="A251" s="37" t="s">
        <v>908</v>
      </c>
      <c r="B251" s="19"/>
      <c r="C251" s="19"/>
      <c r="D251" s="19"/>
      <c r="E251" s="19"/>
      <c r="F251" s="19"/>
      <c r="G251" s="19"/>
      <c r="H251" s="36"/>
      <c r="I251" s="80"/>
      <c r="J251" s="65"/>
      <c r="K251" s="65"/>
      <c r="L251" s="65"/>
      <c r="M251" s="65"/>
      <c r="N251" s="65"/>
      <c r="O251" s="65"/>
      <c r="P251" s="65"/>
      <c r="Q251" s="226">
        <f t="shared" si="34"/>
        <v>0</v>
      </c>
    </row>
    <row r="252" spans="1:41">
      <c r="A252" s="39"/>
      <c r="B252" s="40"/>
      <c r="C252" s="40"/>
      <c r="D252" s="40"/>
      <c r="E252" s="40"/>
      <c r="F252" s="40"/>
      <c r="G252" s="40"/>
      <c r="H252" s="40"/>
      <c r="I252" s="80"/>
      <c r="J252" s="65"/>
      <c r="K252" s="65"/>
      <c r="L252" s="65"/>
      <c r="M252" s="65"/>
      <c r="N252" s="65"/>
      <c r="O252" s="65"/>
      <c r="P252" s="65"/>
      <c r="Q252" s="226">
        <f t="shared" si="34"/>
        <v>0</v>
      </c>
    </row>
    <row r="253" spans="1:41">
      <c r="A253" s="43"/>
      <c r="B253" s="44" t="s">
        <v>164</v>
      </c>
      <c r="C253" s="44"/>
      <c r="D253" s="44"/>
      <c r="E253" s="44"/>
      <c r="F253" s="44"/>
      <c r="G253" s="44"/>
      <c r="H253" s="45"/>
      <c r="I253" s="80"/>
      <c r="J253" s="65"/>
      <c r="K253" s="65"/>
      <c r="L253" s="65"/>
      <c r="M253" s="65"/>
      <c r="N253" s="65"/>
      <c r="O253" s="65"/>
      <c r="P253" s="65"/>
      <c r="Q253" s="226">
        <f t="shared" si="34"/>
        <v>0</v>
      </c>
    </row>
    <row r="254" spans="1:41">
      <c r="A254" s="43"/>
      <c r="B254" s="44" t="s">
        <v>165</v>
      </c>
      <c r="C254" s="44"/>
      <c r="D254" s="670" t="s">
        <v>166</v>
      </c>
      <c r="E254" s="668"/>
      <c r="F254" s="668"/>
      <c r="G254" s="668"/>
      <c r="H254" s="49" t="s">
        <v>39</v>
      </c>
      <c r="I254" s="80"/>
      <c r="J254" s="65"/>
      <c r="K254" s="65"/>
      <c r="L254" s="65"/>
      <c r="M254" s="65"/>
      <c r="N254" s="65"/>
      <c r="O254" s="65"/>
      <c r="P254" s="65"/>
      <c r="Q254" s="226">
        <f t="shared" si="34"/>
        <v>0</v>
      </c>
    </row>
    <row r="255" spans="1:41" ht="36">
      <c r="A255" s="43"/>
      <c r="B255" s="50" t="s">
        <v>167</v>
      </c>
      <c r="C255" s="51" t="s">
        <v>168</v>
      </c>
      <c r="D255" s="52" t="s">
        <v>169</v>
      </c>
      <c r="E255" s="53" t="s">
        <v>7</v>
      </c>
      <c r="F255" s="50" t="s">
        <v>170</v>
      </c>
      <c r="G255" s="54" t="s">
        <v>171</v>
      </c>
      <c r="H255" s="55" t="s">
        <v>172</v>
      </c>
      <c r="I255" s="80"/>
      <c r="J255" s="65"/>
      <c r="K255" s="65"/>
      <c r="L255" s="65"/>
      <c r="M255" s="65"/>
      <c r="N255" s="65"/>
      <c r="O255" s="65"/>
      <c r="P255" s="65"/>
      <c r="Q255" s="226">
        <f t="shared" si="34"/>
        <v>0</v>
      </c>
    </row>
    <row r="256" spans="1:41" ht="15.75" customHeight="1">
      <c r="A256" s="62" t="s">
        <v>141</v>
      </c>
      <c r="B256" s="82">
        <f>('Pivot Table for Data Exchange'!$K$7)*100</f>
        <v>0</v>
      </c>
      <c r="C256" s="221">
        <f>('Pivot Table for Data Exchange'!$K$10)*100</f>
        <v>0</v>
      </c>
      <c r="D256" s="227">
        <f>SUM(E256:G256)</f>
        <v>0</v>
      </c>
      <c r="E256" s="221">
        <f>('Pivot Table for Data Exchange'!$K$13)*100</f>
        <v>0</v>
      </c>
      <c r="F256" s="221">
        <f>('Pivot Table for Data Exchange'!$K$16)*100</f>
        <v>0</v>
      </c>
      <c r="G256" s="60">
        <f>('Pivot Table for Data Exchange'!$K$19)*100</f>
        <v>0</v>
      </c>
      <c r="H256" s="221">
        <f>('Pivot Table for Data Exchange'!$K$22)*100</f>
        <v>0</v>
      </c>
      <c r="I256" s="65"/>
      <c r="J256" s="81"/>
      <c r="K256" s="81"/>
      <c r="L256" s="81"/>
      <c r="M256" s="81"/>
      <c r="N256" s="81"/>
      <c r="O256" s="81"/>
      <c r="P256" s="81"/>
      <c r="Q256" s="226">
        <f t="shared" si="34"/>
        <v>0</v>
      </c>
      <c r="R256" s="97"/>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row>
    <row r="257" spans="1:41" ht="15.75" customHeight="1">
      <c r="A257" s="65" t="s">
        <v>142</v>
      </c>
      <c r="B257" s="221">
        <f>('Pivot Table for Data Exchange'!$K$43)*100</f>
        <v>0</v>
      </c>
      <c r="C257" s="221">
        <f>('Pivot Table for Data Exchange'!$K$46)*100</f>
        <v>0</v>
      </c>
      <c r="D257" s="227">
        <f t="shared" ref="D257:D259" si="37">SUM(E257:G257)</f>
        <v>0</v>
      </c>
      <c r="E257" s="221">
        <f>('Pivot Table for Data Exchange'!$K$49)*100</f>
        <v>0</v>
      </c>
      <c r="F257" s="221">
        <f>('Pivot Table for Data Exchange'!$K$52)*100</f>
        <v>0</v>
      </c>
      <c r="G257" s="223">
        <f>('Pivot Table for Data Exchange'!$K$55)*100</f>
        <v>0</v>
      </c>
      <c r="H257" s="221">
        <f>('Pivot Table for Data Exchange'!$K$58)*100</f>
        <v>0</v>
      </c>
      <c r="I257" s="65"/>
      <c r="J257" s="81"/>
      <c r="K257" s="81"/>
      <c r="L257" s="81"/>
      <c r="M257" s="81"/>
      <c r="N257" s="81"/>
      <c r="O257" s="81"/>
      <c r="P257" s="81"/>
      <c r="Q257" s="226">
        <f t="shared" si="34"/>
        <v>0</v>
      </c>
      <c r="R257" s="97"/>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row>
    <row r="258" spans="1:41" ht="15.75" customHeight="1">
      <c r="A258" s="65" t="s">
        <v>143</v>
      </c>
      <c r="B258" s="221">
        <f>('Pivot Table for Data Exchange'!$K$79)*100</f>
        <v>0</v>
      </c>
      <c r="C258" s="221">
        <f>('Pivot Table for Data Exchange'!$K$82)*100</f>
        <v>0</v>
      </c>
      <c r="D258" s="227">
        <f t="shared" si="37"/>
        <v>0</v>
      </c>
      <c r="E258" s="221">
        <f>('Pivot Table for Data Exchange'!$K$85)*100</f>
        <v>0</v>
      </c>
      <c r="F258" s="221">
        <f>('Pivot Table for Data Exchange'!$K$88)*100</f>
        <v>0</v>
      </c>
      <c r="G258" s="223">
        <f>('Pivot Table for Data Exchange'!$K$91)*100</f>
        <v>0</v>
      </c>
      <c r="H258" s="221">
        <f>('Pivot Table for Data Exchange'!$K$94)*100</f>
        <v>0</v>
      </c>
      <c r="I258" s="65"/>
      <c r="J258" s="81"/>
      <c r="K258" s="81"/>
      <c r="L258" s="81"/>
      <c r="M258" s="81"/>
      <c r="N258" s="81"/>
      <c r="O258" s="81"/>
      <c r="P258" s="81"/>
      <c r="Q258" s="226">
        <f t="shared" si="34"/>
        <v>0</v>
      </c>
      <c r="R258" s="97"/>
      <c r="S258" s="98"/>
      <c r="T258" s="104"/>
      <c r="U258" s="98"/>
      <c r="V258" s="98"/>
      <c r="W258" s="98"/>
      <c r="X258" s="98"/>
      <c r="Y258" s="98"/>
      <c r="Z258" s="98"/>
      <c r="AA258" s="98"/>
      <c r="AB258" s="98"/>
      <c r="AC258" s="98"/>
      <c r="AD258" s="98"/>
      <c r="AE258" s="98"/>
      <c r="AF258" s="98"/>
      <c r="AG258" s="98"/>
      <c r="AH258" s="98"/>
      <c r="AI258" s="98"/>
      <c r="AJ258" s="98"/>
      <c r="AK258" s="98"/>
      <c r="AL258" s="98"/>
      <c r="AM258" s="98"/>
      <c r="AN258" s="98"/>
      <c r="AO258" s="98"/>
    </row>
    <row r="259" spans="1:41" ht="15.75" customHeight="1">
      <c r="A259" s="65" t="s">
        <v>174</v>
      </c>
      <c r="B259" s="221">
        <f>('Pivot Table for Data Exchange'!$K$115)*100</f>
        <v>75.173991620165097</v>
      </c>
      <c r="C259" s="221">
        <f>('Pivot Table for Data Exchange'!$K$118)*100</f>
        <v>3.4428732679416254</v>
      </c>
      <c r="D259" s="227">
        <f t="shared" si="37"/>
        <v>21.37686343541143</v>
      </c>
      <c r="E259" s="221">
        <f>('Pivot Table for Data Exchange'!$K$121)*100</f>
        <v>20.912248890460212</v>
      </c>
      <c r="F259" s="221">
        <f>('Pivot Table for Data Exchange'!$K$124)*100</f>
        <v>0.34882189474347458</v>
      </c>
      <c r="G259" s="223">
        <f>('Pivot Table for Data Exchange'!$K$127)*100</f>
        <v>0.11579265020774564</v>
      </c>
      <c r="H259" s="67">
        <f>('Pivot Table for Data Exchange'!$K$130)*100</f>
        <v>6.2716764818403613E-3</v>
      </c>
      <c r="I259" s="65"/>
      <c r="J259" s="81"/>
      <c r="K259" s="81"/>
      <c r="L259" s="81"/>
      <c r="M259" s="81"/>
      <c r="N259" s="81"/>
      <c r="O259" s="81"/>
      <c r="P259" s="81"/>
      <c r="Q259" s="226">
        <f t="shared" si="34"/>
        <v>100</v>
      </c>
      <c r="R259" s="97"/>
      <c r="S259" s="98"/>
      <c r="U259" s="98"/>
      <c r="V259" s="98"/>
      <c r="W259" s="98"/>
      <c r="X259" s="98"/>
      <c r="Y259" s="98"/>
      <c r="Z259" s="98"/>
      <c r="AA259" s="98"/>
      <c r="AB259" s="98"/>
      <c r="AC259" s="98"/>
      <c r="AD259" s="98"/>
      <c r="AE259" s="98"/>
      <c r="AF259" s="98"/>
      <c r="AG259" s="98"/>
      <c r="AH259" s="98"/>
      <c r="AI259" s="98"/>
      <c r="AJ259" s="98"/>
      <c r="AK259" s="98"/>
      <c r="AL259" s="98"/>
      <c r="AM259" s="98"/>
      <c r="AN259" s="98"/>
      <c r="AO259" s="98"/>
    </row>
    <row r="260" spans="1:41" ht="15.75" customHeight="1">
      <c r="A260" s="65"/>
      <c r="B260" s="221"/>
      <c r="C260" s="221"/>
      <c r="D260" s="227"/>
      <c r="E260" s="221"/>
      <c r="F260" s="221"/>
      <c r="G260" s="223"/>
      <c r="H260" s="221"/>
      <c r="I260" s="65"/>
      <c r="J260" s="81"/>
      <c r="K260" s="81"/>
      <c r="L260" s="81"/>
      <c r="M260" s="81"/>
      <c r="N260" s="81"/>
      <c r="O260" s="81"/>
      <c r="P260" s="81"/>
      <c r="Q260" s="226">
        <f t="shared" si="34"/>
        <v>0</v>
      </c>
      <c r="R260" s="97"/>
      <c r="S260" s="98"/>
      <c r="U260" s="98"/>
      <c r="V260" s="98"/>
      <c r="W260" s="98"/>
      <c r="X260" s="98"/>
      <c r="Y260" s="98"/>
      <c r="Z260" s="98"/>
      <c r="AA260" s="98"/>
      <c r="AB260" s="98"/>
      <c r="AC260" s="98"/>
      <c r="AD260" s="98"/>
      <c r="AE260" s="98"/>
      <c r="AF260" s="98"/>
      <c r="AG260" s="98"/>
      <c r="AH260" s="98"/>
      <c r="AI260" s="98"/>
      <c r="AJ260" s="98"/>
      <c r="AK260" s="98"/>
      <c r="AL260" s="98"/>
      <c r="AM260" s="98"/>
      <c r="AN260" s="98"/>
      <c r="AO260" s="98"/>
    </row>
    <row r="261" spans="1:41" ht="15.75" customHeight="1">
      <c r="A261" s="65" t="s">
        <v>145</v>
      </c>
      <c r="B261" s="221">
        <f>('Pivot Table for Data Exchange'!$K$151)*100</f>
        <v>90.17081246488722</v>
      </c>
      <c r="C261" s="221">
        <f>('Pivot Table for Data Exchange'!$K$154)*100</f>
        <v>2.9735792522820814</v>
      </c>
      <c r="D261" s="227">
        <f t="shared" ref="D261:D262" si="38">SUM(E261:G261)</f>
        <v>6.8317017097184207</v>
      </c>
      <c r="E261" s="221">
        <f>('Pivot Table for Data Exchange'!$K$157)*100</f>
        <v>5.7698514206481075</v>
      </c>
      <c r="F261" s="221">
        <f>('Pivot Table for Data Exchange'!$K$160)*100</f>
        <v>0</v>
      </c>
      <c r="G261" s="223">
        <f>('Pivot Table for Data Exchange'!$K$163)*100</f>
        <v>1.0618502890703132</v>
      </c>
      <c r="H261" s="67">
        <f>('Pivot Table for Data Exchange'!$K$166)*100</f>
        <v>2.3906573112277223E-2</v>
      </c>
      <c r="I261" s="65"/>
      <c r="J261" s="81"/>
      <c r="K261" s="81"/>
      <c r="L261" s="81"/>
      <c r="M261" s="81"/>
      <c r="N261" s="81"/>
      <c r="O261" s="81"/>
      <c r="P261" s="81"/>
      <c r="Q261" s="226">
        <f t="shared" si="34"/>
        <v>99.999999999999986</v>
      </c>
      <c r="R261" s="97"/>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row>
    <row r="262" spans="1:41" ht="15.75" customHeight="1">
      <c r="A262" s="65" t="s">
        <v>146</v>
      </c>
      <c r="B262" s="221">
        <f>('Pivot Table for Data Exchange'!$K$187)*100</f>
        <v>0</v>
      </c>
      <c r="C262" s="221">
        <f>('Pivot Table for Data Exchange'!$K$190)*100</f>
        <v>0</v>
      </c>
      <c r="D262" s="227">
        <f t="shared" si="38"/>
        <v>0</v>
      </c>
      <c r="E262" s="221">
        <f>('Pivot Table for Data Exchange'!$K$193)*100</f>
        <v>0</v>
      </c>
      <c r="F262" s="221">
        <f>('Pivot Table for Data Exchange'!$K$196)*100</f>
        <v>0</v>
      </c>
      <c r="G262" s="223">
        <f>('Pivot Table for Data Exchange'!$K$199)*100</f>
        <v>0</v>
      </c>
      <c r="H262" s="221">
        <f>('Pivot Table for Data Exchange'!$K$202)*100</f>
        <v>0</v>
      </c>
      <c r="I262" s="65"/>
      <c r="J262" s="81"/>
      <c r="K262" s="81"/>
      <c r="L262" s="81"/>
      <c r="M262" s="81"/>
      <c r="N262" s="81"/>
      <c r="O262" s="81"/>
      <c r="P262" s="81"/>
      <c r="Q262" s="226">
        <f t="shared" si="34"/>
        <v>0</v>
      </c>
      <c r="R262" s="97"/>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row>
    <row r="263" spans="1:41" ht="15.75" customHeight="1">
      <c r="A263" s="65" t="s">
        <v>147</v>
      </c>
      <c r="B263" s="221">
        <f>('Pivot Table for Data Exchange'!$K$223)*100</f>
        <v>0</v>
      </c>
      <c r="C263" s="221">
        <f>('Pivot Table for Data Exchange'!$K$226)*100</f>
        <v>0</v>
      </c>
      <c r="D263" s="227">
        <f>SUM(E263:G263)</f>
        <v>0</v>
      </c>
      <c r="E263" s="221">
        <f>('Pivot Table for Data Exchange'!$K$229)*100</f>
        <v>0</v>
      </c>
      <c r="F263" s="221">
        <f>('Pivot Table for Data Exchange'!$K$232)*100</f>
        <v>0</v>
      </c>
      <c r="G263" s="223">
        <f>('Pivot Table for Data Exchange'!$K$235)*100</f>
        <v>0</v>
      </c>
      <c r="H263" s="221">
        <f>('Pivot Table for Data Exchange'!$K$238)*100</f>
        <v>0</v>
      </c>
      <c r="I263" s="65"/>
      <c r="J263" s="81"/>
      <c r="K263" s="81"/>
      <c r="L263" s="81"/>
      <c r="M263" s="81"/>
      <c r="N263" s="81"/>
      <c r="O263" s="81"/>
      <c r="P263" s="81"/>
      <c r="Q263" s="226">
        <f t="shared" si="34"/>
        <v>0</v>
      </c>
      <c r="R263" s="97"/>
      <c r="S263" s="98"/>
      <c r="T263" s="104"/>
      <c r="U263" s="98"/>
      <c r="V263" s="98"/>
      <c r="W263" s="98"/>
      <c r="X263" s="98"/>
      <c r="Y263" s="98"/>
      <c r="Z263" s="98"/>
      <c r="AA263" s="98"/>
      <c r="AB263" s="98"/>
      <c r="AC263" s="98"/>
      <c r="AD263" s="98"/>
      <c r="AE263" s="98"/>
      <c r="AF263" s="98"/>
      <c r="AG263" s="98"/>
      <c r="AH263" s="98"/>
      <c r="AI263" s="98"/>
      <c r="AJ263" s="98"/>
      <c r="AK263" s="98"/>
      <c r="AL263" s="98"/>
      <c r="AM263" s="98"/>
      <c r="AN263" s="98"/>
      <c r="AO263" s="98"/>
    </row>
    <row r="264" spans="1:41" ht="15.75" customHeight="1">
      <c r="A264" s="65" t="s">
        <v>177</v>
      </c>
      <c r="B264" s="221">
        <f>('Pivot Table for Data Exchange'!$K$259)*100</f>
        <v>0</v>
      </c>
      <c r="C264" s="221">
        <f>('Pivot Table for Data Exchange'!$K$262)*100</f>
        <v>0</v>
      </c>
      <c r="D264" s="227">
        <f>SUM(E264:G264)</f>
        <v>0</v>
      </c>
      <c r="E264" s="221">
        <f>('Pivot Table for Data Exchange'!$K$265)*100</f>
        <v>0</v>
      </c>
      <c r="F264" s="221">
        <f>('Pivot Table for Data Exchange'!$K$268)*100</f>
        <v>0</v>
      </c>
      <c r="G264" s="223">
        <f>('Pivot Table for Data Exchange'!$K$271)*100</f>
        <v>0</v>
      </c>
      <c r="H264" s="221">
        <f>('Pivot Table for Data Exchange'!$K$274)*100</f>
        <v>0</v>
      </c>
      <c r="I264" s="65"/>
      <c r="J264" s="81"/>
      <c r="K264" s="81"/>
      <c r="L264" s="81"/>
      <c r="M264" s="81"/>
      <c r="N264" s="81"/>
      <c r="O264" s="81"/>
      <c r="P264" s="81"/>
      <c r="Q264" s="226">
        <f t="shared" si="34"/>
        <v>0</v>
      </c>
      <c r="R264" s="97"/>
      <c r="S264" s="98"/>
      <c r="U264" s="98"/>
      <c r="V264" s="98"/>
      <c r="W264" s="98"/>
      <c r="X264" s="98"/>
      <c r="Y264" s="98"/>
      <c r="Z264" s="98"/>
      <c r="AA264" s="98"/>
      <c r="AB264" s="98"/>
      <c r="AC264" s="98"/>
      <c r="AD264" s="98"/>
      <c r="AE264" s="98"/>
      <c r="AF264" s="98"/>
      <c r="AG264" s="98"/>
      <c r="AH264" s="98"/>
      <c r="AI264" s="98"/>
      <c r="AJ264" s="98"/>
      <c r="AK264" s="98"/>
      <c r="AL264" s="98"/>
      <c r="AM264" s="98"/>
      <c r="AN264" s="98"/>
      <c r="AO264" s="98"/>
    </row>
    <row r="265" spans="1:41" ht="15.75" customHeight="1">
      <c r="A265" s="65"/>
      <c r="B265" s="221"/>
      <c r="C265" s="221"/>
      <c r="D265" s="227"/>
      <c r="E265" s="221"/>
      <c r="F265" s="221"/>
      <c r="G265" s="223"/>
      <c r="H265" s="221"/>
      <c r="I265" s="65"/>
      <c r="J265" s="81"/>
      <c r="K265" s="81"/>
      <c r="L265" s="81"/>
      <c r="M265" s="81"/>
      <c r="N265" s="81"/>
      <c r="O265" s="81"/>
      <c r="P265" s="81"/>
      <c r="Q265" s="226">
        <f t="shared" si="34"/>
        <v>0</v>
      </c>
      <c r="R265" s="97"/>
      <c r="S265" s="98"/>
      <c r="U265" s="98"/>
      <c r="V265" s="98"/>
      <c r="W265" s="98"/>
      <c r="X265" s="98"/>
      <c r="Y265" s="98"/>
      <c r="Z265" s="98"/>
      <c r="AA265" s="98"/>
      <c r="AB265" s="98"/>
      <c r="AC265" s="98"/>
      <c r="AD265" s="98"/>
      <c r="AE265" s="98"/>
      <c r="AF265" s="98"/>
      <c r="AG265" s="98"/>
      <c r="AH265" s="98"/>
      <c r="AI265" s="98"/>
      <c r="AJ265" s="98"/>
      <c r="AK265" s="98"/>
      <c r="AL265" s="98"/>
      <c r="AM265" s="98"/>
      <c r="AN265" s="98"/>
      <c r="AO265" s="98"/>
    </row>
    <row r="266" spans="1:41" ht="15.75" customHeight="1">
      <c r="A266" s="65" t="s">
        <v>148</v>
      </c>
      <c r="B266" s="221">
        <f>('Pivot Table for Data Exchange'!$K$295)*100</f>
        <v>0</v>
      </c>
      <c r="C266" s="221">
        <f>('Pivot Table for Data Exchange'!$K$298)*100</f>
        <v>0</v>
      </c>
      <c r="D266" s="227">
        <f>SUM(E266:G266)</f>
        <v>0</v>
      </c>
      <c r="E266" s="221">
        <f>('Pivot Table for Data Exchange'!$K$301)*100</f>
        <v>0</v>
      </c>
      <c r="F266" s="221">
        <f>('Pivot Table for Data Exchange'!$K$304)*100</f>
        <v>0</v>
      </c>
      <c r="G266" s="223">
        <f>('Pivot Table for Data Exchange'!$K$307)*100</f>
        <v>0</v>
      </c>
      <c r="H266" s="221">
        <f>('Pivot Table for Data Exchange'!$K$310)*100</f>
        <v>0</v>
      </c>
      <c r="I266" s="65"/>
      <c r="J266" s="81"/>
      <c r="K266" s="81"/>
      <c r="L266" s="81"/>
      <c r="M266" s="81"/>
      <c r="N266" s="81"/>
      <c r="O266" s="81"/>
      <c r="P266" s="81"/>
      <c r="Q266" s="226">
        <f t="shared" si="34"/>
        <v>0</v>
      </c>
      <c r="R266" s="97"/>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row>
    <row r="267" spans="1:41" ht="15.75" customHeight="1">
      <c r="A267" s="65" t="s">
        <v>149</v>
      </c>
      <c r="B267" s="221">
        <f>('Pivot Table for Data Exchange'!$K$331)*100</f>
        <v>0</v>
      </c>
      <c r="C267" s="221">
        <f>('Pivot Table for Data Exchange'!$K$334)*100</f>
        <v>0</v>
      </c>
      <c r="D267" s="227">
        <f>SUM(E267:G267)</f>
        <v>0</v>
      </c>
      <c r="E267" s="221">
        <f>('Pivot Table for Data Exchange'!$K$337)*100</f>
        <v>0</v>
      </c>
      <c r="F267" s="221">
        <f>('Pivot Table for Data Exchange'!$K$340)*100</f>
        <v>0</v>
      </c>
      <c r="G267" s="223">
        <f>('Pivot Table for Data Exchange'!$K$343)*100</f>
        <v>0</v>
      </c>
      <c r="H267" s="221">
        <f>('Pivot Table for Data Exchange'!$K$346)*100</f>
        <v>0</v>
      </c>
      <c r="I267" s="65"/>
      <c r="J267" s="81"/>
      <c r="K267" s="81"/>
      <c r="L267" s="81"/>
      <c r="M267" s="81"/>
      <c r="N267" s="81"/>
      <c r="O267" s="81"/>
      <c r="P267" s="81"/>
      <c r="Q267" s="226">
        <f t="shared" si="34"/>
        <v>0</v>
      </c>
      <c r="R267" s="97"/>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row>
    <row r="268" spans="1:41" ht="15.75" customHeight="1">
      <c r="A268" s="65" t="s">
        <v>150</v>
      </c>
      <c r="B268" s="221">
        <f>('Pivot Table for Data Exchange'!$K$367)*100</f>
        <v>64.594439066605403</v>
      </c>
      <c r="C268" s="221">
        <f>('Pivot Table for Data Exchange'!$K$370)*100</f>
        <v>7.0959223093085191</v>
      </c>
      <c r="D268" s="227">
        <f>SUM(E268:G268)</f>
        <v>28.309638624086073</v>
      </c>
      <c r="E268" s="221">
        <f>('Pivot Table for Data Exchange'!$K$373)*100</f>
        <v>27.453149604542958</v>
      </c>
      <c r="F268" s="221">
        <f>('Pivot Table for Data Exchange'!$K$376)*100</f>
        <v>0.85648901954311663</v>
      </c>
      <c r="G268" s="223">
        <f>('Pivot Table for Data Exchange'!$K$379)*100</f>
        <v>0</v>
      </c>
      <c r="H268" s="221">
        <f>('Pivot Table for Data Exchange'!$K$382)*100</f>
        <v>0</v>
      </c>
      <c r="I268" s="65"/>
      <c r="J268" s="81"/>
      <c r="K268" s="81"/>
      <c r="L268" s="81"/>
      <c r="M268" s="81"/>
      <c r="N268" s="81"/>
      <c r="O268" s="81"/>
      <c r="P268" s="81"/>
      <c r="Q268" s="226">
        <f t="shared" si="34"/>
        <v>100</v>
      </c>
      <c r="R268" s="97"/>
      <c r="S268" s="98"/>
      <c r="T268" s="104"/>
      <c r="U268" s="98"/>
      <c r="V268" s="98"/>
      <c r="W268" s="98"/>
      <c r="X268" s="98"/>
      <c r="Y268" s="98"/>
      <c r="Z268" s="98"/>
      <c r="AA268" s="98"/>
      <c r="AB268" s="98"/>
      <c r="AC268" s="98"/>
      <c r="AD268" s="98"/>
      <c r="AE268" s="98"/>
      <c r="AF268" s="98"/>
      <c r="AG268" s="98"/>
      <c r="AH268" s="98"/>
      <c r="AI268" s="98"/>
      <c r="AJ268" s="98"/>
      <c r="AK268" s="98"/>
      <c r="AL268" s="98"/>
      <c r="AM268" s="98"/>
      <c r="AN268" s="98"/>
      <c r="AO268" s="98"/>
    </row>
    <row r="269" spans="1:41" ht="15.75" customHeight="1">
      <c r="A269" s="65" t="s">
        <v>151</v>
      </c>
      <c r="B269" s="221">
        <f>('Pivot Table for Data Exchange'!$K$403)*100</f>
        <v>0</v>
      </c>
      <c r="C269" s="221">
        <f>('Pivot Table for Data Exchange'!$K$406)*100</f>
        <v>0</v>
      </c>
      <c r="D269" s="227">
        <f>SUM(E269:G269)</f>
        <v>0</v>
      </c>
      <c r="E269" s="221">
        <f>('Pivot Table for Data Exchange'!$K$409)*100</f>
        <v>0</v>
      </c>
      <c r="F269" s="221">
        <f>('Pivot Table for Data Exchange'!$K$412)*100</f>
        <v>0</v>
      </c>
      <c r="G269" s="223">
        <f>('Pivot Table for Data Exchange'!$K$415)*100</f>
        <v>0</v>
      </c>
      <c r="H269" s="221">
        <f>('Pivot Table for Data Exchange'!$K$418)*100</f>
        <v>0</v>
      </c>
      <c r="I269" s="65"/>
      <c r="J269" s="81"/>
      <c r="K269" s="81"/>
      <c r="L269" s="81"/>
      <c r="M269" s="81"/>
      <c r="N269" s="81"/>
      <c r="O269" s="81"/>
      <c r="P269" s="81"/>
      <c r="Q269" s="226">
        <f t="shared" si="34"/>
        <v>0</v>
      </c>
      <c r="R269" s="97"/>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row>
    <row r="270" spans="1:41" ht="15.75" customHeight="1">
      <c r="A270" s="65"/>
      <c r="B270" s="221"/>
      <c r="C270" s="221"/>
      <c r="D270" s="227"/>
      <c r="E270" s="221"/>
      <c r="F270" s="221"/>
      <c r="G270" s="223"/>
      <c r="H270" s="221"/>
      <c r="I270" s="65"/>
      <c r="J270" s="81"/>
      <c r="K270" s="81"/>
      <c r="L270" s="81"/>
      <c r="M270" s="81"/>
      <c r="N270" s="81"/>
      <c r="O270" s="81"/>
      <c r="P270" s="81"/>
      <c r="Q270" s="226">
        <f t="shared" si="34"/>
        <v>0</v>
      </c>
      <c r="R270" s="97"/>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row>
    <row r="271" spans="1:41" ht="15.75" customHeight="1">
      <c r="A271" s="65" t="s">
        <v>152</v>
      </c>
      <c r="B271" s="221">
        <f>('Pivot Table for Data Exchange'!$K$439)*100</f>
        <v>0</v>
      </c>
      <c r="C271" s="221">
        <f>('Pivot Table for Data Exchange'!$K$442)*100</f>
        <v>0</v>
      </c>
      <c r="D271" s="227">
        <f>SUM(E271:G271)</f>
        <v>0</v>
      </c>
      <c r="E271" s="221">
        <f>('Pivot Table for Data Exchange'!$K$445)*100</f>
        <v>0</v>
      </c>
      <c r="F271" s="221">
        <f>('Pivot Table for Data Exchange'!$K$448)*100</f>
        <v>0</v>
      </c>
      <c r="G271" s="223">
        <f>('Pivot Table for Data Exchange'!$K$451)*100</f>
        <v>0</v>
      </c>
      <c r="H271" s="221">
        <f>('Pivot Table for Data Exchange'!$K$454)*100</f>
        <v>0</v>
      </c>
      <c r="I271" s="65"/>
      <c r="J271" s="81"/>
      <c r="K271" s="81"/>
      <c r="L271" s="81"/>
      <c r="M271" s="81"/>
      <c r="N271" s="81"/>
      <c r="O271" s="81"/>
      <c r="P271" s="81"/>
      <c r="Q271" s="226">
        <f t="shared" si="34"/>
        <v>0</v>
      </c>
      <c r="R271" s="97"/>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row>
    <row r="272" spans="1:41" ht="15.75" customHeight="1">
      <c r="A272" s="65" t="s">
        <v>153</v>
      </c>
      <c r="B272" s="221">
        <f>('Pivot Table for Data Exchange'!$K$475)*100</f>
        <v>78.57418802397595</v>
      </c>
      <c r="C272" s="221">
        <f>('Pivot Table for Data Exchange'!$K$478)*100</f>
        <v>0.84778726991523468</v>
      </c>
      <c r="D272" s="227">
        <f>SUM(E272:G272)</f>
        <v>20.578024706108824</v>
      </c>
      <c r="E272" s="221">
        <f>('Pivot Table for Data Exchange'!$K$481)*100</f>
        <v>20.445267538881257</v>
      </c>
      <c r="F272" s="221">
        <f>('Pivot Table for Data Exchange'!$K$484)*100</f>
        <v>0.10514367644423205</v>
      </c>
      <c r="G272" s="68">
        <f>('Pivot Table for Data Exchange'!$K$487)*100</f>
        <v>2.7613490783333666E-2</v>
      </c>
      <c r="H272" s="221">
        <f>('Pivot Table for Data Exchange'!$K$490)*100</f>
        <v>0</v>
      </c>
      <c r="I272" s="65"/>
      <c r="J272" s="81"/>
      <c r="K272" s="81"/>
      <c r="L272" s="81"/>
      <c r="M272" s="81"/>
      <c r="N272" s="81"/>
      <c r="O272" s="81"/>
      <c r="P272" s="81"/>
      <c r="Q272" s="226">
        <f t="shared" si="34"/>
        <v>100</v>
      </c>
      <c r="R272" s="97"/>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row>
    <row r="273" spans="1:41" ht="15.75" customHeight="1">
      <c r="A273" s="65" t="s">
        <v>154</v>
      </c>
      <c r="B273" s="221">
        <f>('Pivot Table for Data Exchange'!$K$511)*100</f>
        <v>0</v>
      </c>
      <c r="C273" s="221">
        <f>('Pivot Table for Data Exchange'!$K$514)*100</f>
        <v>0</v>
      </c>
      <c r="D273" s="227">
        <f>SUM(E273:G273)</f>
        <v>0</v>
      </c>
      <c r="E273" s="221">
        <f>('Pivot Table for Data Exchange'!$K$517)*100</f>
        <v>0</v>
      </c>
      <c r="F273" s="221">
        <f>('Pivot Table for Data Exchange'!$K$520)*100</f>
        <v>0</v>
      </c>
      <c r="G273" s="223">
        <f>('Pivot Table for Data Exchange'!$K$523)*100</f>
        <v>0</v>
      </c>
      <c r="H273" s="221">
        <f>('Pivot Table for Data Exchange'!$K$526)*100</f>
        <v>0</v>
      </c>
      <c r="I273" s="65"/>
      <c r="J273" s="81"/>
      <c r="K273" s="81"/>
      <c r="L273" s="81"/>
      <c r="M273" s="81"/>
      <c r="N273" s="81"/>
      <c r="O273" s="81"/>
      <c r="P273" s="81"/>
      <c r="Q273" s="226">
        <f t="shared" si="34"/>
        <v>0</v>
      </c>
      <c r="R273" s="97"/>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row>
    <row r="274" spans="1:41" ht="15.75" customHeight="1">
      <c r="A274" s="39" t="s">
        <v>155</v>
      </c>
      <c r="B274" s="224">
        <f>('Pivot Table for Data Exchange'!$K$547)*100</f>
        <v>84.036589505748069</v>
      </c>
      <c r="C274" s="224">
        <f>('Pivot Table for Data Exchange'!$K$550)*100</f>
        <v>10.052021689466297</v>
      </c>
      <c r="D274" s="228">
        <f>SUM(E274:G274)</f>
        <v>5.911388804785628</v>
      </c>
      <c r="E274" s="224">
        <f>('Pivot Table for Data Exchange'!$K$553)*100</f>
        <v>5.1801491838925431</v>
      </c>
      <c r="F274" s="224">
        <f>('Pivot Table for Data Exchange'!$K$556)*100</f>
        <v>0</v>
      </c>
      <c r="G274" s="225">
        <f>('Pivot Table for Data Exchange'!$K$559)*100</f>
        <v>0.73123962089308492</v>
      </c>
      <c r="H274" s="224">
        <f>('Pivot Table for Data Exchange'!$K$562)*100</f>
        <v>0</v>
      </c>
      <c r="I274" s="65"/>
      <c r="J274" s="81"/>
      <c r="K274" s="81"/>
      <c r="L274" s="81"/>
      <c r="M274" s="81"/>
      <c r="N274" s="81"/>
      <c r="O274" s="81"/>
      <c r="P274" s="81"/>
      <c r="Q274" s="226">
        <f t="shared" si="34"/>
        <v>100</v>
      </c>
      <c r="R274" s="97"/>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row>
    <row r="275" spans="1:41" s="103" customFormat="1" ht="12.75" customHeight="1">
      <c r="A275" s="691" t="s">
        <v>175</v>
      </c>
      <c r="B275" s="69"/>
      <c r="C275" s="69"/>
      <c r="D275" s="70"/>
      <c r="E275" s="69"/>
      <c r="F275" s="70"/>
      <c r="G275" s="70"/>
      <c r="H275" s="69"/>
      <c r="I275" s="24"/>
      <c r="J275" s="69"/>
      <c r="K275" s="69"/>
      <c r="L275" s="70"/>
      <c r="M275" s="69"/>
      <c r="N275" s="70"/>
      <c r="O275" s="70"/>
      <c r="P275" s="69"/>
      <c r="Q275" s="226">
        <f t="shared" si="34"/>
        <v>0</v>
      </c>
      <c r="R275" s="101"/>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row>
    <row r="276" spans="1:41" s="103" customFormat="1" ht="27" customHeight="1">
      <c r="A276" s="666" t="s">
        <v>922</v>
      </c>
      <c r="B276" s="692"/>
      <c r="C276" s="692"/>
      <c r="D276" s="692"/>
      <c r="E276" s="692"/>
      <c r="F276" s="692"/>
      <c r="G276" s="692"/>
      <c r="H276" s="692"/>
      <c r="I276" s="24"/>
      <c r="J276" s="25"/>
      <c r="K276" s="25"/>
      <c r="L276" s="25"/>
      <c r="M276" s="25"/>
      <c r="N276" s="25"/>
      <c r="O276" s="25"/>
      <c r="P276" s="77"/>
      <c r="Q276" s="226">
        <f t="shared" si="34"/>
        <v>0</v>
      </c>
      <c r="R276" s="106"/>
    </row>
    <row r="277" spans="1:41" s="103" customFormat="1" ht="13.5" customHeight="1">
      <c r="A277" s="65"/>
      <c r="B277" s="83"/>
      <c r="C277" s="83"/>
      <c r="D277" s="84"/>
      <c r="E277" s="83"/>
      <c r="F277" s="84"/>
      <c r="G277" s="84"/>
      <c r="H277" s="83"/>
      <c r="I277" s="75"/>
      <c r="J277" s="25"/>
      <c r="K277" s="25"/>
      <c r="L277" s="25"/>
      <c r="M277" s="25"/>
      <c r="N277" s="25"/>
      <c r="O277" s="25"/>
      <c r="P277" s="25"/>
      <c r="Q277" s="226">
        <f t="shared" si="34"/>
        <v>0</v>
      </c>
      <c r="R277" s="106"/>
    </row>
    <row r="278" spans="1:41" s="103" customFormat="1">
      <c r="A278" s="25"/>
      <c r="B278" s="25"/>
      <c r="C278" s="25"/>
      <c r="D278" s="25"/>
      <c r="E278" s="25"/>
      <c r="F278" s="25"/>
      <c r="G278" s="25"/>
      <c r="H278" s="27" t="s">
        <v>899</v>
      </c>
      <c r="I278" s="85"/>
      <c r="J278" s="26"/>
      <c r="K278" s="26"/>
      <c r="L278" s="26"/>
      <c r="M278" s="26"/>
      <c r="N278" s="26"/>
      <c r="O278" s="26"/>
      <c r="P278" s="26"/>
      <c r="Q278" s="226">
        <f t="shared" si="34"/>
        <v>0</v>
      </c>
      <c r="R278" s="106"/>
    </row>
    <row r="279" spans="1:41" ht="18">
      <c r="A279" s="16" t="s">
        <v>209</v>
      </c>
      <c r="B279" s="34"/>
      <c r="C279" s="34"/>
      <c r="D279" s="34"/>
      <c r="E279" s="34"/>
      <c r="F279" s="34"/>
      <c r="G279" s="34"/>
      <c r="H279" s="35"/>
      <c r="I279" s="80"/>
      <c r="J279" s="65"/>
      <c r="K279" s="65"/>
      <c r="L279" s="65"/>
      <c r="M279" s="65"/>
      <c r="N279" s="65"/>
      <c r="O279" s="65"/>
      <c r="P279" s="65"/>
      <c r="Q279" s="226">
        <f t="shared" si="34"/>
        <v>0</v>
      </c>
    </row>
    <row r="280" spans="1:41">
      <c r="A280" s="18"/>
      <c r="B280" s="19"/>
      <c r="C280" s="19"/>
      <c r="D280" s="19"/>
      <c r="E280" s="19"/>
      <c r="F280" s="19"/>
      <c r="G280" s="19"/>
      <c r="H280" s="36"/>
      <c r="I280" s="80"/>
      <c r="J280" s="65"/>
      <c r="K280" s="65"/>
      <c r="L280" s="65"/>
      <c r="M280" s="65"/>
      <c r="N280" s="65"/>
      <c r="O280" s="65"/>
      <c r="P280" s="65"/>
      <c r="Q280" s="226">
        <f t="shared" si="34"/>
        <v>0</v>
      </c>
    </row>
    <row r="281" spans="1:41" ht="15.75">
      <c r="A281" s="37" t="s">
        <v>162</v>
      </c>
      <c r="B281" s="19"/>
      <c r="C281" s="19"/>
      <c r="D281" s="19"/>
      <c r="E281" s="19"/>
      <c r="F281" s="19"/>
      <c r="G281" s="19"/>
      <c r="H281" s="36"/>
      <c r="I281" s="80"/>
      <c r="J281" s="65"/>
      <c r="K281" s="65"/>
      <c r="L281" s="65"/>
      <c r="M281" s="65"/>
      <c r="N281" s="65"/>
      <c r="O281" s="65"/>
      <c r="P281" s="65"/>
      <c r="Q281" s="226">
        <f t="shared" si="34"/>
        <v>0</v>
      </c>
    </row>
    <row r="282" spans="1:41" ht="15.75">
      <c r="A282" s="37" t="s">
        <v>909</v>
      </c>
      <c r="B282" s="19"/>
      <c r="C282" s="19"/>
      <c r="D282" s="19"/>
      <c r="E282" s="19"/>
      <c r="F282" s="19"/>
      <c r="G282" s="19"/>
      <c r="H282" s="36"/>
      <c r="I282" s="80"/>
      <c r="J282" s="65"/>
      <c r="K282" s="65"/>
      <c r="L282" s="65"/>
      <c r="M282" s="65"/>
      <c r="N282" s="65"/>
      <c r="O282" s="65"/>
      <c r="P282" s="65"/>
      <c r="Q282" s="226">
        <f t="shared" ref="Q282:Q346" si="39">SUM(B282,C282,D282,H282)</f>
        <v>0</v>
      </c>
    </row>
    <row r="283" spans="1:41">
      <c r="A283" s="39"/>
      <c r="B283" s="40"/>
      <c r="C283" s="40"/>
      <c r="D283" s="40"/>
      <c r="E283" s="40"/>
      <c r="F283" s="40"/>
      <c r="G283" s="40"/>
      <c r="H283" s="40"/>
      <c r="I283" s="80"/>
      <c r="J283" s="65"/>
      <c r="K283" s="65"/>
      <c r="L283" s="65"/>
      <c r="M283" s="65"/>
      <c r="N283" s="65"/>
      <c r="O283" s="65"/>
      <c r="P283" s="65"/>
      <c r="Q283" s="226">
        <f t="shared" si="39"/>
        <v>0</v>
      </c>
    </row>
    <row r="284" spans="1:41">
      <c r="A284" s="43"/>
      <c r="B284" s="44" t="s">
        <v>164</v>
      </c>
      <c r="C284" s="44"/>
      <c r="D284" s="44"/>
      <c r="E284" s="44"/>
      <c r="F284" s="44"/>
      <c r="G284" s="44"/>
      <c r="H284" s="45"/>
      <c r="I284" s="80"/>
      <c r="J284" s="65"/>
      <c r="K284" s="65"/>
      <c r="L284" s="65"/>
      <c r="M284" s="65"/>
      <c r="N284" s="65"/>
      <c r="O284" s="65"/>
      <c r="P284" s="65"/>
      <c r="Q284" s="226">
        <f t="shared" si="39"/>
        <v>0</v>
      </c>
    </row>
    <row r="285" spans="1:41">
      <c r="A285" s="43"/>
      <c r="B285" s="44" t="s">
        <v>165</v>
      </c>
      <c r="C285" s="44"/>
      <c r="D285" s="670" t="s">
        <v>166</v>
      </c>
      <c r="E285" s="668"/>
      <c r="F285" s="668"/>
      <c r="G285" s="668"/>
      <c r="H285" s="49" t="s">
        <v>39</v>
      </c>
      <c r="I285" s="80"/>
      <c r="J285" s="65"/>
      <c r="K285" s="65"/>
      <c r="L285" s="65"/>
      <c r="M285" s="65"/>
      <c r="N285" s="65"/>
      <c r="O285" s="65"/>
      <c r="P285" s="65"/>
      <c r="Q285" s="226">
        <f t="shared" si="39"/>
        <v>0</v>
      </c>
    </row>
    <row r="286" spans="1:41" ht="36">
      <c r="A286" s="43"/>
      <c r="B286" s="50" t="s">
        <v>167</v>
      </c>
      <c r="C286" s="51" t="s">
        <v>168</v>
      </c>
      <c r="D286" s="52" t="s">
        <v>169</v>
      </c>
      <c r="E286" s="53" t="s">
        <v>7</v>
      </c>
      <c r="F286" s="50" t="s">
        <v>170</v>
      </c>
      <c r="G286" s="54" t="s">
        <v>171</v>
      </c>
      <c r="H286" s="55" t="s">
        <v>172</v>
      </c>
      <c r="I286" s="80"/>
      <c r="J286" s="65"/>
      <c r="K286" s="65"/>
      <c r="L286" s="65"/>
      <c r="M286" s="65"/>
      <c r="N286" s="65"/>
      <c r="O286" s="65"/>
      <c r="P286" s="65"/>
      <c r="Q286" s="226">
        <f t="shared" si="39"/>
        <v>0</v>
      </c>
    </row>
    <row r="287" spans="1:41" ht="15.75" customHeight="1">
      <c r="A287" s="62" t="s">
        <v>141</v>
      </c>
      <c r="B287" s="82">
        <f>('Pivot Table for Data Exchange'!$L$7)*100</f>
        <v>70.602878330231817</v>
      </c>
      <c r="C287" s="221">
        <f>('Pivot Table for Data Exchange'!$L$10)*100</f>
        <v>4.2071500042080849</v>
      </c>
      <c r="D287" s="227">
        <f>SUM(E287:G287)</f>
        <v>25.189971665560094</v>
      </c>
      <c r="E287" s="221">
        <f>('Pivot Table for Data Exchange'!$L$13)*100</f>
        <v>24.905318084479646</v>
      </c>
      <c r="F287" s="221">
        <f>('Pivot Table for Data Exchange'!$L$16)*100</f>
        <v>0.28465358108044925</v>
      </c>
      <c r="G287" s="60">
        <f>('Pivot Table for Data Exchange'!$L$19)*100</f>
        <v>0</v>
      </c>
      <c r="H287" s="221">
        <f>('Pivot Table for Data Exchange'!$L$22)*100</f>
        <v>0</v>
      </c>
      <c r="I287" s="65"/>
      <c r="J287" s="81"/>
      <c r="K287" s="81"/>
      <c r="L287" s="81"/>
      <c r="M287" s="81"/>
      <c r="N287" s="81"/>
      <c r="O287" s="81"/>
      <c r="P287" s="81"/>
      <c r="Q287" s="226">
        <f t="shared" si="39"/>
        <v>100</v>
      </c>
      <c r="R287" s="97"/>
      <c r="S287" s="98"/>
      <c r="T287" s="98"/>
      <c r="U287" s="98"/>
      <c r="V287" s="98"/>
      <c r="W287" s="98"/>
      <c r="X287" s="98"/>
      <c r="Y287" s="98"/>
      <c r="Z287" s="98"/>
      <c r="AA287" s="98"/>
      <c r="AB287" s="98"/>
      <c r="AC287" s="98"/>
      <c r="AD287" s="98"/>
      <c r="AE287" s="98"/>
      <c r="AF287" s="98"/>
      <c r="AG287" s="98"/>
      <c r="AH287" s="98"/>
      <c r="AI287" s="98"/>
      <c r="AJ287" s="98"/>
      <c r="AK287" s="98"/>
      <c r="AL287" s="98"/>
      <c r="AM287" s="98"/>
      <c r="AN287" s="98"/>
      <c r="AO287" s="98"/>
    </row>
    <row r="288" spans="1:41" ht="15.75" customHeight="1">
      <c r="A288" s="65" t="s">
        <v>142</v>
      </c>
      <c r="B288" s="221">
        <f>('Pivot Table for Data Exchange'!$L$43)*100</f>
        <v>64.663156533059578</v>
      </c>
      <c r="C288" s="221">
        <f>('Pivot Table for Data Exchange'!$L$46)*100</f>
        <v>5.8423632575434388</v>
      </c>
      <c r="D288" s="227">
        <f t="shared" ref="D288:D290" si="40">SUM(E288:G288)</f>
        <v>29.494480209396993</v>
      </c>
      <c r="E288" s="221">
        <f>('Pivot Table for Data Exchange'!$L$49)*100</f>
        <v>29.46530554951573</v>
      </c>
      <c r="F288" s="67">
        <f>('Pivot Table for Data Exchange'!$L$52)*100</f>
        <v>2.917465988126464E-2</v>
      </c>
      <c r="G288" s="223">
        <f>('Pivot Table for Data Exchange'!$L$55)*100</f>
        <v>0</v>
      </c>
      <c r="H288" s="221">
        <f>('Pivot Table for Data Exchange'!$L$58)*100</f>
        <v>0</v>
      </c>
      <c r="I288" s="65"/>
      <c r="J288" s="81"/>
      <c r="K288" s="81"/>
      <c r="L288" s="81"/>
      <c r="M288" s="81"/>
      <c r="N288" s="81"/>
      <c r="O288" s="81"/>
      <c r="P288" s="81"/>
      <c r="Q288" s="226">
        <f t="shared" si="39"/>
        <v>100.00000000000001</v>
      </c>
      <c r="R288" s="97"/>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row>
    <row r="289" spans="1:41" ht="15.75" customHeight="1">
      <c r="A289" s="65" t="s">
        <v>143</v>
      </c>
      <c r="B289" s="221">
        <f>('Pivot Table for Data Exchange'!$L$79)*100</f>
        <v>91.623062775346099</v>
      </c>
      <c r="C289" s="221">
        <f>('Pivot Table for Data Exchange'!$L$82)*100</f>
        <v>0</v>
      </c>
      <c r="D289" s="227">
        <f t="shared" si="40"/>
        <v>8.3769372246539024</v>
      </c>
      <c r="E289" s="221">
        <f>('Pivot Table for Data Exchange'!$L$85)*100</f>
        <v>8.1345613709918876</v>
      </c>
      <c r="F289" s="221">
        <f>('Pivot Table for Data Exchange'!$L$88)*100</f>
        <v>0.22954419082108385</v>
      </c>
      <c r="G289" s="68">
        <f>('Pivot Table for Data Exchange'!$L$91)*100</f>
        <v>1.2831662840930153E-2</v>
      </c>
      <c r="H289" s="221">
        <f>('Pivot Table for Data Exchange'!$L$94)*100</f>
        <v>0</v>
      </c>
      <c r="I289" s="65"/>
      <c r="J289" s="81"/>
      <c r="K289" s="81"/>
      <c r="L289" s="81"/>
      <c r="M289" s="81"/>
      <c r="N289" s="81"/>
      <c r="O289" s="81"/>
      <c r="P289" s="81"/>
      <c r="Q289" s="226">
        <f t="shared" si="39"/>
        <v>100</v>
      </c>
      <c r="R289" s="97"/>
      <c r="S289" s="98"/>
      <c r="T289" s="104"/>
      <c r="U289" s="98"/>
      <c r="V289" s="98"/>
      <c r="W289" s="98"/>
      <c r="X289" s="98"/>
      <c r="Y289" s="98"/>
      <c r="Z289" s="98"/>
      <c r="AA289" s="98"/>
      <c r="AB289" s="98"/>
      <c r="AC289" s="98"/>
      <c r="AD289" s="98"/>
      <c r="AE289" s="98"/>
      <c r="AF289" s="98"/>
      <c r="AG289" s="98"/>
      <c r="AH289" s="98"/>
      <c r="AI289" s="98"/>
      <c r="AJ289" s="98"/>
      <c r="AK289" s="98"/>
      <c r="AL289" s="98"/>
      <c r="AM289" s="98"/>
      <c r="AN289" s="98"/>
      <c r="AO289" s="98"/>
    </row>
    <row r="290" spans="1:41" ht="15.75" customHeight="1">
      <c r="A290" s="65" t="s">
        <v>174</v>
      </c>
      <c r="B290" s="221">
        <f>('Pivot Table for Data Exchange'!$L$115)*100</f>
        <v>76.783539696018224</v>
      </c>
      <c r="C290" s="221">
        <f>('Pivot Table for Data Exchange'!$L$118)*100</f>
        <v>2.0225682445019317</v>
      </c>
      <c r="D290" s="227">
        <f t="shared" si="40"/>
        <v>21.193892059479847</v>
      </c>
      <c r="E290" s="221">
        <f>('Pivot Table for Data Exchange'!$L$121)*100</f>
        <v>21.138763272049868</v>
      </c>
      <c r="F290" s="221">
        <f>('Pivot Table for Data Exchange'!$L$124)*100</f>
        <v>0</v>
      </c>
      <c r="G290" s="223">
        <f>('Pivot Table for Data Exchange'!$L$127)*100</f>
        <v>5.5128787429978211E-2</v>
      </c>
      <c r="H290" s="67">
        <f>('Pivot Table for Data Exchange'!$L$130)*100</f>
        <v>0</v>
      </c>
      <c r="I290" s="65"/>
      <c r="J290" s="81"/>
      <c r="K290" s="81"/>
      <c r="L290" s="81"/>
      <c r="M290" s="81"/>
      <c r="N290" s="81"/>
      <c r="O290" s="81"/>
      <c r="P290" s="81"/>
      <c r="Q290" s="226">
        <f t="shared" si="39"/>
        <v>100</v>
      </c>
      <c r="R290" s="97"/>
      <c r="S290" s="98"/>
      <c r="U290" s="98"/>
      <c r="V290" s="98"/>
      <c r="W290" s="98"/>
      <c r="X290" s="98"/>
      <c r="Y290" s="98"/>
      <c r="Z290" s="98"/>
      <c r="AA290" s="98"/>
      <c r="AB290" s="98"/>
      <c r="AC290" s="98"/>
      <c r="AD290" s="98"/>
      <c r="AE290" s="98"/>
      <c r="AF290" s="98"/>
      <c r="AG290" s="98"/>
      <c r="AH290" s="98"/>
      <c r="AI290" s="98"/>
      <c r="AJ290" s="98"/>
      <c r="AK290" s="98"/>
      <c r="AL290" s="98"/>
      <c r="AM290" s="98"/>
      <c r="AN290" s="98"/>
      <c r="AO290" s="98"/>
    </row>
    <row r="291" spans="1:41" ht="15.75" customHeight="1">
      <c r="A291" s="65"/>
      <c r="B291" s="221"/>
      <c r="C291" s="221"/>
      <c r="D291" s="227"/>
      <c r="E291" s="221"/>
      <c r="F291" s="221"/>
      <c r="G291" s="223"/>
      <c r="H291" s="221"/>
      <c r="I291" s="65"/>
      <c r="J291" s="81"/>
      <c r="K291" s="81"/>
      <c r="L291" s="81"/>
      <c r="M291" s="81"/>
      <c r="N291" s="81"/>
      <c r="O291" s="81"/>
      <c r="P291" s="81"/>
      <c r="Q291" s="226">
        <f t="shared" si="39"/>
        <v>0</v>
      </c>
      <c r="R291" s="97"/>
      <c r="S291" s="98"/>
      <c r="U291" s="98"/>
      <c r="V291" s="98"/>
      <c r="W291" s="98"/>
      <c r="X291" s="98"/>
      <c r="Y291" s="98"/>
      <c r="Z291" s="98"/>
      <c r="AA291" s="98"/>
      <c r="AB291" s="98"/>
      <c r="AC291" s="98"/>
      <c r="AD291" s="98"/>
      <c r="AE291" s="98"/>
      <c r="AF291" s="98"/>
      <c r="AG291" s="98"/>
      <c r="AH291" s="98"/>
      <c r="AI291" s="98"/>
      <c r="AJ291" s="98"/>
      <c r="AK291" s="98"/>
      <c r="AL291" s="98"/>
      <c r="AM291" s="98"/>
      <c r="AN291" s="98"/>
      <c r="AO291" s="98"/>
    </row>
    <row r="292" spans="1:41" ht="15.75" customHeight="1">
      <c r="A292" s="65" t="s">
        <v>145</v>
      </c>
      <c r="B292" s="221">
        <f>('Pivot Table for Data Exchange'!$L$151)*100</f>
        <v>77.730572396556994</v>
      </c>
      <c r="C292" s="221">
        <f>('Pivot Table for Data Exchange'!$L$154)*100</f>
        <v>0.68647703108980118</v>
      </c>
      <c r="D292" s="227">
        <f t="shared" ref="D292:D293" si="41">SUM(E292:G292)</f>
        <v>21.582950572353205</v>
      </c>
      <c r="E292" s="221">
        <f>('Pivot Table for Data Exchange'!$L$157)*100</f>
        <v>18.863270335825344</v>
      </c>
      <c r="F292" s="221">
        <f>('Pivot Table for Data Exchange'!$L$160)*100</f>
        <v>0</v>
      </c>
      <c r="G292" s="223">
        <f>('Pivot Table for Data Exchange'!$L$163)*100</f>
        <v>2.7196802365278612</v>
      </c>
      <c r="H292" s="221">
        <f>('Pivot Table for Data Exchange'!$L$166)*100</f>
        <v>0</v>
      </c>
      <c r="I292" s="65"/>
      <c r="J292" s="81"/>
      <c r="K292" s="81"/>
      <c r="L292" s="81"/>
      <c r="M292" s="81"/>
      <c r="N292" s="81"/>
      <c r="O292" s="81"/>
      <c r="P292" s="81"/>
      <c r="Q292" s="226">
        <f t="shared" si="39"/>
        <v>100</v>
      </c>
      <c r="R292" s="97"/>
      <c r="S292" s="98"/>
      <c r="T292" s="98"/>
      <c r="U292" s="98"/>
      <c r="V292" s="98"/>
      <c r="W292" s="98"/>
      <c r="X292" s="98"/>
      <c r="Y292" s="98"/>
      <c r="Z292" s="98"/>
      <c r="AA292" s="98"/>
      <c r="AB292" s="98"/>
      <c r="AC292" s="98"/>
      <c r="AD292" s="98"/>
      <c r="AE292" s="98"/>
      <c r="AF292" s="98"/>
      <c r="AG292" s="98"/>
      <c r="AH292" s="98"/>
      <c r="AI292" s="98"/>
      <c r="AJ292" s="98"/>
      <c r="AK292" s="98"/>
      <c r="AL292" s="98"/>
      <c r="AM292" s="98"/>
      <c r="AN292" s="98"/>
      <c r="AO292" s="98"/>
    </row>
    <row r="293" spans="1:41" ht="15.75" customHeight="1">
      <c r="A293" s="65" t="s">
        <v>146</v>
      </c>
      <c r="B293" s="221">
        <f>('Pivot Table for Data Exchange'!$L$187)*100</f>
        <v>63.486439462329827</v>
      </c>
      <c r="C293" s="221">
        <f>('Pivot Table for Data Exchange'!$L$190)*100</f>
        <v>9.0300261775958699</v>
      </c>
      <c r="D293" s="227">
        <f t="shared" si="41"/>
        <v>27.483534360074302</v>
      </c>
      <c r="E293" s="221">
        <f>('Pivot Table for Data Exchange'!$L$193)*100</f>
        <v>27.483534360074302</v>
      </c>
      <c r="F293" s="67">
        <f>('Pivot Table for Data Exchange'!$L$196)*100</f>
        <v>0</v>
      </c>
      <c r="G293" s="68">
        <f>('Pivot Table for Data Exchange'!$L$199)*100</f>
        <v>0</v>
      </c>
      <c r="H293" s="221">
        <f>('Pivot Table for Data Exchange'!$L$202)*100</f>
        <v>0</v>
      </c>
      <c r="I293" s="65"/>
      <c r="J293" s="81"/>
      <c r="K293" s="81"/>
      <c r="L293" s="81"/>
      <c r="M293" s="81"/>
      <c r="N293" s="81"/>
      <c r="O293" s="81"/>
      <c r="P293" s="81"/>
      <c r="Q293" s="226">
        <f t="shared" si="39"/>
        <v>100</v>
      </c>
      <c r="R293" s="97"/>
      <c r="S293" s="98"/>
      <c r="T293" s="98"/>
      <c r="U293" s="98"/>
      <c r="V293" s="98"/>
      <c r="W293" s="98"/>
      <c r="X293" s="98"/>
      <c r="Y293" s="98"/>
      <c r="Z293" s="98"/>
      <c r="AA293" s="98"/>
      <c r="AB293" s="98"/>
      <c r="AC293" s="98"/>
      <c r="AD293" s="98"/>
      <c r="AE293" s="98"/>
      <c r="AF293" s="98"/>
      <c r="AG293" s="98"/>
      <c r="AH293" s="98"/>
      <c r="AI293" s="98"/>
      <c r="AJ293" s="98"/>
      <c r="AK293" s="98"/>
      <c r="AL293" s="98"/>
      <c r="AM293" s="98"/>
      <c r="AN293" s="98"/>
      <c r="AO293" s="98"/>
    </row>
    <row r="294" spans="1:41" ht="15.75" customHeight="1">
      <c r="A294" s="65" t="s">
        <v>147</v>
      </c>
      <c r="B294" s="221">
        <f>('Pivot Table for Data Exchange'!$L$223)*100</f>
        <v>0</v>
      </c>
      <c r="C294" s="221">
        <f>('Pivot Table for Data Exchange'!$L$226)*100</f>
        <v>0</v>
      </c>
      <c r="D294" s="227">
        <f>SUM(E294:G294)</f>
        <v>0</v>
      </c>
      <c r="E294" s="221">
        <f>('Pivot Table for Data Exchange'!$L$229)*100</f>
        <v>0</v>
      </c>
      <c r="F294" s="221">
        <f>('Pivot Table for Data Exchange'!$L$232)*100</f>
        <v>0</v>
      </c>
      <c r="G294" s="223">
        <f>('Pivot Table for Data Exchange'!$L$235)*100</f>
        <v>0</v>
      </c>
      <c r="H294" s="221">
        <f>('Pivot Table for Data Exchange'!$L$238)*100</f>
        <v>0</v>
      </c>
      <c r="I294" s="65"/>
      <c r="J294" s="81"/>
      <c r="K294" s="81"/>
      <c r="L294" s="81"/>
      <c r="M294" s="81"/>
      <c r="N294" s="81"/>
      <c r="O294" s="81"/>
      <c r="P294" s="81"/>
      <c r="Q294" s="226">
        <f t="shared" si="39"/>
        <v>0</v>
      </c>
      <c r="R294" s="97"/>
      <c r="S294" s="98"/>
      <c r="T294" s="104"/>
      <c r="U294" s="98"/>
      <c r="V294" s="98"/>
      <c r="W294" s="98"/>
      <c r="X294" s="98"/>
      <c r="Y294" s="98"/>
      <c r="Z294" s="98"/>
      <c r="AA294" s="98"/>
      <c r="AB294" s="98"/>
      <c r="AC294" s="98"/>
      <c r="AD294" s="98"/>
      <c r="AE294" s="98"/>
      <c r="AF294" s="98"/>
      <c r="AG294" s="98"/>
      <c r="AH294" s="98"/>
      <c r="AI294" s="98"/>
      <c r="AJ294" s="98"/>
      <c r="AK294" s="98"/>
      <c r="AL294" s="98"/>
      <c r="AM294" s="98"/>
      <c r="AN294" s="98"/>
      <c r="AO294" s="98"/>
    </row>
    <row r="295" spans="1:41" ht="15.75" customHeight="1">
      <c r="A295" s="65" t="s">
        <v>177</v>
      </c>
      <c r="B295" s="221">
        <f>('Pivot Table for Data Exchange'!$L$259)*100</f>
        <v>72.457334336582633</v>
      </c>
      <c r="C295" s="221">
        <f>('Pivot Table for Data Exchange'!$L$262)*100</f>
        <v>12.543009386574994</v>
      </c>
      <c r="D295" s="227">
        <f>SUM(E295:G295)</f>
        <v>14.999656276842375</v>
      </c>
      <c r="E295" s="221">
        <f>('Pivot Table for Data Exchange'!$L$265)*100</f>
        <v>14.962726566937681</v>
      </c>
      <c r="F295" s="67">
        <f>('Pivot Table for Data Exchange'!$L$268)*100</f>
        <v>3.6929709904693665E-2</v>
      </c>
      <c r="G295" s="68">
        <f>('Pivot Table for Data Exchange'!$L$271)*100</f>
        <v>0</v>
      </c>
      <c r="H295" s="221">
        <f>('Pivot Table for Data Exchange'!$L$274)*100</f>
        <v>0</v>
      </c>
      <c r="I295" s="65"/>
      <c r="J295" s="81"/>
      <c r="K295" s="81"/>
      <c r="L295" s="81"/>
      <c r="M295" s="81"/>
      <c r="N295" s="81"/>
      <c r="O295" s="81"/>
      <c r="P295" s="81"/>
      <c r="Q295" s="226">
        <f t="shared" si="39"/>
        <v>100</v>
      </c>
      <c r="R295" s="97"/>
      <c r="S295" s="98"/>
      <c r="U295" s="98"/>
      <c r="V295" s="98"/>
      <c r="W295" s="98"/>
      <c r="X295" s="98"/>
      <c r="Y295" s="98"/>
      <c r="Z295" s="98"/>
      <c r="AA295" s="98"/>
      <c r="AB295" s="98"/>
      <c r="AC295" s="98"/>
      <c r="AD295" s="98"/>
      <c r="AE295" s="98"/>
      <c r="AF295" s="98"/>
      <c r="AG295" s="98"/>
      <c r="AH295" s="98"/>
      <c r="AI295" s="98"/>
      <c r="AJ295" s="98"/>
      <c r="AK295" s="98"/>
      <c r="AL295" s="98"/>
      <c r="AM295" s="98"/>
      <c r="AN295" s="98"/>
      <c r="AO295" s="98"/>
    </row>
    <row r="296" spans="1:41" ht="9.75" customHeight="1">
      <c r="A296" s="65"/>
      <c r="B296" s="221"/>
      <c r="C296" s="221"/>
      <c r="D296" s="227"/>
      <c r="E296" s="221"/>
      <c r="F296" s="221"/>
      <c r="G296" s="223"/>
      <c r="H296" s="221"/>
      <c r="I296" s="65"/>
      <c r="J296" s="81"/>
      <c r="K296" s="81"/>
      <c r="L296" s="81"/>
      <c r="M296" s="81"/>
      <c r="N296" s="81"/>
      <c r="O296" s="81"/>
      <c r="P296" s="81"/>
      <c r="Q296" s="226">
        <f t="shared" si="39"/>
        <v>0</v>
      </c>
      <c r="R296" s="97"/>
      <c r="S296" s="98"/>
      <c r="U296" s="98"/>
      <c r="V296" s="98"/>
      <c r="W296" s="98"/>
      <c r="X296" s="98"/>
      <c r="Y296" s="98"/>
      <c r="Z296" s="98"/>
      <c r="AA296" s="98"/>
      <c r="AB296" s="98"/>
      <c r="AC296" s="98"/>
      <c r="AD296" s="98"/>
      <c r="AE296" s="98"/>
      <c r="AF296" s="98"/>
      <c r="AG296" s="98"/>
      <c r="AH296" s="98"/>
      <c r="AI296" s="98"/>
      <c r="AJ296" s="98"/>
      <c r="AK296" s="98"/>
      <c r="AL296" s="98"/>
      <c r="AM296" s="98"/>
      <c r="AN296" s="98"/>
      <c r="AO296" s="98"/>
    </row>
    <row r="297" spans="1:41" ht="15.75" customHeight="1">
      <c r="A297" s="65" t="s">
        <v>179</v>
      </c>
      <c r="B297" s="221">
        <f>('Pivot Table for Data Exchange'!$L$295)*100</f>
        <v>77.212659518518478</v>
      </c>
      <c r="C297" s="221">
        <f>('Pivot Table for Data Exchange'!$L$298)*100</f>
        <v>0</v>
      </c>
      <c r="D297" s="227">
        <f>SUM(E297:G297)</f>
        <v>22.787340481481525</v>
      </c>
      <c r="E297" s="221">
        <f>('Pivot Table for Data Exchange'!$L$301)*100</f>
        <v>22.787340481481525</v>
      </c>
      <c r="F297" s="221">
        <f>('Pivot Table for Data Exchange'!$L$304)*100</f>
        <v>0</v>
      </c>
      <c r="G297" s="223">
        <f>('Pivot Table for Data Exchange'!$L$307)*100</f>
        <v>0</v>
      </c>
      <c r="H297" s="221">
        <f>('Pivot Table for Data Exchange'!$L$310)*100</f>
        <v>0</v>
      </c>
      <c r="I297" s="86"/>
      <c r="J297" s="81"/>
      <c r="K297" s="81"/>
      <c r="L297" s="81"/>
      <c r="M297" s="81"/>
      <c r="N297" s="81"/>
      <c r="O297" s="81"/>
      <c r="P297" s="81"/>
      <c r="Q297" s="226">
        <f t="shared" si="39"/>
        <v>100</v>
      </c>
      <c r="R297" s="97"/>
      <c r="S297" s="98"/>
      <c r="T297" s="98"/>
      <c r="U297" s="98"/>
      <c r="V297" s="98"/>
      <c r="W297" s="98"/>
      <c r="X297" s="98"/>
      <c r="Y297" s="98"/>
      <c r="Z297" s="98"/>
      <c r="AA297" s="98"/>
      <c r="AB297" s="98"/>
      <c r="AC297" s="98"/>
      <c r="AD297" s="98"/>
      <c r="AE297" s="98"/>
      <c r="AF297" s="98"/>
      <c r="AG297" s="98"/>
      <c r="AH297" s="98"/>
      <c r="AI297" s="98"/>
      <c r="AJ297" s="98"/>
      <c r="AK297" s="98"/>
      <c r="AL297" s="98"/>
      <c r="AM297" s="98"/>
      <c r="AN297" s="98"/>
      <c r="AO297" s="98"/>
    </row>
    <row r="298" spans="1:41" ht="15.75" customHeight="1">
      <c r="A298" s="65" t="s">
        <v>149</v>
      </c>
      <c r="B298" s="221">
        <f>('Pivot Table for Data Exchange'!$L$331)*100</f>
        <v>61.285413988774366</v>
      </c>
      <c r="C298" s="221">
        <f>('Pivot Table for Data Exchange'!$L$334)*100</f>
        <v>1.4700424910080603</v>
      </c>
      <c r="D298" s="227">
        <f>SUM(E298:G298)</f>
        <v>37.244543520217576</v>
      </c>
      <c r="E298" s="221">
        <f>('Pivot Table for Data Exchange'!$L$337)*100</f>
        <v>37.157267237921822</v>
      </c>
      <c r="F298" s="67">
        <f>('Pivot Table for Data Exchange'!$L$340)*100</f>
        <v>3.4028761365927321E-2</v>
      </c>
      <c r="G298" s="223">
        <f>('Pivot Table for Data Exchange'!$L$343)*100</f>
        <v>5.3247520929828415E-2</v>
      </c>
      <c r="H298" s="221">
        <f>('Pivot Table for Data Exchange'!$L$346)*100</f>
        <v>0</v>
      </c>
      <c r="I298" s="65"/>
      <c r="J298" s="81"/>
      <c r="K298" s="81"/>
      <c r="L298" s="81"/>
      <c r="M298" s="81"/>
      <c r="N298" s="81"/>
      <c r="O298" s="81"/>
      <c r="P298" s="81"/>
      <c r="Q298" s="226">
        <f t="shared" si="39"/>
        <v>100</v>
      </c>
      <c r="R298" s="97"/>
      <c r="S298" s="98"/>
      <c r="T298" s="98"/>
      <c r="U298" s="98"/>
      <c r="V298" s="98"/>
      <c r="W298" s="98"/>
      <c r="X298" s="98"/>
      <c r="Y298" s="98"/>
      <c r="Z298" s="98"/>
      <c r="AA298" s="98"/>
      <c r="AB298" s="98"/>
      <c r="AC298" s="98"/>
      <c r="AD298" s="98"/>
      <c r="AE298" s="98"/>
      <c r="AF298" s="98"/>
      <c r="AG298" s="98"/>
      <c r="AH298" s="98"/>
      <c r="AI298" s="98"/>
      <c r="AJ298" s="98"/>
      <c r="AK298" s="98"/>
      <c r="AL298" s="98"/>
      <c r="AM298" s="98"/>
      <c r="AN298" s="98"/>
      <c r="AO298" s="98"/>
    </row>
    <row r="299" spans="1:41" ht="15.75" customHeight="1">
      <c r="A299" s="65" t="s">
        <v>150</v>
      </c>
      <c r="B299" s="221">
        <f>('Pivot Table for Data Exchange'!$L$367)*100</f>
        <v>67.759939536390291</v>
      </c>
      <c r="C299" s="221">
        <f>('Pivot Table for Data Exchange'!$L$370)*100</f>
        <v>6.0492678753851647</v>
      </c>
      <c r="D299" s="227">
        <f>SUM(E299:G299)</f>
        <v>26.190792588224546</v>
      </c>
      <c r="E299" s="221">
        <f>('Pivot Table for Data Exchange'!$L$373)*100</f>
        <v>25.8598207685855</v>
      </c>
      <c r="F299" s="221">
        <f>('Pivot Table for Data Exchange'!$L$376)*100</f>
        <v>7.1426791691236932E-2</v>
      </c>
      <c r="G299" s="223">
        <f>('Pivot Table for Data Exchange'!$L$379)*100</f>
        <v>0.25954502794780859</v>
      </c>
      <c r="H299" s="67">
        <f>('Pivot Table for Data Exchange'!$L$382)*100</f>
        <v>0</v>
      </c>
      <c r="I299" s="65"/>
      <c r="J299" s="81"/>
      <c r="K299" s="81"/>
      <c r="L299" s="81"/>
      <c r="M299" s="81"/>
      <c r="N299" s="81"/>
      <c r="O299" s="81"/>
      <c r="P299" s="81"/>
      <c r="Q299" s="226">
        <f t="shared" si="39"/>
        <v>100</v>
      </c>
      <c r="R299" s="97"/>
      <c r="S299" s="98"/>
      <c r="T299" s="104"/>
      <c r="U299" s="98"/>
      <c r="V299" s="98"/>
      <c r="W299" s="98"/>
      <c r="X299" s="98"/>
      <c r="Y299" s="98"/>
      <c r="Z299" s="98"/>
      <c r="AA299" s="98"/>
      <c r="AB299" s="98"/>
      <c r="AC299" s="98"/>
      <c r="AD299" s="98"/>
      <c r="AE299" s="98"/>
      <c r="AF299" s="98"/>
      <c r="AG299" s="98"/>
      <c r="AH299" s="98"/>
      <c r="AI299" s="98"/>
      <c r="AJ299" s="98"/>
      <c r="AK299" s="98"/>
      <c r="AL299" s="98"/>
      <c r="AM299" s="98"/>
      <c r="AN299" s="98"/>
      <c r="AO299" s="98"/>
    </row>
    <row r="300" spans="1:41" ht="15.75" customHeight="1">
      <c r="A300" s="65" t="s">
        <v>151</v>
      </c>
      <c r="B300" s="221">
        <f>('Pivot Table for Data Exchange'!$L$403)*100</f>
        <v>67.637056613223081</v>
      </c>
      <c r="C300" s="221">
        <f>('Pivot Table for Data Exchange'!$L$406)*100</f>
        <v>5.8720181158005698</v>
      </c>
      <c r="D300" s="227">
        <f>SUM(E300:G300)</f>
        <v>26.490925270976348</v>
      </c>
      <c r="E300" s="221">
        <f>('Pivot Table for Data Exchange'!$L$409)*100</f>
        <v>25.629495797527387</v>
      </c>
      <c r="F300" s="221">
        <f>('Pivot Table for Data Exchange'!$L$412)*100</f>
        <v>0.86142947344896248</v>
      </c>
      <c r="G300" s="223">
        <f>('Pivot Table for Data Exchange'!$L$415)*100</f>
        <v>0</v>
      </c>
      <c r="H300" s="221">
        <f>('Pivot Table for Data Exchange'!$L$418)*100</f>
        <v>0</v>
      </c>
      <c r="I300" s="65"/>
      <c r="J300" s="81"/>
      <c r="K300" s="81"/>
      <c r="L300" s="81"/>
      <c r="M300" s="81"/>
      <c r="N300" s="81"/>
      <c r="O300" s="81"/>
      <c r="P300" s="81"/>
      <c r="Q300" s="226">
        <f t="shared" si="39"/>
        <v>100</v>
      </c>
      <c r="R300" s="97"/>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row>
    <row r="301" spans="1:41" ht="11.25" customHeight="1">
      <c r="A301" s="65"/>
      <c r="B301" s="221"/>
      <c r="C301" s="221"/>
      <c r="D301" s="227"/>
      <c r="E301" s="221"/>
      <c r="F301" s="221"/>
      <c r="G301" s="223"/>
      <c r="H301" s="221"/>
      <c r="I301" s="65"/>
      <c r="J301" s="81"/>
      <c r="K301" s="81"/>
      <c r="L301" s="81"/>
      <c r="M301" s="81"/>
      <c r="N301" s="81"/>
      <c r="O301" s="81"/>
      <c r="P301" s="81"/>
      <c r="Q301" s="226">
        <f t="shared" si="39"/>
        <v>0</v>
      </c>
      <c r="R301" s="97"/>
      <c r="S301" s="98"/>
      <c r="T301" s="98"/>
      <c r="U301" s="98"/>
      <c r="V301" s="98"/>
      <c r="W301" s="98"/>
      <c r="X301" s="98"/>
      <c r="Y301" s="98"/>
      <c r="Z301" s="98"/>
      <c r="AA301" s="98"/>
      <c r="AB301" s="98"/>
      <c r="AC301" s="98"/>
      <c r="AD301" s="98"/>
      <c r="AE301" s="98"/>
      <c r="AF301" s="98"/>
      <c r="AG301" s="98"/>
      <c r="AH301" s="98"/>
      <c r="AI301" s="98"/>
      <c r="AJ301" s="98"/>
      <c r="AK301" s="98"/>
      <c r="AL301" s="98"/>
      <c r="AM301" s="98"/>
      <c r="AN301" s="98"/>
      <c r="AO301" s="98"/>
    </row>
    <row r="302" spans="1:41" ht="15.75" customHeight="1">
      <c r="A302" s="65" t="s">
        <v>152</v>
      </c>
      <c r="B302" s="221">
        <f>('Pivot Table for Data Exchange'!$L$439)*100</f>
        <v>48.483002161543162</v>
      </c>
      <c r="C302" s="221">
        <f>('Pivot Table for Data Exchange'!$L$442)*100</f>
        <v>26.55487278674692</v>
      </c>
      <c r="D302" s="227">
        <f>SUM(E302:G302)</f>
        <v>24.871827887468253</v>
      </c>
      <c r="E302" s="221">
        <f>('Pivot Table for Data Exchange'!$L$445)*100</f>
        <v>19.89715547495048</v>
      </c>
      <c r="F302" s="221">
        <f>('Pivot Table for Data Exchange'!$L$448)*100</f>
        <v>9.1283419676343847E-2</v>
      </c>
      <c r="G302" s="223">
        <f>('Pivot Table for Data Exchange'!$L$451)*100</f>
        <v>4.8833889928414296</v>
      </c>
      <c r="H302" s="221">
        <f>('Pivot Table for Data Exchange'!$L$454)*100</f>
        <v>9.0297164241665465E-2</v>
      </c>
      <c r="I302" s="65"/>
      <c r="J302" s="81"/>
      <c r="K302" s="81"/>
      <c r="L302" s="81"/>
      <c r="M302" s="81"/>
      <c r="N302" s="81"/>
      <c r="O302" s="81"/>
      <c r="P302" s="81"/>
      <c r="Q302" s="226">
        <f t="shared" si="39"/>
        <v>100</v>
      </c>
      <c r="R302" s="97"/>
      <c r="S302" s="98"/>
      <c r="T302" s="98"/>
      <c r="U302" s="98"/>
      <c r="V302" s="98"/>
      <c r="W302" s="98"/>
      <c r="X302" s="98"/>
      <c r="Y302" s="98"/>
      <c r="Z302" s="98"/>
      <c r="AA302" s="98"/>
      <c r="AB302" s="98"/>
      <c r="AC302" s="98"/>
      <c r="AD302" s="98"/>
      <c r="AE302" s="98"/>
      <c r="AF302" s="98"/>
      <c r="AG302" s="98"/>
      <c r="AH302" s="98"/>
      <c r="AI302" s="98"/>
      <c r="AJ302" s="98"/>
      <c r="AK302" s="98"/>
      <c r="AL302" s="98"/>
      <c r="AM302" s="98"/>
      <c r="AN302" s="98"/>
      <c r="AO302" s="98"/>
    </row>
    <row r="303" spans="1:41" ht="15.75" customHeight="1">
      <c r="A303" s="65" t="s">
        <v>153</v>
      </c>
      <c r="B303" s="221">
        <f>('Pivot Table for Data Exchange'!$L$475)*100</f>
        <v>64.626590822916626</v>
      </c>
      <c r="C303" s="221">
        <f>('Pivot Table for Data Exchange'!$L$478)*100</f>
        <v>11.592754787577471</v>
      </c>
      <c r="D303" s="227">
        <f>SUM(E303:G303)</f>
        <v>23.780654389505891</v>
      </c>
      <c r="E303" s="221">
        <f>('Pivot Table for Data Exchange'!$L$481)*100</f>
        <v>23.552092678379573</v>
      </c>
      <c r="F303" s="221">
        <f>('Pivot Table for Data Exchange'!$L$484)*100</f>
        <v>5.1055545648108859E-2</v>
      </c>
      <c r="G303" s="223">
        <f>('Pivot Table for Data Exchange'!$L$487)*100</f>
        <v>0.17750616547821135</v>
      </c>
      <c r="H303" s="221">
        <f>('Pivot Table for Data Exchange'!$L$490)*100</f>
        <v>0</v>
      </c>
      <c r="I303" s="65"/>
      <c r="J303" s="81"/>
      <c r="K303" s="81"/>
      <c r="L303" s="81"/>
      <c r="M303" s="81"/>
      <c r="N303" s="81"/>
      <c r="O303" s="81"/>
      <c r="P303" s="81"/>
      <c r="Q303" s="226">
        <f t="shared" si="39"/>
        <v>100</v>
      </c>
      <c r="R303" s="97"/>
      <c r="S303" s="98"/>
      <c r="T303" s="98"/>
      <c r="U303" s="98"/>
      <c r="V303" s="98"/>
      <c r="W303" s="98"/>
      <c r="X303" s="98"/>
      <c r="Y303" s="98"/>
      <c r="Z303" s="98"/>
      <c r="AA303" s="98"/>
      <c r="AB303" s="98"/>
      <c r="AC303" s="98"/>
      <c r="AD303" s="98"/>
      <c r="AE303" s="98"/>
      <c r="AF303" s="98"/>
      <c r="AG303" s="98"/>
      <c r="AH303" s="98"/>
      <c r="AI303" s="98"/>
      <c r="AJ303" s="98"/>
      <c r="AK303" s="98"/>
      <c r="AL303" s="98"/>
      <c r="AM303" s="98"/>
      <c r="AN303" s="98"/>
      <c r="AO303" s="98"/>
    </row>
    <row r="304" spans="1:41" ht="15.75" customHeight="1">
      <c r="A304" s="65" t="s">
        <v>154</v>
      </c>
      <c r="B304" s="221">
        <f>('Pivot Table for Data Exchange'!$L$511)*100</f>
        <v>67.199153277918143</v>
      </c>
      <c r="C304" s="221">
        <f>('Pivot Table for Data Exchange'!$L$514)*100</f>
        <v>5.9497853671400618</v>
      </c>
      <c r="D304" s="227">
        <f>SUM(E304:G304)</f>
        <v>26.851061354941798</v>
      </c>
      <c r="E304" s="221">
        <f>('Pivot Table for Data Exchange'!$L$517)*100</f>
        <v>26.776564728822073</v>
      </c>
      <c r="F304" s="221">
        <f>('Pivot Table for Data Exchange'!$L$520)*100</f>
        <v>7.4496626119724685E-2</v>
      </c>
      <c r="G304" s="223">
        <f>('Pivot Table for Data Exchange'!$L$523)*100</f>
        <v>0</v>
      </c>
      <c r="H304" s="221">
        <f>('Pivot Table for Data Exchange'!$L$526)*100</f>
        <v>0</v>
      </c>
      <c r="I304" s="65"/>
      <c r="J304" s="81"/>
      <c r="K304" s="81"/>
      <c r="L304" s="81"/>
      <c r="M304" s="81"/>
      <c r="N304" s="81"/>
      <c r="O304" s="81"/>
      <c r="P304" s="81"/>
      <c r="Q304" s="226">
        <f t="shared" si="39"/>
        <v>100</v>
      </c>
      <c r="R304" s="97"/>
      <c r="S304" s="98"/>
      <c r="T304" s="98"/>
      <c r="U304" s="98"/>
      <c r="V304" s="98"/>
      <c r="W304" s="98"/>
      <c r="X304" s="98"/>
      <c r="Y304" s="98"/>
      <c r="Z304" s="98"/>
      <c r="AA304" s="98"/>
      <c r="AB304" s="98"/>
      <c r="AC304" s="98"/>
      <c r="AD304" s="98"/>
      <c r="AE304" s="98"/>
      <c r="AF304" s="98"/>
      <c r="AG304" s="98"/>
      <c r="AH304" s="98"/>
      <c r="AI304" s="98"/>
      <c r="AJ304" s="98"/>
      <c r="AK304" s="98"/>
      <c r="AL304" s="98"/>
      <c r="AM304" s="98"/>
      <c r="AN304" s="98"/>
      <c r="AO304" s="98"/>
    </row>
    <row r="305" spans="1:41" ht="15.75" customHeight="1">
      <c r="A305" s="39" t="s">
        <v>155</v>
      </c>
      <c r="B305" s="224">
        <f>('Pivot Table for Data Exchange'!$L$547)*100</f>
        <v>0</v>
      </c>
      <c r="C305" s="224">
        <f>('Pivot Table for Data Exchange'!$L$550)*100</f>
        <v>0</v>
      </c>
      <c r="D305" s="228">
        <f>SUM(E305:G305)</f>
        <v>0</v>
      </c>
      <c r="E305" s="224">
        <f>('Pivot Table for Data Exchange'!$L$553)*100</f>
        <v>0</v>
      </c>
      <c r="F305" s="224">
        <f>('Pivot Table for Data Exchange'!$L$556)*100</f>
        <v>0</v>
      </c>
      <c r="G305" s="225">
        <f>('Pivot Table for Data Exchange'!$L$559)*100</f>
        <v>0</v>
      </c>
      <c r="H305" s="224">
        <f>('Pivot Table for Data Exchange'!$L$562)*100</f>
        <v>0</v>
      </c>
      <c r="I305" s="65"/>
      <c r="J305" s="81"/>
      <c r="K305" s="81"/>
      <c r="L305" s="81"/>
      <c r="M305" s="81"/>
      <c r="N305" s="81"/>
      <c r="O305" s="81"/>
      <c r="P305" s="81"/>
      <c r="Q305" s="226">
        <f t="shared" si="39"/>
        <v>0</v>
      </c>
      <c r="R305" s="97"/>
      <c r="S305" s="98"/>
      <c r="T305" s="98"/>
      <c r="U305" s="98"/>
      <c r="V305" s="98"/>
      <c r="W305" s="98"/>
      <c r="X305" s="98"/>
      <c r="Y305" s="98"/>
      <c r="Z305" s="98"/>
      <c r="AA305" s="98"/>
      <c r="AB305" s="98"/>
      <c r="AC305" s="98"/>
      <c r="AD305" s="98"/>
      <c r="AE305" s="98"/>
      <c r="AF305" s="98"/>
      <c r="AG305" s="98"/>
      <c r="AH305" s="98"/>
      <c r="AI305" s="98"/>
      <c r="AJ305" s="98"/>
      <c r="AK305" s="98"/>
      <c r="AL305" s="98"/>
      <c r="AM305" s="98"/>
      <c r="AN305" s="98"/>
      <c r="AO305" s="98"/>
    </row>
    <row r="306" spans="1:41" s="103" customFormat="1" ht="13.5" customHeight="1">
      <c r="A306" s="691" t="s">
        <v>175</v>
      </c>
      <c r="B306" s="69"/>
      <c r="C306" s="69"/>
      <c r="D306" s="70"/>
      <c r="E306" s="69"/>
      <c r="F306" s="70"/>
      <c r="G306" s="70"/>
      <c r="H306" s="69"/>
      <c r="I306" s="24"/>
      <c r="J306" s="69"/>
      <c r="K306" s="69"/>
      <c r="L306" s="70"/>
      <c r="M306" s="69"/>
      <c r="N306" s="70"/>
      <c r="O306" s="70"/>
      <c r="P306" s="69"/>
      <c r="Q306" s="226">
        <f t="shared" si="39"/>
        <v>0</v>
      </c>
      <c r="R306" s="101"/>
      <c r="S306" s="102"/>
      <c r="T306" s="102"/>
      <c r="U306" s="102"/>
      <c r="V306" s="102"/>
      <c r="W306" s="102"/>
      <c r="X306" s="102"/>
      <c r="Y306" s="102"/>
      <c r="Z306" s="102"/>
      <c r="AA306" s="102"/>
      <c r="AB306" s="102"/>
      <c r="AC306" s="102"/>
      <c r="AD306" s="102"/>
      <c r="AE306" s="102"/>
      <c r="AF306" s="102"/>
      <c r="AG306" s="102"/>
      <c r="AH306" s="102"/>
      <c r="AI306" s="102"/>
      <c r="AJ306" s="102"/>
      <c r="AK306" s="102"/>
      <c r="AL306" s="102"/>
      <c r="AM306" s="102"/>
      <c r="AN306" s="102"/>
      <c r="AO306" s="102"/>
    </row>
    <row r="307" spans="1:41" s="103" customFormat="1" ht="24" customHeight="1">
      <c r="A307" s="666" t="s">
        <v>180</v>
      </c>
      <c r="B307" s="692"/>
      <c r="C307" s="692"/>
      <c r="D307" s="692"/>
      <c r="E307" s="692"/>
      <c r="F307" s="692"/>
      <c r="G307" s="692"/>
      <c r="H307" s="692"/>
      <c r="I307" s="24"/>
      <c r="J307" s="25"/>
      <c r="K307" s="25"/>
      <c r="L307" s="25"/>
      <c r="M307" s="25"/>
      <c r="N307" s="25"/>
      <c r="O307" s="25"/>
      <c r="P307" s="77"/>
      <c r="Q307" s="226">
        <f t="shared" si="39"/>
        <v>0</v>
      </c>
      <c r="R307" s="106"/>
    </row>
    <row r="308" spans="1:41" s="103" customFormat="1" ht="13.5" customHeight="1">
      <c r="A308" s="75"/>
      <c r="B308" s="25"/>
      <c r="C308" s="25"/>
      <c r="D308" s="25"/>
      <c r="E308" s="25"/>
      <c r="F308" s="25"/>
      <c r="G308" s="25"/>
      <c r="H308" s="26"/>
      <c r="I308" s="75"/>
      <c r="J308" s="25"/>
      <c r="K308" s="25"/>
      <c r="L308" s="25"/>
      <c r="M308" s="25"/>
      <c r="N308" s="25"/>
      <c r="O308" s="25"/>
      <c r="P308" s="25"/>
      <c r="Q308" s="226">
        <f t="shared" si="39"/>
        <v>0</v>
      </c>
      <c r="R308" s="106"/>
    </row>
    <row r="309" spans="1:41" s="103" customFormat="1">
      <c r="A309" s="26"/>
      <c r="B309" s="25"/>
      <c r="C309" s="25"/>
      <c r="D309" s="25"/>
      <c r="E309" s="25"/>
      <c r="F309" s="25"/>
      <c r="G309" s="25"/>
      <c r="H309" s="27" t="s">
        <v>899</v>
      </c>
      <c r="I309" s="85"/>
      <c r="J309" s="26"/>
      <c r="K309" s="26"/>
      <c r="L309" s="26"/>
      <c r="M309" s="26"/>
      <c r="N309" s="26"/>
      <c r="O309" s="26"/>
      <c r="P309" s="26"/>
      <c r="Q309" s="226">
        <f t="shared" si="39"/>
        <v>0</v>
      </c>
      <c r="R309" s="106"/>
    </row>
    <row r="310" spans="1:41" ht="18">
      <c r="A310" s="16" t="s">
        <v>210</v>
      </c>
      <c r="B310" s="34"/>
      <c r="C310" s="34"/>
      <c r="D310" s="34"/>
      <c r="E310" s="34"/>
      <c r="F310" s="34"/>
      <c r="G310" s="34"/>
      <c r="H310" s="35"/>
      <c r="I310" s="80"/>
      <c r="J310" s="65"/>
      <c r="K310" s="65"/>
      <c r="L310" s="65"/>
      <c r="M310" s="65"/>
      <c r="N310" s="65"/>
      <c r="O310" s="65"/>
      <c r="P310" s="65"/>
      <c r="Q310" s="226">
        <f t="shared" si="39"/>
        <v>0</v>
      </c>
    </row>
    <row r="311" spans="1:41">
      <c r="A311" s="18"/>
      <c r="B311" s="19"/>
      <c r="C311" s="19"/>
      <c r="D311" s="19"/>
      <c r="E311" s="19"/>
      <c r="F311" s="19"/>
      <c r="G311" s="19"/>
      <c r="H311" s="36"/>
      <c r="I311" s="80"/>
      <c r="J311" s="65"/>
      <c r="K311" s="65"/>
      <c r="L311" s="65"/>
      <c r="M311" s="65"/>
      <c r="N311" s="65"/>
      <c r="O311" s="65"/>
      <c r="P311" s="65"/>
      <c r="Q311" s="226">
        <f t="shared" si="39"/>
        <v>0</v>
      </c>
    </row>
    <row r="312" spans="1:41" ht="15.75">
      <c r="A312" s="37" t="s">
        <v>162</v>
      </c>
      <c r="B312" s="19"/>
      <c r="C312" s="19"/>
      <c r="D312" s="19"/>
      <c r="E312" s="19"/>
      <c r="F312" s="19"/>
      <c r="G312" s="19"/>
      <c r="H312" s="36"/>
      <c r="I312" s="80"/>
      <c r="J312" s="65"/>
      <c r="K312" s="65"/>
      <c r="L312" s="65"/>
      <c r="M312" s="65"/>
      <c r="N312" s="65"/>
      <c r="O312" s="65"/>
      <c r="P312" s="65"/>
      <c r="Q312" s="226">
        <f t="shared" si="39"/>
        <v>0</v>
      </c>
    </row>
    <row r="313" spans="1:41" ht="15.75">
      <c r="A313" s="37" t="s">
        <v>910</v>
      </c>
      <c r="B313" s="19"/>
      <c r="C313" s="19"/>
      <c r="D313" s="19"/>
      <c r="E313" s="19"/>
      <c r="F313" s="19"/>
      <c r="G313" s="19"/>
      <c r="H313" s="36"/>
      <c r="I313" s="80"/>
      <c r="J313" s="65"/>
      <c r="K313" s="65"/>
      <c r="L313" s="65"/>
      <c r="M313" s="65"/>
      <c r="N313" s="65"/>
      <c r="O313" s="65"/>
      <c r="P313" s="65"/>
      <c r="Q313" s="226">
        <f t="shared" si="39"/>
        <v>0</v>
      </c>
    </row>
    <row r="314" spans="1:41">
      <c r="A314" s="39"/>
      <c r="B314" s="40"/>
      <c r="C314" s="40"/>
      <c r="D314" s="40"/>
      <c r="E314" s="40"/>
      <c r="F314" s="40"/>
      <c r="G314" s="40"/>
      <c r="H314" s="40"/>
      <c r="I314" s="80"/>
      <c r="J314" s="65"/>
      <c r="K314" s="65"/>
      <c r="L314" s="65"/>
      <c r="M314" s="65"/>
      <c r="N314" s="65"/>
      <c r="O314" s="65"/>
      <c r="P314" s="65"/>
      <c r="Q314" s="226">
        <f t="shared" si="39"/>
        <v>0</v>
      </c>
    </row>
    <row r="315" spans="1:41">
      <c r="A315" s="43"/>
      <c r="B315" s="44" t="s">
        <v>164</v>
      </c>
      <c r="C315" s="44"/>
      <c r="D315" s="44"/>
      <c r="E315" s="44"/>
      <c r="F315" s="44"/>
      <c r="G315" s="44"/>
      <c r="H315" s="45"/>
      <c r="I315" s="80"/>
      <c r="J315" s="65"/>
      <c r="K315" s="65"/>
      <c r="L315" s="65"/>
      <c r="M315" s="65"/>
      <c r="N315" s="65"/>
      <c r="O315" s="65"/>
      <c r="P315" s="65"/>
      <c r="Q315" s="226">
        <f t="shared" si="39"/>
        <v>0</v>
      </c>
    </row>
    <row r="316" spans="1:41">
      <c r="A316" s="43"/>
      <c r="B316" s="44" t="s">
        <v>165</v>
      </c>
      <c r="C316" s="44"/>
      <c r="D316" s="670" t="s">
        <v>166</v>
      </c>
      <c r="E316" s="668"/>
      <c r="F316" s="668"/>
      <c r="G316" s="668"/>
      <c r="H316" s="49" t="s">
        <v>39</v>
      </c>
      <c r="I316" s="80"/>
      <c r="J316" s="65"/>
      <c r="K316" s="65"/>
      <c r="L316" s="65"/>
      <c r="M316" s="65"/>
      <c r="N316" s="65"/>
      <c r="O316" s="65"/>
      <c r="P316" s="65"/>
      <c r="Q316" s="226">
        <f t="shared" si="39"/>
        <v>0</v>
      </c>
    </row>
    <row r="317" spans="1:41" ht="36">
      <c r="A317" s="43"/>
      <c r="B317" s="50" t="s">
        <v>167</v>
      </c>
      <c r="C317" s="51" t="s">
        <v>168</v>
      </c>
      <c r="D317" s="52" t="s">
        <v>169</v>
      </c>
      <c r="E317" s="53" t="s">
        <v>7</v>
      </c>
      <c r="F317" s="50" t="s">
        <v>170</v>
      </c>
      <c r="G317" s="54" t="s">
        <v>171</v>
      </c>
      <c r="H317" s="55" t="s">
        <v>172</v>
      </c>
      <c r="I317" s="80"/>
      <c r="J317" s="65"/>
      <c r="K317" s="65"/>
      <c r="L317" s="65"/>
      <c r="M317" s="65"/>
      <c r="N317" s="65"/>
      <c r="O317" s="65"/>
      <c r="P317" s="65"/>
      <c r="Q317" s="226">
        <f t="shared" si="39"/>
        <v>0</v>
      </c>
    </row>
    <row r="318" spans="1:41" ht="15.75" customHeight="1">
      <c r="A318" s="62" t="s">
        <v>141</v>
      </c>
      <c r="B318" s="82">
        <f>('Pivot Table for Data Exchange'!$M$7)*100</f>
        <v>66.186971692789541</v>
      </c>
      <c r="C318" s="221">
        <f>('Pivot Table for Data Exchange'!$M$10)*100</f>
        <v>17.132628175212982</v>
      </c>
      <c r="D318" s="227">
        <f>SUM(E318:G318)</f>
        <v>16.68040013199748</v>
      </c>
      <c r="E318" s="221">
        <f>('Pivot Table for Data Exchange'!$M$13)*100</f>
        <v>15.99034231475931</v>
      </c>
      <c r="F318" s="221">
        <f>('Pivot Table for Data Exchange'!$M$16)*100</f>
        <v>0.47731927963743648</v>
      </c>
      <c r="G318" s="60">
        <f>('Pivot Table for Data Exchange'!$M$19)*100</f>
        <v>0.21273853760073105</v>
      </c>
      <c r="H318" s="221">
        <f>('Pivot Table for Data Exchange'!$M$22)*100</f>
        <v>0</v>
      </c>
      <c r="I318" s="65"/>
      <c r="J318" s="81"/>
      <c r="K318" s="81"/>
      <c r="L318" s="81"/>
      <c r="M318" s="81"/>
      <c r="N318" s="81"/>
      <c r="O318" s="81"/>
      <c r="P318" s="81"/>
      <c r="Q318" s="226">
        <f t="shared" si="39"/>
        <v>100</v>
      </c>
      <c r="R318" s="97"/>
      <c r="S318" s="98"/>
      <c r="T318" s="98"/>
      <c r="U318" s="98"/>
      <c r="V318" s="98"/>
      <c r="W318" s="98"/>
      <c r="X318" s="98"/>
      <c r="Y318" s="98"/>
      <c r="Z318" s="98"/>
      <c r="AA318" s="98"/>
      <c r="AB318" s="98"/>
      <c r="AC318" s="98"/>
      <c r="AD318" s="98"/>
      <c r="AE318" s="98"/>
      <c r="AF318" s="98"/>
      <c r="AG318" s="98"/>
      <c r="AH318" s="98"/>
      <c r="AI318" s="98"/>
      <c r="AJ318" s="98"/>
      <c r="AK318" s="98"/>
      <c r="AL318" s="98"/>
      <c r="AM318" s="98"/>
      <c r="AN318" s="98"/>
      <c r="AO318" s="98"/>
    </row>
    <row r="319" spans="1:41" ht="15.75" customHeight="1">
      <c r="A319" s="65" t="s">
        <v>142</v>
      </c>
      <c r="B319" s="221">
        <f>('Pivot Table for Data Exchange'!$M$43)*100</f>
        <v>73.02913774980577</v>
      </c>
      <c r="C319" s="221">
        <f>('Pivot Table for Data Exchange'!$M$46)*100</f>
        <v>6.614915550796832</v>
      </c>
      <c r="D319" s="227">
        <f t="shared" ref="D319:D321" si="42">SUM(E319:G319)</f>
        <v>20.3559466993974</v>
      </c>
      <c r="E319" s="221">
        <f>('Pivot Table for Data Exchange'!$M$49)*100</f>
        <v>20.3559466993974</v>
      </c>
      <c r="F319" s="221">
        <f>('Pivot Table for Data Exchange'!$M$52)*100</f>
        <v>0</v>
      </c>
      <c r="G319" s="223">
        <f>('Pivot Table for Data Exchange'!$M$55)*100</f>
        <v>0</v>
      </c>
      <c r="H319" s="221">
        <f>('Pivot Table for Data Exchange'!$M$58)*100</f>
        <v>0</v>
      </c>
      <c r="I319" s="65"/>
      <c r="J319" s="81"/>
      <c r="K319" s="81"/>
      <c r="L319" s="81"/>
      <c r="M319" s="81"/>
      <c r="N319" s="81"/>
      <c r="O319" s="81"/>
      <c r="P319" s="81"/>
      <c r="Q319" s="226">
        <f t="shared" si="39"/>
        <v>100</v>
      </c>
      <c r="R319" s="97"/>
      <c r="S319" s="98"/>
      <c r="T319" s="98"/>
      <c r="U319" s="98"/>
      <c r="V319" s="98"/>
      <c r="W319" s="98"/>
      <c r="X319" s="98"/>
      <c r="Y319" s="98"/>
      <c r="Z319" s="98"/>
      <c r="AA319" s="98"/>
      <c r="AB319" s="98"/>
      <c r="AC319" s="98"/>
      <c r="AD319" s="98"/>
      <c r="AE319" s="98"/>
      <c r="AF319" s="98"/>
      <c r="AG319" s="98"/>
      <c r="AH319" s="98"/>
      <c r="AI319" s="98"/>
      <c r="AJ319" s="98"/>
      <c r="AK319" s="98"/>
      <c r="AL319" s="98"/>
      <c r="AM319" s="98"/>
      <c r="AN319" s="98"/>
      <c r="AO319" s="98"/>
    </row>
    <row r="320" spans="1:41" ht="15.75" customHeight="1">
      <c r="A320" s="65" t="s">
        <v>143</v>
      </c>
      <c r="B320" s="221">
        <f>('Pivot Table for Data Exchange'!$M$79)*100</f>
        <v>87.404616588917378</v>
      </c>
      <c r="C320" s="221">
        <f>('Pivot Table for Data Exchange'!$M$82)*100</f>
        <v>0</v>
      </c>
      <c r="D320" s="227">
        <f t="shared" si="42"/>
        <v>12.595383411082615</v>
      </c>
      <c r="E320" s="221">
        <f>('Pivot Table for Data Exchange'!$M$85)*100</f>
        <v>12.088793284498724</v>
      </c>
      <c r="F320" s="221">
        <f>('Pivot Table for Data Exchange'!$M$88)*100</f>
        <v>0.39967160740538032</v>
      </c>
      <c r="G320" s="223">
        <f>('Pivot Table for Data Exchange'!$M$91)*100</f>
        <v>0.10691851917850938</v>
      </c>
      <c r="H320" s="221">
        <f>('Pivot Table for Data Exchange'!$M$94)*100</f>
        <v>0</v>
      </c>
      <c r="I320" s="65"/>
      <c r="J320" s="81"/>
      <c r="K320" s="81"/>
      <c r="L320" s="81"/>
      <c r="M320" s="81"/>
      <c r="N320" s="81"/>
      <c r="O320" s="81"/>
      <c r="P320" s="81"/>
      <c r="Q320" s="226">
        <f t="shared" si="39"/>
        <v>100</v>
      </c>
      <c r="R320" s="97"/>
      <c r="S320" s="98"/>
      <c r="T320" s="104"/>
      <c r="U320" s="98"/>
      <c r="V320" s="98"/>
      <c r="W320" s="98"/>
      <c r="X320" s="98"/>
      <c r="Y320" s="98"/>
      <c r="Z320" s="98"/>
      <c r="AA320" s="98"/>
      <c r="AB320" s="98"/>
      <c r="AC320" s="98"/>
      <c r="AD320" s="98"/>
      <c r="AE320" s="98"/>
      <c r="AF320" s="98"/>
      <c r="AG320" s="98"/>
      <c r="AH320" s="98"/>
      <c r="AI320" s="98"/>
      <c r="AJ320" s="98"/>
      <c r="AK320" s="98"/>
      <c r="AL320" s="98"/>
      <c r="AM320" s="98"/>
      <c r="AN320" s="98"/>
      <c r="AO320" s="98"/>
    </row>
    <row r="321" spans="1:41" ht="15.75" customHeight="1">
      <c r="A321" s="65" t="s">
        <v>174</v>
      </c>
      <c r="B321" s="221">
        <f>('Pivot Table for Data Exchange'!$M$115)*100</f>
        <v>65.99183006535948</v>
      </c>
      <c r="C321" s="221">
        <f>('Pivot Table for Data Exchange'!$M$118)*100</f>
        <v>8.003812636165577</v>
      </c>
      <c r="D321" s="227">
        <f t="shared" si="42"/>
        <v>26.004357298474947</v>
      </c>
      <c r="E321" s="221">
        <f>('Pivot Table for Data Exchange'!$M$121)*100</f>
        <v>25.421568627450981</v>
      </c>
      <c r="F321" s="221">
        <f>('Pivot Table for Data Exchange'!$M$124)*100</f>
        <v>0.55501089324618735</v>
      </c>
      <c r="G321" s="68">
        <f>('Pivot Table for Data Exchange'!$M$127)*100</f>
        <v>2.7777777777777776E-2</v>
      </c>
      <c r="H321" s="221">
        <f>('Pivot Table for Data Exchange'!$M$130)*100</f>
        <v>0</v>
      </c>
      <c r="I321" s="65"/>
      <c r="J321" s="81"/>
      <c r="K321" s="81"/>
      <c r="L321" s="81"/>
      <c r="M321" s="81"/>
      <c r="N321" s="81"/>
      <c r="O321" s="81"/>
      <c r="P321" s="81"/>
      <c r="Q321" s="226">
        <f t="shared" si="39"/>
        <v>100</v>
      </c>
      <c r="R321" s="97"/>
      <c r="S321" s="98"/>
      <c r="U321" s="98"/>
      <c r="V321" s="98"/>
      <c r="W321" s="98"/>
      <c r="X321" s="98"/>
      <c r="Y321" s="98"/>
      <c r="Z321" s="98"/>
      <c r="AA321" s="98"/>
      <c r="AB321" s="98"/>
      <c r="AC321" s="98"/>
      <c r="AD321" s="98"/>
      <c r="AE321" s="98"/>
      <c r="AF321" s="98"/>
      <c r="AG321" s="98"/>
      <c r="AH321" s="98"/>
      <c r="AI321" s="98"/>
      <c r="AJ321" s="98"/>
      <c r="AK321" s="98"/>
      <c r="AL321" s="98"/>
      <c r="AM321" s="98"/>
      <c r="AN321" s="98"/>
      <c r="AO321" s="98"/>
    </row>
    <row r="322" spans="1:41" ht="15.75" customHeight="1">
      <c r="A322" s="65"/>
      <c r="B322" s="221"/>
      <c r="C322" s="221"/>
      <c r="D322" s="227"/>
      <c r="E322" s="221"/>
      <c r="F322" s="221"/>
      <c r="G322" s="223"/>
      <c r="H322" s="221"/>
      <c r="I322" s="65"/>
      <c r="J322" s="81"/>
      <c r="K322" s="81"/>
      <c r="L322" s="81"/>
      <c r="M322" s="81"/>
      <c r="N322" s="81"/>
      <c r="O322" s="81"/>
      <c r="P322" s="81"/>
      <c r="Q322" s="226">
        <f t="shared" si="39"/>
        <v>0</v>
      </c>
      <c r="R322" s="97"/>
      <c r="S322" s="98"/>
      <c r="U322" s="98"/>
      <c r="V322" s="98"/>
      <c r="W322" s="98"/>
      <c r="X322" s="98"/>
      <c r="Y322" s="98"/>
      <c r="Z322" s="98"/>
      <c r="AA322" s="98"/>
      <c r="AB322" s="98"/>
      <c r="AC322" s="98"/>
      <c r="AD322" s="98"/>
      <c r="AE322" s="98"/>
      <c r="AF322" s="98"/>
      <c r="AG322" s="98"/>
      <c r="AH322" s="98"/>
      <c r="AI322" s="98"/>
      <c r="AJ322" s="98"/>
      <c r="AK322" s="98"/>
      <c r="AL322" s="98"/>
      <c r="AM322" s="98"/>
      <c r="AN322" s="98"/>
      <c r="AO322" s="98"/>
    </row>
    <row r="323" spans="1:41" ht="15.75" customHeight="1">
      <c r="A323" s="65" t="s">
        <v>145</v>
      </c>
      <c r="B323" s="221">
        <f>('Pivot Table for Data Exchange'!$M$151)*100</f>
        <v>61.197722757725217</v>
      </c>
      <c r="C323" s="221">
        <f>('Pivot Table for Data Exchange'!$M$154)*100</f>
        <v>14.460430044102345</v>
      </c>
      <c r="D323" s="227">
        <f t="shared" ref="D323:D324" si="43">SUM(E323:G323)</f>
        <v>24.248405901207242</v>
      </c>
      <c r="E323" s="221">
        <f>('Pivot Table for Data Exchange'!$M$157)*100</f>
        <v>23.971391389579153</v>
      </c>
      <c r="F323" s="221">
        <f>('Pivot Table for Data Exchange'!$M$160)*100</f>
        <v>0.10278542666172207</v>
      </c>
      <c r="G323" s="223">
        <f>('Pivot Table for Data Exchange'!$M$163)*100</f>
        <v>0.17422908496636599</v>
      </c>
      <c r="H323" s="221">
        <f>('Pivot Table for Data Exchange'!$M$166)*100</f>
        <v>9.344129696520187E-2</v>
      </c>
      <c r="I323" s="65"/>
      <c r="J323" s="81"/>
      <c r="K323" s="81"/>
      <c r="L323" s="81"/>
      <c r="M323" s="81"/>
      <c r="N323" s="81"/>
      <c r="O323" s="81"/>
      <c r="P323" s="81"/>
      <c r="Q323" s="226">
        <f t="shared" si="39"/>
        <v>99.999999999999986</v>
      </c>
      <c r="R323" s="97"/>
      <c r="S323" s="98"/>
      <c r="T323" s="98"/>
      <c r="U323" s="98"/>
      <c r="V323" s="98"/>
      <c r="W323" s="98"/>
      <c r="X323" s="98"/>
      <c r="Y323" s="98"/>
      <c r="Z323" s="98"/>
      <c r="AA323" s="98"/>
      <c r="AB323" s="98"/>
      <c r="AC323" s="98"/>
      <c r="AD323" s="98"/>
      <c r="AE323" s="98"/>
      <c r="AF323" s="98"/>
      <c r="AG323" s="98"/>
      <c r="AH323" s="98"/>
      <c r="AI323" s="98"/>
      <c r="AJ323" s="98"/>
      <c r="AK323" s="98"/>
      <c r="AL323" s="98"/>
      <c r="AM323" s="98"/>
      <c r="AN323" s="98"/>
      <c r="AO323" s="98"/>
    </row>
    <row r="324" spans="1:41" ht="15.75" customHeight="1">
      <c r="A324" s="65" t="s">
        <v>146</v>
      </c>
      <c r="B324" s="221">
        <f>('Pivot Table for Data Exchange'!$M$187)*100</f>
        <v>55.903688099629989</v>
      </c>
      <c r="C324" s="221">
        <f>('Pivot Table for Data Exchange'!$M$190)*100</f>
        <v>5.1263384232528182</v>
      </c>
      <c r="D324" s="227">
        <f t="shared" si="43"/>
        <v>38.969973477117193</v>
      </c>
      <c r="E324" s="221">
        <f>('Pivot Table for Data Exchange'!$M$193)*100</f>
        <v>38.969973477117193</v>
      </c>
      <c r="F324" s="221">
        <f>('Pivot Table for Data Exchange'!$M$196)*100</f>
        <v>0</v>
      </c>
      <c r="G324" s="223">
        <f>('Pivot Table for Data Exchange'!$M$199)*100</f>
        <v>0</v>
      </c>
      <c r="H324" s="221">
        <f>('Pivot Table for Data Exchange'!$M$202)*100</f>
        <v>0</v>
      </c>
      <c r="I324" s="65"/>
      <c r="J324" s="81"/>
      <c r="K324" s="81"/>
      <c r="L324" s="81"/>
      <c r="M324" s="81"/>
      <c r="N324" s="81"/>
      <c r="O324" s="81"/>
      <c r="P324" s="81"/>
      <c r="Q324" s="226">
        <f t="shared" si="39"/>
        <v>100</v>
      </c>
      <c r="R324" s="97"/>
      <c r="S324" s="98"/>
      <c r="T324" s="98"/>
      <c r="U324" s="98"/>
      <c r="V324" s="98"/>
      <c r="W324" s="98"/>
      <c r="X324" s="98"/>
      <c r="Y324" s="98"/>
      <c r="Z324" s="98"/>
      <c r="AA324" s="98"/>
      <c r="AB324" s="98"/>
      <c r="AC324" s="98"/>
      <c r="AD324" s="98"/>
      <c r="AE324" s="98"/>
      <c r="AF324" s="98"/>
      <c r="AG324" s="98"/>
      <c r="AH324" s="98"/>
      <c r="AI324" s="98"/>
      <c r="AJ324" s="98"/>
      <c r="AK324" s="98"/>
      <c r="AL324" s="98"/>
      <c r="AM324" s="98"/>
      <c r="AN324" s="98"/>
      <c r="AO324" s="98"/>
    </row>
    <row r="325" spans="1:41" ht="15.75" customHeight="1">
      <c r="A325" s="65" t="s">
        <v>147</v>
      </c>
      <c r="B325" s="221">
        <f>('Pivot Table for Data Exchange'!$M$223)*100</f>
        <v>0</v>
      </c>
      <c r="C325" s="221">
        <f>('Pivot Table for Data Exchange'!$M$226)*100</f>
        <v>0</v>
      </c>
      <c r="D325" s="227">
        <f>SUM(E325:G325)</f>
        <v>0</v>
      </c>
      <c r="E325" s="221">
        <f>('Pivot Table for Data Exchange'!$M$229)*100</f>
        <v>0</v>
      </c>
      <c r="F325" s="221">
        <f>('Pivot Table for Data Exchange'!$M$232)*100</f>
        <v>0</v>
      </c>
      <c r="G325" s="223">
        <f>('Pivot Table for Data Exchange'!$M$235)*100</f>
        <v>0</v>
      </c>
      <c r="H325" s="221">
        <f>('Pivot Table for Data Exchange'!$M$238)*100</f>
        <v>0</v>
      </c>
      <c r="I325" s="65"/>
      <c r="J325" s="81"/>
      <c r="K325" s="81"/>
      <c r="L325" s="81"/>
      <c r="M325" s="81"/>
      <c r="N325" s="81"/>
      <c r="O325" s="81"/>
      <c r="P325" s="81"/>
      <c r="Q325" s="226">
        <f t="shared" si="39"/>
        <v>0</v>
      </c>
      <c r="R325" s="97"/>
      <c r="S325" s="98"/>
      <c r="T325" s="104"/>
      <c r="U325" s="98"/>
      <c r="V325" s="98"/>
      <c r="W325" s="98"/>
      <c r="X325" s="98"/>
      <c r="Y325" s="98"/>
      <c r="Z325" s="98"/>
      <c r="AA325" s="98"/>
      <c r="AB325" s="98"/>
      <c r="AC325" s="98"/>
      <c r="AD325" s="98"/>
      <c r="AE325" s="98"/>
      <c r="AF325" s="98"/>
      <c r="AG325" s="98"/>
      <c r="AH325" s="98"/>
      <c r="AI325" s="98"/>
      <c r="AJ325" s="98"/>
      <c r="AK325" s="98"/>
      <c r="AL325" s="98"/>
      <c r="AM325" s="98"/>
      <c r="AN325" s="98"/>
      <c r="AO325" s="98"/>
    </row>
    <row r="326" spans="1:41" ht="15.75" customHeight="1">
      <c r="A326" s="65" t="s">
        <v>177</v>
      </c>
      <c r="B326" s="221">
        <f>('Pivot Table for Data Exchange'!$M$259)*100</f>
        <v>74.735451738824409</v>
      </c>
      <c r="C326" s="221">
        <f>('Pivot Table for Data Exchange'!$M$262)*100</f>
        <v>5.4047159937409175</v>
      </c>
      <c r="D326" s="227">
        <f>SUM(E326:G326)</f>
        <v>19.846918725194243</v>
      </c>
      <c r="E326" s="221">
        <f>('Pivot Table for Data Exchange'!$M$265)*100</f>
        <v>19.40307549559704</v>
      </c>
      <c r="F326" s="221">
        <f>('Pivot Table for Data Exchange'!$M$268)*100</f>
        <v>0.44384322959720107</v>
      </c>
      <c r="G326" s="223">
        <f>('Pivot Table for Data Exchange'!$M$271)*100</f>
        <v>0</v>
      </c>
      <c r="H326" s="67">
        <f>('Pivot Table for Data Exchange'!$M$274)*100</f>
        <v>1.2913542240435807E-2</v>
      </c>
      <c r="I326" s="65"/>
      <c r="J326" s="81"/>
      <c r="K326" s="81"/>
      <c r="L326" s="81"/>
      <c r="M326" s="81"/>
      <c r="N326" s="81"/>
      <c r="O326" s="81"/>
      <c r="P326" s="81"/>
      <c r="Q326" s="226">
        <f t="shared" si="39"/>
        <v>100.00000000000001</v>
      </c>
      <c r="R326" s="97"/>
      <c r="S326" s="98"/>
      <c r="U326" s="98"/>
      <c r="V326" s="98"/>
      <c r="W326" s="98"/>
      <c r="X326" s="98"/>
      <c r="Y326" s="98"/>
      <c r="Z326" s="98"/>
      <c r="AA326" s="98"/>
      <c r="AB326" s="98"/>
      <c r="AC326" s="98"/>
      <c r="AD326" s="98"/>
      <c r="AE326" s="98"/>
      <c r="AF326" s="98"/>
      <c r="AG326" s="98"/>
      <c r="AH326" s="98"/>
      <c r="AI326" s="98"/>
      <c r="AJ326" s="98"/>
      <c r="AK326" s="98"/>
      <c r="AL326" s="98"/>
      <c r="AM326" s="98"/>
      <c r="AN326" s="98"/>
      <c r="AO326" s="98"/>
    </row>
    <row r="327" spans="1:41" ht="12" customHeight="1">
      <c r="A327" s="65"/>
      <c r="B327" s="221"/>
      <c r="C327" s="221"/>
      <c r="D327" s="227"/>
      <c r="E327" s="221"/>
      <c r="F327" s="221"/>
      <c r="G327" s="223"/>
      <c r="H327" s="221"/>
      <c r="I327" s="65"/>
      <c r="J327" s="81"/>
      <c r="K327" s="81"/>
      <c r="L327" s="81"/>
      <c r="M327" s="81"/>
      <c r="N327" s="81"/>
      <c r="O327" s="81"/>
      <c r="P327" s="81"/>
      <c r="Q327" s="226">
        <f t="shared" si="39"/>
        <v>0</v>
      </c>
      <c r="R327" s="97"/>
      <c r="S327" s="98"/>
      <c r="U327" s="98"/>
      <c r="V327" s="98"/>
      <c r="W327" s="98"/>
      <c r="X327" s="98"/>
      <c r="Y327" s="98"/>
      <c r="Z327" s="98"/>
      <c r="AA327" s="98"/>
      <c r="AB327" s="98"/>
      <c r="AC327" s="98"/>
      <c r="AD327" s="98"/>
      <c r="AE327" s="98"/>
      <c r="AF327" s="98"/>
      <c r="AG327" s="98"/>
      <c r="AH327" s="98"/>
      <c r="AI327" s="98"/>
      <c r="AJ327" s="98"/>
      <c r="AK327" s="98"/>
      <c r="AL327" s="98"/>
      <c r="AM327" s="98"/>
      <c r="AN327" s="98"/>
      <c r="AO327" s="98"/>
    </row>
    <row r="328" spans="1:41" ht="15.75" customHeight="1">
      <c r="A328" s="65" t="s">
        <v>179</v>
      </c>
      <c r="B328" s="221">
        <f>('Pivot Table for Data Exchange'!$M$295)*100</f>
        <v>78.337833546896434</v>
      </c>
      <c r="C328" s="221">
        <f>('Pivot Table for Data Exchange'!$M$298)*100</f>
        <v>0</v>
      </c>
      <c r="D328" s="227">
        <f>SUM(E328:G328)</f>
        <v>21.66216645310357</v>
      </c>
      <c r="E328" s="221">
        <f>('Pivot Table for Data Exchange'!$M$301)*100</f>
        <v>21.66216645310357</v>
      </c>
      <c r="F328" s="221">
        <f>('Pivot Table for Data Exchange'!$M$304)*100</f>
        <v>0</v>
      </c>
      <c r="G328" s="223">
        <f>('Pivot Table for Data Exchange'!$M$307)*100</f>
        <v>0</v>
      </c>
      <c r="H328" s="221">
        <f>('Pivot Table for Data Exchange'!$M$310)*100</f>
        <v>0</v>
      </c>
      <c r="I328" s="86"/>
      <c r="J328" s="81"/>
      <c r="K328" s="81"/>
      <c r="L328" s="81"/>
      <c r="M328" s="81"/>
      <c r="N328" s="81"/>
      <c r="O328" s="81"/>
      <c r="P328" s="81"/>
      <c r="Q328" s="226">
        <f t="shared" si="39"/>
        <v>100</v>
      </c>
      <c r="R328" s="97"/>
      <c r="S328" s="98"/>
      <c r="T328" s="98"/>
      <c r="U328" s="98"/>
      <c r="V328" s="98"/>
      <c r="W328" s="98"/>
      <c r="X328" s="98"/>
      <c r="Y328" s="98"/>
      <c r="Z328" s="98"/>
      <c r="AA328" s="98"/>
      <c r="AB328" s="98"/>
      <c r="AC328" s="98"/>
      <c r="AD328" s="98"/>
      <c r="AE328" s="98"/>
      <c r="AF328" s="98"/>
      <c r="AG328" s="98"/>
      <c r="AH328" s="98"/>
      <c r="AI328" s="98"/>
      <c r="AJ328" s="98"/>
      <c r="AK328" s="98"/>
      <c r="AL328" s="98"/>
      <c r="AM328" s="98"/>
      <c r="AN328" s="98"/>
      <c r="AO328" s="98"/>
    </row>
    <row r="329" spans="1:41" ht="15.75" customHeight="1">
      <c r="A329" s="65" t="s">
        <v>149</v>
      </c>
      <c r="B329" s="221">
        <f>('Pivot Table for Data Exchange'!$M$331)*100</f>
        <v>58.401666056116042</v>
      </c>
      <c r="C329" s="221">
        <f>('Pivot Table for Data Exchange'!$M$334)*100</f>
        <v>1.6901690014431665</v>
      </c>
      <c r="D329" s="227">
        <f>SUM(E329:G329)</f>
        <v>39.908164942440791</v>
      </c>
      <c r="E329" s="221">
        <f>('Pivot Table for Data Exchange'!$M$337)*100</f>
        <v>39.103732293387864</v>
      </c>
      <c r="F329" s="221">
        <f>('Pivot Table for Data Exchange'!$M$340)*100</f>
        <v>0.78346268247606354</v>
      </c>
      <c r="G329" s="68">
        <f>('Pivot Table for Data Exchange'!$M$343)*100</f>
        <v>2.0969966576861624E-2</v>
      </c>
      <c r="H329" s="221">
        <f>('Pivot Table for Data Exchange'!$M$346)*100</f>
        <v>0</v>
      </c>
      <c r="I329" s="65"/>
      <c r="J329" s="81"/>
      <c r="K329" s="81"/>
      <c r="L329" s="81"/>
      <c r="M329" s="81"/>
      <c r="N329" s="81"/>
      <c r="O329" s="81"/>
      <c r="P329" s="81"/>
      <c r="Q329" s="226">
        <f t="shared" si="39"/>
        <v>100</v>
      </c>
      <c r="R329" s="97"/>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row>
    <row r="330" spans="1:41" ht="15.75" customHeight="1">
      <c r="A330" s="65" t="s">
        <v>150</v>
      </c>
      <c r="B330" s="221">
        <f>('Pivot Table for Data Exchange'!$M$367)*100</f>
        <v>79.217643707782869</v>
      </c>
      <c r="C330" s="221">
        <f>('Pivot Table for Data Exchange'!$M$370)*100</f>
        <v>4.0657298646339148</v>
      </c>
      <c r="D330" s="227">
        <f>SUM(E330:G330)</f>
        <v>16.716626427583215</v>
      </c>
      <c r="E330" s="221">
        <f>('Pivot Table for Data Exchange'!$M$373)*100</f>
        <v>6.9215744784743514</v>
      </c>
      <c r="F330" s="221">
        <f>('Pivot Table for Data Exchange'!$M$376)*100</f>
        <v>9.7950519491088635</v>
      </c>
      <c r="G330" s="68">
        <f>('Pivot Table for Data Exchange'!$M$379)*100</f>
        <v>0</v>
      </c>
      <c r="H330" s="221">
        <f>('Pivot Table for Data Exchange'!$M$382)*100</f>
        <v>0</v>
      </c>
      <c r="I330" s="65"/>
      <c r="J330" s="81"/>
      <c r="K330" s="81"/>
      <c r="L330" s="81"/>
      <c r="M330" s="81"/>
      <c r="N330" s="81"/>
      <c r="O330" s="81"/>
      <c r="P330" s="81"/>
      <c r="Q330" s="226">
        <f t="shared" si="39"/>
        <v>100</v>
      </c>
      <c r="R330" s="97"/>
      <c r="S330" s="98"/>
      <c r="T330" s="104"/>
      <c r="U330" s="98"/>
      <c r="V330" s="98"/>
      <c r="W330" s="98"/>
      <c r="X330" s="98"/>
      <c r="Y330" s="98"/>
      <c r="Z330" s="98"/>
      <c r="AA330" s="98"/>
      <c r="AB330" s="98"/>
      <c r="AC330" s="98"/>
      <c r="AD330" s="98"/>
      <c r="AE330" s="98"/>
      <c r="AF330" s="98"/>
      <c r="AG330" s="98"/>
      <c r="AH330" s="98"/>
      <c r="AI330" s="98"/>
      <c r="AJ330" s="98"/>
      <c r="AK330" s="98"/>
      <c r="AL330" s="98"/>
      <c r="AM330" s="98"/>
      <c r="AN330" s="98"/>
      <c r="AO330" s="98"/>
    </row>
    <row r="331" spans="1:41" ht="15.75" customHeight="1">
      <c r="A331" s="65" t="s">
        <v>151</v>
      </c>
      <c r="B331" s="221">
        <f>('Pivot Table for Data Exchange'!$M$403)*100</f>
        <v>72.342968744602103</v>
      </c>
      <c r="C331" s="221">
        <f>('Pivot Table for Data Exchange'!$M$406)*100</f>
        <v>7.335380023353455</v>
      </c>
      <c r="D331" s="227">
        <f>SUM(E331:G331)</f>
        <v>20.321651232044438</v>
      </c>
      <c r="E331" s="221">
        <f>('Pivot Table for Data Exchange'!$M$409)*100</f>
        <v>19.901565418462127</v>
      </c>
      <c r="F331" s="221">
        <f>('Pivot Table for Data Exchange'!$M$412)*100</f>
        <v>0.41985550337749911</v>
      </c>
      <c r="G331" s="235">
        <f>('Pivot Table for Data Exchange'!$M$415)*100</f>
        <v>2.3031020481486516E-4</v>
      </c>
      <c r="H331" s="221">
        <f>('Pivot Table for Data Exchange'!$M$418)*100</f>
        <v>0</v>
      </c>
      <c r="I331" s="65"/>
      <c r="J331" s="81"/>
      <c r="K331" s="81"/>
      <c r="L331" s="81"/>
      <c r="M331" s="81"/>
      <c r="N331" s="81"/>
      <c r="O331" s="81"/>
      <c r="P331" s="81"/>
      <c r="Q331" s="226">
        <f t="shared" si="39"/>
        <v>100</v>
      </c>
      <c r="R331" s="97"/>
      <c r="S331" s="98"/>
      <c r="T331" s="98"/>
      <c r="U331" s="98"/>
      <c r="V331" s="98"/>
      <c r="W331" s="98"/>
      <c r="X331" s="98"/>
      <c r="Y331" s="98"/>
      <c r="Z331" s="98"/>
      <c r="AA331" s="98"/>
      <c r="AB331" s="98"/>
      <c r="AC331" s="98"/>
      <c r="AD331" s="98"/>
      <c r="AE331" s="98"/>
      <c r="AF331" s="98"/>
      <c r="AG331" s="98"/>
      <c r="AH331" s="98"/>
      <c r="AI331" s="98"/>
      <c r="AJ331" s="98"/>
      <c r="AK331" s="98"/>
      <c r="AL331" s="98"/>
      <c r="AM331" s="98"/>
      <c r="AN331" s="98"/>
      <c r="AO331" s="98"/>
    </row>
    <row r="332" spans="1:41" ht="12.75" customHeight="1">
      <c r="A332" s="65"/>
      <c r="B332" s="221"/>
      <c r="C332" s="221"/>
      <c r="D332" s="227"/>
      <c r="E332" s="221"/>
      <c r="F332" s="221"/>
      <c r="G332" s="223"/>
      <c r="H332" s="221"/>
      <c r="I332" s="65"/>
      <c r="J332" s="81"/>
      <c r="K332" s="81"/>
      <c r="L332" s="81"/>
      <c r="M332" s="81"/>
      <c r="N332" s="81"/>
      <c r="O332" s="81"/>
      <c r="P332" s="81"/>
      <c r="Q332" s="226">
        <f t="shared" si="39"/>
        <v>0</v>
      </c>
      <c r="R332" s="97"/>
      <c r="S332" s="98"/>
      <c r="T332" s="98"/>
      <c r="U332" s="98"/>
      <c r="V332" s="98"/>
      <c r="W332" s="98"/>
      <c r="X332" s="98"/>
      <c r="Y332" s="98"/>
      <c r="Z332" s="98"/>
      <c r="AA332" s="98"/>
      <c r="AB332" s="98"/>
      <c r="AC332" s="98"/>
      <c r="AD332" s="98"/>
      <c r="AE332" s="98"/>
      <c r="AF332" s="98"/>
      <c r="AG332" s="98"/>
      <c r="AH332" s="98"/>
      <c r="AI332" s="98"/>
      <c r="AJ332" s="98"/>
      <c r="AK332" s="98"/>
      <c r="AL332" s="98"/>
      <c r="AM332" s="98"/>
      <c r="AN332" s="98"/>
      <c r="AO332" s="98"/>
    </row>
    <row r="333" spans="1:41" ht="15.75" customHeight="1">
      <c r="A333" s="65" t="s">
        <v>152</v>
      </c>
      <c r="B333" s="221">
        <f>('Pivot Table for Data Exchange'!$M$439)*100</f>
        <v>40.679267306562089</v>
      </c>
      <c r="C333" s="221">
        <f>('Pivot Table for Data Exchange'!$M$442)*100</f>
        <v>31.79072992531523</v>
      </c>
      <c r="D333" s="227">
        <f>SUM(E333:G333)</f>
        <v>27.296962292169212</v>
      </c>
      <c r="E333" s="221">
        <f>('Pivot Table for Data Exchange'!$M$445)*100</f>
        <v>18.086613604163912</v>
      </c>
      <c r="F333" s="221">
        <f>('Pivot Table for Data Exchange'!$M$448)*100</f>
        <v>4.5491300867663282</v>
      </c>
      <c r="G333" s="223">
        <f>('Pivot Table for Data Exchange'!$M$451)*100</f>
        <v>4.6612186012389731</v>
      </c>
      <c r="H333" s="221">
        <f>('Pivot Table for Data Exchange'!$M$454)*100</f>
        <v>0.23304047595346827</v>
      </c>
      <c r="I333" s="65"/>
      <c r="J333" s="81"/>
      <c r="K333" s="81"/>
      <c r="L333" s="81"/>
      <c r="M333" s="81"/>
      <c r="N333" s="81"/>
      <c r="O333" s="81"/>
      <c r="P333" s="81"/>
      <c r="Q333" s="226">
        <f t="shared" si="39"/>
        <v>100</v>
      </c>
      <c r="R333" s="97"/>
      <c r="S333" s="98"/>
      <c r="T333" s="98"/>
      <c r="U333" s="98"/>
      <c r="V333" s="98"/>
      <c r="W333" s="98"/>
      <c r="X333" s="98"/>
      <c r="Y333" s="98"/>
      <c r="Z333" s="98"/>
      <c r="AA333" s="98"/>
      <c r="AB333" s="98"/>
      <c r="AC333" s="98"/>
      <c r="AD333" s="98"/>
      <c r="AE333" s="98"/>
      <c r="AF333" s="98"/>
      <c r="AG333" s="98"/>
      <c r="AH333" s="98"/>
      <c r="AI333" s="98"/>
      <c r="AJ333" s="98"/>
      <c r="AK333" s="98"/>
      <c r="AL333" s="98"/>
      <c r="AM333" s="98"/>
      <c r="AN333" s="98"/>
      <c r="AO333" s="98"/>
    </row>
    <row r="334" spans="1:41" ht="15.75" customHeight="1">
      <c r="A334" s="65" t="s">
        <v>153</v>
      </c>
      <c r="B334" s="221">
        <f>('Pivot Table for Data Exchange'!$M$475)*100</f>
        <v>54.769076116766456</v>
      </c>
      <c r="C334" s="221">
        <f>('Pivot Table for Data Exchange'!$M$478)*100</f>
        <v>19.820391376617096</v>
      </c>
      <c r="D334" s="227">
        <f>SUM(E334:G334)</f>
        <v>25.410532506616448</v>
      </c>
      <c r="E334" s="221">
        <f>('Pivot Table for Data Exchange'!$M$481)*100</f>
        <v>23.093013992037324</v>
      </c>
      <c r="F334" s="221">
        <f>('Pivot Table for Data Exchange'!$M$484)*100</f>
        <v>2.0799729711128769</v>
      </c>
      <c r="G334" s="223">
        <f>('Pivot Table for Data Exchange'!$M$487)*100</f>
        <v>0.23754554346624621</v>
      </c>
      <c r="H334" s="221">
        <f>('Pivot Table for Data Exchange'!$M$490)*100</f>
        <v>0</v>
      </c>
      <c r="I334" s="65"/>
      <c r="J334" s="81"/>
      <c r="K334" s="81"/>
      <c r="L334" s="81"/>
      <c r="M334" s="81"/>
      <c r="N334" s="81"/>
      <c r="O334" s="81"/>
      <c r="P334" s="81"/>
      <c r="Q334" s="226">
        <f t="shared" si="39"/>
        <v>100</v>
      </c>
      <c r="R334" s="97"/>
      <c r="S334" s="98"/>
      <c r="T334" s="98"/>
      <c r="U334" s="98"/>
      <c r="V334" s="98"/>
      <c r="W334" s="98"/>
      <c r="X334" s="98"/>
      <c r="Y334" s="98"/>
      <c r="Z334" s="98"/>
      <c r="AA334" s="98"/>
      <c r="AB334" s="98"/>
      <c r="AC334" s="98"/>
      <c r="AD334" s="98"/>
      <c r="AE334" s="98"/>
      <c r="AF334" s="98"/>
      <c r="AG334" s="98"/>
      <c r="AH334" s="98"/>
      <c r="AI334" s="98"/>
      <c r="AJ334" s="98"/>
      <c r="AK334" s="98"/>
      <c r="AL334" s="98"/>
      <c r="AM334" s="98"/>
      <c r="AN334" s="98"/>
      <c r="AO334" s="98"/>
    </row>
    <row r="335" spans="1:41" ht="15.75" customHeight="1">
      <c r="A335" s="65" t="s">
        <v>154</v>
      </c>
      <c r="B335" s="221">
        <f>('Pivot Table for Data Exchange'!$M$511)*100</f>
        <v>48.360076094859608</v>
      </c>
      <c r="C335" s="221">
        <f>('Pivot Table for Data Exchange'!$M$514)*100</f>
        <v>22.438023525662096</v>
      </c>
      <c r="D335" s="227">
        <f>SUM(E335:G335)</f>
        <v>29.201900379478293</v>
      </c>
      <c r="E335" s="221">
        <f>('Pivot Table for Data Exchange'!$M$517)*100</f>
        <v>25.118004076380984</v>
      </c>
      <c r="F335" s="221">
        <f>('Pivot Table for Data Exchange'!$M$520)*100</f>
        <v>4.0838963030973074</v>
      </c>
      <c r="G335" s="223">
        <f>('Pivot Table for Data Exchange'!$M$523)*100</f>
        <v>0</v>
      </c>
      <c r="H335" s="221">
        <f>('Pivot Table for Data Exchange'!$M$526)*100</f>
        <v>0</v>
      </c>
      <c r="I335" s="65"/>
      <c r="J335" s="81"/>
      <c r="K335" s="81"/>
      <c r="L335" s="81"/>
      <c r="M335" s="81"/>
      <c r="N335" s="81"/>
      <c r="O335" s="81"/>
      <c r="P335" s="81"/>
      <c r="Q335" s="226">
        <f t="shared" si="39"/>
        <v>99.999999999999986</v>
      </c>
      <c r="R335" s="97"/>
      <c r="S335" s="98"/>
      <c r="T335" s="98"/>
      <c r="U335" s="98"/>
      <c r="V335" s="98"/>
      <c r="W335" s="98"/>
      <c r="X335" s="98"/>
      <c r="Y335" s="98"/>
      <c r="Z335" s="98"/>
      <c r="AA335" s="98"/>
      <c r="AB335" s="98"/>
      <c r="AC335" s="98"/>
      <c r="AD335" s="98"/>
      <c r="AE335" s="98"/>
      <c r="AF335" s="98"/>
      <c r="AG335" s="98"/>
      <c r="AH335" s="98"/>
      <c r="AI335" s="98"/>
      <c r="AJ335" s="98"/>
      <c r="AK335" s="98"/>
      <c r="AL335" s="98"/>
      <c r="AM335" s="98"/>
      <c r="AN335" s="98"/>
      <c r="AO335" s="98"/>
    </row>
    <row r="336" spans="1:41" ht="15.75" customHeight="1">
      <c r="A336" s="39" t="s">
        <v>155</v>
      </c>
      <c r="B336" s="224">
        <f>('Pivot Table for Data Exchange'!$M$547)*100</f>
        <v>53.99948596396036</v>
      </c>
      <c r="C336" s="224">
        <f>('Pivot Table for Data Exchange'!$M$550)*100</f>
        <v>23.82652235580813</v>
      </c>
      <c r="D336" s="228">
        <f>SUM(E336:G336)</f>
        <v>22.173991680231506</v>
      </c>
      <c r="E336" s="224">
        <f>('Pivot Table for Data Exchange'!$M$553)*100</f>
        <v>17.415350639213333</v>
      </c>
      <c r="F336" s="224">
        <f>('Pivot Table for Data Exchange'!$M$556)*100</f>
        <v>4.7586410410181728</v>
      </c>
      <c r="G336" s="233">
        <f>('Pivot Table for Data Exchange'!$M$559)*100</f>
        <v>0</v>
      </c>
      <c r="H336" s="224">
        <f>('Pivot Table for Data Exchange'!$M$562)*100</f>
        <v>0</v>
      </c>
      <c r="I336" s="65"/>
      <c r="J336" s="81"/>
      <c r="K336" s="81"/>
      <c r="L336" s="81"/>
      <c r="M336" s="81"/>
      <c r="N336" s="81"/>
      <c r="O336" s="81"/>
      <c r="P336" s="81"/>
      <c r="Q336" s="226">
        <f t="shared" si="39"/>
        <v>100</v>
      </c>
      <c r="R336" s="97"/>
      <c r="S336" s="98"/>
      <c r="T336" s="98"/>
      <c r="U336" s="98"/>
      <c r="V336" s="98"/>
      <c r="W336" s="98"/>
      <c r="X336" s="98"/>
      <c r="Y336" s="98"/>
      <c r="Z336" s="98"/>
      <c r="AA336" s="98"/>
      <c r="AB336" s="98"/>
      <c r="AC336" s="98"/>
      <c r="AD336" s="98"/>
      <c r="AE336" s="98"/>
      <c r="AF336" s="98"/>
      <c r="AG336" s="98"/>
      <c r="AH336" s="98"/>
      <c r="AI336" s="98"/>
      <c r="AJ336" s="98"/>
      <c r="AK336" s="98"/>
      <c r="AL336" s="98"/>
      <c r="AM336" s="98"/>
      <c r="AN336" s="98"/>
      <c r="AO336" s="98"/>
    </row>
    <row r="337" spans="1:41" s="103" customFormat="1" ht="12" customHeight="1">
      <c r="A337" s="691" t="s">
        <v>175</v>
      </c>
      <c r="B337" s="69"/>
      <c r="C337" s="69"/>
      <c r="D337" s="70"/>
      <c r="E337" s="69"/>
      <c r="F337" s="70"/>
      <c r="G337" s="70"/>
      <c r="H337" s="69"/>
      <c r="I337" s="24"/>
      <c r="J337" s="69"/>
      <c r="K337" s="69"/>
      <c r="L337" s="70"/>
      <c r="M337" s="69"/>
      <c r="N337" s="70"/>
      <c r="O337" s="70"/>
      <c r="P337" s="69"/>
      <c r="Q337" s="226">
        <f t="shared" si="39"/>
        <v>0</v>
      </c>
      <c r="R337" s="101"/>
      <c r="S337" s="102"/>
      <c r="T337" s="102"/>
      <c r="U337" s="102"/>
      <c r="V337" s="102"/>
      <c r="W337" s="102"/>
      <c r="X337" s="102"/>
      <c r="Y337" s="102"/>
      <c r="Z337" s="102"/>
      <c r="AA337" s="102"/>
      <c r="AB337" s="102"/>
      <c r="AC337" s="102"/>
      <c r="AD337" s="102"/>
      <c r="AE337" s="102"/>
      <c r="AF337" s="102"/>
      <c r="AG337" s="102"/>
      <c r="AH337" s="102"/>
      <c r="AI337" s="102"/>
      <c r="AJ337" s="102"/>
      <c r="AK337" s="102"/>
      <c r="AL337" s="102"/>
      <c r="AM337" s="102"/>
      <c r="AN337" s="102"/>
      <c r="AO337" s="102"/>
    </row>
    <row r="338" spans="1:41" s="103" customFormat="1" ht="24" customHeight="1">
      <c r="A338" s="666" t="s">
        <v>180</v>
      </c>
      <c r="B338" s="692"/>
      <c r="C338" s="692"/>
      <c r="D338" s="692"/>
      <c r="E338" s="692"/>
      <c r="F338" s="692"/>
      <c r="G338" s="692"/>
      <c r="H338" s="692"/>
      <c r="I338" s="24"/>
      <c r="J338" s="25"/>
      <c r="K338" s="25"/>
      <c r="L338" s="25"/>
      <c r="M338" s="25"/>
      <c r="N338" s="25"/>
      <c r="O338" s="25"/>
      <c r="P338" s="77"/>
      <c r="Q338" s="226">
        <f t="shared" si="39"/>
        <v>0</v>
      </c>
      <c r="R338" s="106"/>
    </row>
    <row r="339" spans="1:41" s="103" customFormat="1" ht="11.25" customHeight="1">
      <c r="A339" s="362"/>
      <c r="B339" s="363"/>
      <c r="C339" s="363"/>
      <c r="D339" s="363"/>
      <c r="E339" s="363"/>
      <c r="F339" s="363"/>
      <c r="G339" s="363"/>
      <c r="H339" s="363"/>
      <c r="I339" s="24"/>
      <c r="J339" s="25"/>
      <c r="K339" s="25"/>
      <c r="L339" s="25"/>
      <c r="M339" s="25"/>
      <c r="N339" s="25"/>
      <c r="O339" s="25"/>
      <c r="P339" s="77"/>
      <c r="Q339" s="226"/>
      <c r="R339" s="106"/>
    </row>
    <row r="340" spans="1:41" s="103" customFormat="1">
      <c r="A340" s="25"/>
      <c r="B340" s="25"/>
      <c r="C340" s="25"/>
      <c r="D340" s="25"/>
      <c r="E340" s="25"/>
      <c r="F340" s="25"/>
      <c r="G340" s="25"/>
      <c r="H340" s="27" t="s">
        <v>899</v>
      </c>
      <c r="I340" s="26"/>
      <c r="J340" s="26"/>
      <c r="K340" s="26"/>
      <c r="L340" s="26"/>
      <c r="M340" s="26"/>
      <c r="N340" s="26"/>
      <c r="O340" s="26"/>
      <c r="P340" s="26"/>
      <c r="Q340" s="226">
        <f t="shared" si="39"/>
        <v>0</v>
      </c>
      <c r="R340" s="105"/>
    </row>
    <row r="341" spans="1:41" ht="18">
      <c r="A341" s="16" t="s">
        <v>211</v>
      </c>
      <c r="B341" s="34"/>
      <c r="C341" s="34"/>
      <c r="D341" s="34"/>
      <c r="E341" s="34"/>
      <c r="F341" s="34"/>
      <c r="G341" s="34"/>
      <c r="H341" s="35"/>
      <c r="I341" s="80"/>
      <c r="J341" s="65"/>
      <c r="K341" s="65"/>
      <c r="L341" s="35"/>
      <c r="M341" s="65"/>
      <c r="N341" s="65"/>
      <c r="O341" s="65"/>
      <c r="P341" s="65"/>
      <c r="Q341" s="226">
        <f t="shared" si="39"/>
        <v>0</v>
      </c>
    </row>
    <row r="342" spans="1:41">
      <c r="A342" s="18"/>
      <c r="B342" s="19"/>
      <c r="C342" s="19"/>
      <c r="D342" s="19"/>
      <c r="E342" s="19"/>
      <c r="F342" s="19"/>
      <c r="G342" s="19"/>
      <c r="H342" s="36"/>
      <c r="I342" s="80"/>
      <c r="J342" s="65"/>
      <c r="K342" s="65"/>
      <c r="L342" s="65"/>
      <c r="M342" s="65"/>
      <c r="N342" s="65"/>
      <c r="O342" s="65"/>
      <c r="P342" s="65"/>
      <c r="Q342" s="226">
        <f t="shared" si="39"/>
        <v>0</v>
      </c>
    </row>
    <row r="343" spans="1:41" ht="15.75">
      <c r="A343" s="37" t="s">
        <v>162</v>
      </c>
      <c r="B343" s="19"/>
      <c r="C343" s="19"/>
      <c r="D343" s="19"/>
      <c r="E343" s="19"/>
      <c r="F343" s="19"/>
      <c r="G343" s="19"/>
      <c r="H343" s="36"/>
      <c r="I343" s="80"/>
      <c r="J343" s="65"/>
      <c r="K343" s="65"/>
      <c r="L343" s="36"/>
      <c r="M343" s="65"/>
      <c r="N343" s="65"/>
      <c r="O343" s="65"/>
      <c r="P343" s="65"/>
      <c r="Q343" s="226">
        <f t="shared" si="39"/>
        <v>0</v>
      </c>
    </row>
    <row r="344" spans="1:41" ht="15.75">
      <c r="A344" s="37" t="s">
        <v>911</v>
      </c>
      <c r="B344" s="19"/>
      <c r="C344" s="19"/>
      <c r="D344" s="19"/>
      <c r="E344" s="19"/>
      <c r="F344" s="19"/>
      <c r="G344" s="19"/>
      <c r="H344" s="36"/>
      <c r="I344" s="80"/>
      <c r="J344" s="65"/>
      <c r="K344" s="65"/>
      <c r="L344" s="65"/>
      <c r="M344" s="65"/>
      <c r="N344" s="65"/>
      <c r="O344" s="65"/>
      <c r="P344" s="65"/>
      <c r="Q344" s="226">
        <f t="shared" si="39"/>
        <v>0</v>
      </c>
    </row>
    <row r="345" spans="1:41">
      <c r="A345" s="39"/>
      <c r="B345" s="40"/>
      <c r="C345" s="40"/>
      <c r="D345" s="40"/>
      <c r="E345" s="40"/>
      <c r="F345" s="40"/>
      <c r="G345" s="40"/>
      <c r="H345" s="40"/>
      <c r="I345" s="80"/>
      <c r="J345" s="65"/>
      <c r="K345" s="65"/>
      <c r="L345" s="65"/>
      <c r="M345" s="65"/>
      <c r="N345" s="65"/>
      <c r="O345" s="65"/>
      <c r="P345" s="65"/>
      <c r="Q345" s="226">
        <f t="shared" si="39"/>
        <v>0</v>
      </c>
    </row>
    <row r="346" spans="1:41">
      <c r="A346" s="43"/>
      <c r="B346" s="44" t="s">
        <v>164</v>
      </c>
      <c r="C346" s="44"/>
      <c r="D346" s="44"/>
      <c r="E346" s="44"/>
      <c r="F346" s="44"/>
      <c r="G346" s="44"/>
      <c r="H346" s="45"/>
      <c r="I346" s="80"/>
      <c r="J346" s="65"/>
      <c r="K346" s="65"/>
      <c r="L346" s="65"/>
      <c r="M346" s="65"/>
      <c r="N346" s="65"/>
      <c r="O346" s="65"/>
      <c r="P346" s="65"/>
      <c r="Q346" s="226">
        <f t="shared" si="39"/>
        <v>0</v>
      </c>
    </row>
    <row r="347" spans="1:41">
      <c r="A347" s="43"/>
      <c r="B347" s="44" t="s">
        <v>165</v>
      </c>
      <c r="C347" s="44"/>
      <c r="D347" s="670" t="s">
        <v>166</v>
      </c>
      <c r="E347" s="668"/>
      <c r="F347" s="668"/>
      <c r="G347" s="668"/>
      <c r="H347" s="49" t="s">
        <v>39</v>
      </c>
      <c r="I347" s="80"/>
      <c r="J347" s="65"/>
      <c r="K347" s="65"/>
      <c r="L347" s="65"/>
      <c r="M347" s="65"/>
      <c r="N347" s="65"/>
      <c r="O347" s="65"/>
      <c r="P347" s="65"/>
      <c r="Q347" s="226">
        <f t="shared" ref="Q347:Q410" si="44">SUM(B347,C347,D347,H347)</f>
        <v>0</v>
      </c>
    </row>
    <row r="348" spans="1:41" ht="36">
      <c r="A348" s="43"/>
      <c r="B348" s="50" t="s">
        <v>167</v>
      </c>
      <c r="C348" s="51" t="s">
        <v>168</v>
      </c>
      <c r="D348" s="52" t="s">
        <v>169</v>
      </c>
      <c r="E348" s="53" t="s">
        <v>7</v>
      </c>
      <c r="F348" s="50" t="s">
        <v>170</v>
      </c>
      <c r="G348" s="54" t="s">
        <v>171</v>
      </c>
      <c r="H348" s="55" t="s">
        <v>172</v>
      </c>
      <c r="I348" s="80"/>
      <c r="J348" s="65"/>
      <c r="K348" s="65"/>
      <c r="L348" s="65"/>
      <c r="M348" s="65"/>
      <c r="N348" s="65"/>
      <c r="O348" s="65"/>
      <c r="P348" s="65"/>
      <c r="Q348" s="226">
        <f t="shared" si="44"/>
        <v>0</v>
      </c>
    </row>
    <row r="349" spans="1:41" ht="15.75" customHeight="1">
      <c r="A349" s="62" t="s">
        <v>141</v>
      </c>
      <c r="B349" s="82">
        <f>('Pivot Table for Data Exchange'!$N$7)*100</f>
        <v>65.961704032785747</v>
      </c>
      <c r="C349" s="221">
        <f>('Pivot Table for Data Exchange'!$N$10)*100</f>
        <v>10.672245755415505</v>
      </c>
      <c r="D349" s="227">
        <f>SUM(E349:G349)</f>
        <v>23.36605021179874</v>
      </c>
      <c r="E349" s="221">
        <f>('Pivot Table for Data Exchange'!$N$13)*100</f>
        <v>23.36605021179874</v>
      </c>
      <c r="F349" s="221">
        <f>('Pivot Table for Data Exchange'!$N$16)*100</f>
        <v>0</v>
      </c>
      <c r="G349" s="60">
        <f>('Pivot Table for Data Exchange'!$N$19)*100</f>
        <v>0</v>
      </c>
      <c r="H349" s="221">
        <f>('Pivot Table for Data Exchange'!$N$22)*100</f>
        <v>0</v>
      </c>
      <c r="I349" s="65"/>
      <c r="J349" s="81"/>
      <c r="K349" s="81"/>
      <c r="L349" s="81"/>
      <c r="M349" s="81"/>
      <c r="N349" s="81"/>
      <c r="O349" s="81"/>
      <c r="P349" s="81"/>
      <c r="Q349" s="226">
        <f t="shared" si="44"/>
        <v>99.999999999999986</v>
      </c>
      <c r="R349" s="97"/>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row>
    <row r="350" spans="1:41" ht="15.75" customHeight="1">
      <c r="A350" s="65" t="s">
        <v>142</v>
      </c>
      <c r="B350" s="221">
        <f>('Pivot Table for Data Exchange'!$N$43)*100</f>
        <v>65.654452661317521</v>
      </c>
      <c r="C350" s="221">
        <f>('Pivot Table for Data Exchange'!$N$46)*100</f>
        <v>10.994896372463327</v>
      </c>
      <c r="D350" s="227">
        <f t="shared" ref="D350:D352" si="45">SUM(E350:G350)</f>
        <v>23.346722580687402</v>
      </c>
      <c r="E350" s="221">
        <f>('Pivot Table for Data Exchange'!$N$49)*100</f>
        <v>21.617905581253744</v>
      </c>
      <c r="F350" s="221">
        <f>('Pivot Table for Data Exchange'!$N$52)*100</f>
        <v>1.7219423247530847</v>
      </c>
      <c r="G350" s="68">
        <f>('Pivot Table for Data Exchange'!$N$55)*100</f>
        <v>6.8746746805731507E-3</v>
      </c>
      <c r="H350" s="61">
        <f>('Pivot Table for Data Exchange'!$N$58)*100</f>
        <v>3.9283855317560866E-3</v>
      </c>
      <c r="I350" s="65"/>
      <c r="J350" s="81"/>
      <c r="K350" s="81"/>
      <c r="L350" s="81"/>
      <c r="M350" s="81"/>
      <c r="N350" s="81"/>
      <c r="O350" s="81"/>
      <c r="P350" s="81"/>
      <c r="Q350" s="226">
        <f t="shared" si="44"/>
        <v>100</v>
      </c>
      <c r="R350" s="97"/>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row>
    <row r="351" spans="1:41" ht="15.75" customHeight="1">
      <c r="A351" s="65" t="s">
        <v>143</v>
      </c>
      <c r="B351" s="221">
        <f>('Pivot Table for Data Exchange'!$N$79)*100</f>
        <v>0</v>
      </c>
      <c r="C351" s="221">
        <f>('Pivot Table for Data Exchange'!$N$82)*100</f>
        <v>0</v>
      </c>
      <c r="D351" s="227">
        <f t="shared" si="45"/>
        <v>0</v>
      </c>
      <c r="E351" s="221">
        <f>('Pivot Table for Data Exchange'!$N$85)*100</f>
        <v>0</v>
      </c>
      <c r="F351" s="221">
        <f>('Pivot Table for Data Exchange'!$N$88)*100</f>
        <v>0</v>
      </c>
      <c r="G351" s="223">
        <f>('Pivot Table for Data Exchange'!$N$91)*100</f>
        <v>0</v>
      </c>
      <c r="H351" s="221">
        <f>('Pivot Table for Data Exchange'!$N$94)*100</f>
        <v>0</v>
      </c>
      <c r="I351" s="65"/>
      <c r="J351" s="81"/>
      <c r="K351" s="81"/>
      <c r="L351" s="81"/>
      <c r="M351" s="81"/>
      <c r="N351" s="81"/>
      <c r="O351" s="81"/>
      <c r="P351" s="81"/>
      <c r="Q351" s="226">
        <f t="shared" si="44"/>
        <v>0</v>
      </c>
      <c r="R351" s="97"/>
      <c r="S351" s="98"/>
      <c r="T351" s="104"/>
      <c r="U351" s="98"/>
      <c r="V351" s="98"/>
      <c r="W351" s="98"/>
      <c r="X351" s="98"/>
      <c r="Y351" s="98"/>
      <c r="Z351" s="98"/>
      <c r="AA351" s="98"/>
      <c r="AB351" s="98"/>
      <c r="AC351" s="98"/>
      <c r="AD351" s="98"/>
      <c r="AE351" s="98"/>
      <c r="AF351" s="98"/>
      <c r="AG351" s="98"/>
      <c r="AH351" s="98"/>
      <c r="AI351" s="98"/>
      <c r="AJ351" s="98"/>
      <c r="AK351" s="98"/>
      <c r="AL351" s="98"/>
      <c r="AM351" s="98"/>
      <c r="AN351" s="98"/>
      <c r="AO351" s="98"/>
    </row>
    <row r="352" spans="1:41" ht="15.75" customHeight="1">
      <c r="A352" s="65" t="s">
        <v>174</v>
      </c>
      <c r="B352" s="221">
        <f>('Pivot Table for Data Exchange'!$N$115)*100</f>
        <v>72.128162686214239</v>
      </c>
      <c r="C352" s="221">
        <f>('Pivot Table for Data Exchange'!$N$118)*100</f>
        <v>4.8001891700165524</v>
      </c>
      <c r="D352" s="227">
        <f t="shared" si="45"/>
        <v>23.071648143769213</v>
      </c>
      <c r="E352" s="221">
        <f>('Pivot Table for Data Exchange'!$N$121)*100</f>
        <v>23.014897138803502</v>
      </c>
      <c r="F352" s="221">
        <f>('Pivot Table for Data Exchange'!$N$124)*100</f>
        <v>5.6751004965712934E-2</v>
      </c>
      <c r="G352" s="223">
        <f>('Pivot Table for Data Exchange'!$N$127)*100</f>
        <v>0</v>
      </c>
      <c r="H352" s="221">
        <f>('Pivot Table for Data Exchange'!$N$130)*100</f>
        <v>0</v>
      </c>
      <c r="I352" s="65"/>
      <c r="J352" s="81"/>
      <c r="K352" s="81"/>
      <c r="L352" s="81"/>
      <c r="M352" s="81"/>
      <c r="N352" s="81"/>
      <c r="O352" s="81"/>
      <c r="P352" s="81"/>
      <c r="Q352" s="226">
        <f t="shared" si="44"/>
        <v>100</v>
      </c>
      <c r="R352" s="97"/>
      <c r="S352" s="98"/>
      <c r="U352" s="98"/>
      <c r="V352" s="98"/>
      <c r="W352" s="98"/>
      <c r="X352" s="98"/>
      <c r="Y352" s="98"/>
      <c r="Z352" s="98"/>
      <c r="AA352" s="98"/>
      <c r="AB352" s="98"/>
      <c r="AC352" s="98"/>
      <c r="AD352" s="98"/>
      <c r="AE352" s="98"/>
      <c r="AF352" s="98"/>
      <c r="AG352" s="98"/>
      <c r="AH352" s="98"/>
      <c r="AI352" s="98"/>
      <c r="AJ352" s="98"/>
      <c r="AK352" s="98"/>
      <c r="AL352" s="98"/>
      <c r="AM352" s="98"/>
      <c r="AN352" s="98"/>
      <c r="AO352" s="98"/>
    </row>
    <row r="353" spans="1:41" ht="15.75" customHeight="1">
      <c r="A353" s="65"/>
      <c r="B353" s="221"/>
      <c r="C353" s="221"/>
      <c r="D353" s="227"/>
      <c r="E353" s="221"/>
      <c r="F353" s="221"/>
      <c r="G353" s="223"/>
      <c r="H353" s="221"/>
      <c r="I353" s="65"/>
      <c r="J353" s="81"/>
      <c r="K353" s="81"/>
      <c r="L353" s="81"/>
      <c r="M353" s="81"/>
      <c r="N353" s="81"/>
      <c r="O353" s="81"/>
      <c r="P353" s="81"/>
      <c r="Q353" s="226">
        <f t="shared" si="44"/>
        <v>0</v>
      </c>
      <c r="R353" s="97"/>
      <c r="S353" s="98"/>
      <c r="U353" s="98"/>
      <c r="V353" s="98"/>
      <c r="W353" s="98"/>
      <c r="X353" s="98"/>
      <c r="Y353" s="98"/>
      <c r="Z353" s="98"/>
      <c r="AA353" s="98"/>
      <c r="AB353" s="98"/>
      <c r="AC353" s="98"/>
      <c r="AD353" s="98"/>
      <c r="AE353" s="98"/>
      <c r="AF353" s="98"/>
      <c r="AG353" s="98"/>
      <c r="AH353" s="98"/>
      <c r="AI353" s="98"/>
      <c r="AJ353" s="98"/>
      <c r="AK353" s="98"/>
      <c r="AL353" s="98"/>
      <c r="AM353" s="98"/>
      <c r="AN353" s="98"/>
      <c r="AO353" s="98"/>
    </row>
    <row r="354" spans="1:41" ht="15.75" customHeight="1">
      <c r="A354" s="65" t="s">
        <v>145</v>
      </c>
      <c r="B354" s="221">
        <f>('Pivot Table for Data Exchange'!$N$151)*100</f>
        <v>0</v>
      </c>
      <c r="C354" s="221">
        <f>('Pivot Table for Data Exchange'!$N$154)*100</f>
        <v>0</v>
      </c>
      <c r="D354" s="227">
        <f t="shared" ref="D354:D355" si="46">SUM(E354:G354)</f>
        <v>0</v>
      </c>
      <c r="E354" s="221">
        <f>('Pivot Table for Data Exchange'!$N$157)*100</f>
        <v>0</v>
      </c>
      <c r="F354" s="221">
        <f>('Pivot Table for Data Exchange'!$N$160)*100</f>
        <v>0</v>
      </c>
      <c r="G354" s="223">
        <f>('Pivot Table for Data Exchange'!$N$163)*100</f>
        <v>0</v>
      </c>
      <c r="H354" s="221">
        <f>('Pivot Table for Data Exchange'!$N$166)*100</f>
        <v>0</v>
      </c>
      <c r="I354" s="65"/>
      <c r="J354" s="81"/>
      <c r="K354" s="81"/>
      <c r="L354" s="81"/>
      <c r="M354" s="81"/>
      <c r="N354" s="81"/>
      <c r="O354" s="81"/>
      <c r="P354" s="81"/>
      <c r="Q354" s="226">
        <f t="shared" si="44"/>
        <v>0</v>
      </c>
      <c r="R354" s="97"/>
      <c r="S354" s="98"/>
      <c r="T354" s="98"/>
      <c r="U354" s="98"/>
      <c r="V354" s="98"/>
      <c r="W354" s="98"/>
      <c r="X354" s="98"/>
      <c r="Y354" s="98"/>
      <c r="Z354" s="98"/>
      <c r="AA354" s="98"/>
      <c r="AB354" s="98"/>
      <c r="AC354" s="98"/>
      <c r="AD354" s="98"/>
      <c r="AE354" s="98"/>
      <c r="AF354" s="98"/>
      <c r="AG354" s="98"/>
      <c r="AH354" s="98"/>
      <c r="AI354" s="98"/>
      <c r="AJ354" s="98"/>
      <c r="AK354" s="98"/>
      <c r="AL354" s="98"/>
      <c r="AM354" s="98"/>
      <c r="AN354" s="98"/>
      <c r="AO354" s="98"/>
    </row>
    <row r="355" spans="1:41" ht="15.75" customHeight="1">
      <c r="A355" s="65" t="s">
        <v>146</v>
      </c>
      <c r="B355" s="221">
        <f>('Pivot Table for Data Exchange'!$N$187)*100</f>
        <v>49.921743495850926</v>
      </c>
      <c r="C355" s="221">
        <f>('Pivot Table for Data Exchange'!$N$190)*100</f>
        <v>8.014647255116202</v>
      </c>
      <c r="D355" s="227">
        <f t="shared" si="46"/>
        <v>42.063609249032865</v>
      </c>
      <c r="E355" s="221">
        <f>('Pivot Table for Data Exchange'!$N$193)*100</f>
        <v>42.063609249032865</v>
      </c>
      <c r="F355" s="221">
        <f>('Pivot Table for Data Exchange'!$N$196)*100</f>
        <v>0</v>
      </c>
      <c r="G355" s="223">
        <f>('Pivot Table for Data Exchange'!$N$199)*100</f>
        <v>0</v>
      </c>
      <c r="H355" s="221">
        <f>('Pivot Table for Data Exchange'!$N$202)*100</f>
        <v>0</v>
      </c>
      <c r="I355" s="65"/>
      <c r="J355" s="81"/>
      <c r="K355" s="81"/>
      <c r="L355" s="81"/>
      <c r="M355" s="81"/>
      <c r="N355" s="81"/>
      <c r="O355" s="81"/>
      <c r="P355" s="81"/>
      <c r="Q355" s="226">
        <f t="shared" si="44"/>
        <v>100</v>
      </c>
      <c r="R355" s="97"/>
      <c r="S355" s="98"/>
      <c r="T355" s="98"/>
      <c r="U355" s="98"/>
      <c r="V355" s="98"/>
      <c r="W355" s="98"/>
      <c r="X355" s="98"/>
      <c r="Y355" s="98"/>
      <c r="Z355" s="98"/>
      <c r="AA355" s="98"/>
      <c r="AB355" s="98"/>
      <c r="AC355" s="98"/>
      <c r="AD355" s="98"/>
      <c r="AE355" s="98"/>
      <c r="AF355" s="98"/>
      <c r="AG355" s="98"/>
      <c r="AH355" s="98"/>
      <c r="AI355" s="98"/>
      <c r="AJ355" s="98"/>
      <c r="AK355" s="98"/>
      <c r="AL355" s="98"/>
      <c r="AM355" s="98"/>
      <c r="AN355" s="98"/>
      <c r="AO355" s="98"/>
    </row>
    <row r="356" spans="1:41" ht="15.75" customHeight="1">
      <c r="A356" s="65" t="s">
        <v>147</v>
      </c>
      <c r="B356" s="221">
        <f>('Pivot Table for Data Exchange'!$N$223)*100</f>
        <v>0</v>
      </c>
      <c r="C356" s="221">
        <f>('Pivot Table for Data Exchange'!$N$226)*100</f>
        <v>0</v>
      </c>
      <c r="D356" s="227">
        <f>SUM(E356:G356)</f>
        <v>0</v>
      </c>
      <c r="E356" s="221">
        <f>('Pivot Table for Data Exchange'!$N$229)*100</f>
        <v>0</v>
      </c>
      <c r="F356" s="221">
        <f>('Pivot Table for Data Exchange'!$N$232)*100</f>
        <v>0</v>
      </c>
      <c r="G356" s="223">
        <f>('Pivot Table for Data Exchange'!$N$235)*100</f>
        <v>0</v>
      </c>
      <c r="H356" s="221">
        <f>('Pivot Table for Data Exchange'!$N$238)*100</f>
        <v>0</v>
      </c>
      <c r="I356" s="65"/>
      <c r="J356" s="81"/>
      <c r="K356" s="81"/>
      <c r="L356" s="81"/>
      <c r="M356" s="81"/>
      <c r="N356" s="81"/>
      <c r="O356" s="81"/>
      <c r="P356" s="81"/>
      <c r="Q356" s="226">
        <f t="shared" si="44"/>
        <v>0</v>
      </c>
      <c r="R356" s="97"/>
      <c r="S356" s="98"/>
      <c r="T356" s="104"/>
      <c r="U356" s="98"/>
      <c r="V356" s="98"/>
      <c r="W356" s="98"/>
      <c r="X356" s="98"/>
      <c r="Y356" s="98"/>
      <c r="Z356" s="98"/>
      <c r="AA356" s="98"/>
      <c r="AB356" s="98"/>
      <c r="AC356" s="98"/>
      <c r="AD356" s="98"/>
      <c r="AE356" s="98"/>
      <c r="AF356" s="98"/>
      <c r="AG356" s="98"/>
      <c r="AH356" s="98"/>
      <c r="AI356" s="98"/>
      <c r="AJ356" s="98"/>
      <c r="AK356" s="98"/>
      <c r="AL356" s="98"/>
      <c r="AM356" s="98"/>
      <c r="AN356" s="98"/>
      <c r="AO356" s="98"/>
    </row>
    <row r="357" spans="1:41" ht="15.75" customHeight="1">
      <c r="A357" s="65" t="s">
        <v>177</v>
      </c>
      <c r="B357" s="221">
        <f>('Pivot Table for Data Exchange'!$N$259)*100</f>
        <v>70.691158835713509</v>
      </c>
      <c r="C357" s="221">
        <f>('Pivot Table for Data Exchange'!$N$262)*100</f>
        <v>8.3932919074094272</v>
      </c>
      <c r="D357" s="227">
        <f>SUM(E357:G357)</f>
        <v>20.915549256877068</v>
      </c>
      <c r="E357" s="221">
        <f>('Pivot Table for Data Exchange'!$N$265)*100</f>
        <v>19.413859515244013</v>
      </c>
      <c r="F357" s="221">
        <f>('Pivot Table for Data Exchange'!$N$268)*100</f>
        <v>1.5016897416330535</v>
      </c>
      <c r="G357" s="223">
        <f>('Pivot Table for Data Exchange'!$N$271)*100</f>
        <v>0</v>
      </c>
      <c r="H357" s="221">
        <f>('Pivot Table for Data Exchange'!$N$274)*100</f>
        <v>0</v>
      </c>
      <c r="I357" s="65"/>
      <c r="J357" s="81"/>
      <c r="K357" s="81"/>
      <c r="L357" s="81"/>
      <c r="M357" s="81"/>
      <c r="N357" s="81"/>
      <c r="O357" s="81"/>
      <c r="P357" s="81"/>
      <c r="Q357" s="226">
        <f t="shared" si="44"/>
        <v>100.00000000000001</v>
      </c>
      <c r="R357" s="97"/>
      <c r="S357" s="98"/>
      <c r="U357" s="98"/>
      <c r="V357" s="98"/>
      <c r="W357" s="98"/>
      <c r="X357" s="98"/>
      <c r="Y357" s="98"/>
      <c r="Z357" s="98"/>
      <c r="AA357" s="98"/>
      <c r="AB357" s="98"/>
      <c r="AC357" s="98"/>
      <c r="AD357" s="98"/>
      <c r="AE357" s="98"/>
      <c r="AF357" s="98"/>
      <c r="AG357" s="98"/>
      <c r="AH357" s="98"/>
      <c r="AI357" s="98"/>
      <c r="AJ357" s="98"/>
      <c r="AK357" s="98"/>
      <c r="AL357" s="98"/>
      <c r="AM357" s="98"/>
      <c r="AN357" s="98"/>
      <c r="AO357" s="98"/>
    </row>
    <row r="358" spans="1:41" ht="12.75" customHeight="1">
      <c r="A358" s="65"/>
      <c r="B358" s="221"/>
      <c r="C358" s="221"/>
      <c r="D358" s="227"/>
      <c r="E358" s="221"/>
      <c r="F358" s="221"/>
      <c r="G358" s="223"/>
      <c r="H358" s="221"/>
      <c r="I358" s="65"/>
      <c r="J358" s="81"/>
      <c r="K358" s="81"/>
      <c r="L358" s="81"/>
      <c r="M358" s="81"/>
      <c r="N358" s="81"/>
      <c r="O358" s="81"/>
      <c r="P358" s="81"/>
      <c r="Q358" s="226">
        <f t="shared" si="44"/>
        <v>0</v>
      </c>
      <c r="R358" s="97"/>
      <c r="S358" s="98"/>
      <c r="U358" s="98"/>
      <c r="V358" s="98"/>
      <c r="W358" s="98"/>
      <c r="X358" s="98"/>
      <c r="Y358" s="98"/>
      <c r="Z358" s="98"/>
      <c r="AA358" s="98"/>
      <c r="AB358" s="98"/>
      <c r="AC358" s="98"/>
      <c r="AD358" s="98"/>
      <c r="AE358" s="98"/>
      <c r="AF358" s="98"/>
      <c r="AG358" s="98"/>
      <c r="AH358" s="98"/>
      <c r="AI358" s="98"/>
      <c r="AJ358" s="98"/>
      <c r="AK358" s="98"/>
      <c r="AL358" s="98"/>
      <c r="AM358" s="98"/>
      <c r="AN358" s="98"/>
      <c r="AO358" s="98"/>
    </row>
    <row r="359" spans="1:41" ht="15.75" customHeight="1">
      <c r="A359" s="65" t="s">
        <v>179</v>
      </c>
      <c r="B359" s="221">
        <f>('Pivot Table for Data Exchange'!$N$295)*100</f>
        <v>83.816835120746859</v>
      </c>
      <c r="C359" s="221">
        <f>('Pivot Table for Data Exchange'!$N$298)*100</f>
        <v>0</v>
      </c>
      <c r="D359" s="227">
        <f>SUM(E359:G359)</f>
        <v>16.183164879253145</v>
      </c>
      <c r="E359" s="221">
        <f>('Pivot Table for Data Exchange'!$N$301)*100</f>
        <v>16.183164879253145</v>
      </c>
      <c r="F359" s="221">
        <f>('Pivot Table for Data Exchange'!$N$304)*100</f>
        <v>0</v>
      </c>
      <c r="G359" s="223">
        <f>('Pivot Table for Data Exchange'!$N$307)*100</f>
        <v>0</v>
      </c>
      <c r="H359" s="221">
        <f>('Pivot Table for Data Exchange'!$N$310)*100</f>
        <v>0</v>
      </c>
      <c r="I359" s="86"/>
      <c r="J359" s="81"/>
      <c r="K359" s="81"/>
      <c r="L359" s="81"/>
      <c r="M359" s="81"/>
      <c r="N359" s="81"/>
      <c r="O359" s="81"/>
      <c r="P359" s="81"/>
      <c r="Q359" s="226">
        <f t="shared" si="44"/>
        <v>100</v>
      </c>
      <c r="R359" s="97"/>
      <c r="S359" s="98"/>
      <c r="T359" s="98"/>
      <c r="U359" s="98"/>
      <c r="V359" s="98"/>
      <c r="W359" s="98"/>
      <c r="X359" s="98"/>
      <c r="Y359" s="98"/>
      <c r="Z359" s="98"/>
      <c r="AA359" s="98"/>
      <c r="AB359" s="98"/>
      <c r="AC359" s="98"/>
      <c r="AD359" s="98"/>
      <c r="AE359" s="98"/>
      <c r="AF359" s="98"/>
      <c r="AG359" s="98"/>
      <c r="AH359" s="98"/>
      <c r="AI359" s="98"/>
      <c r="AJ359" s="98"/>
      <c r="AK359" s="98"/>
      <c r="AL359" s="98"/>
      <c r="AM359" s="98"/>
      <c r="AN359" s="98"/>
      <c r="AO359" s="98"/>
    </row>
    <row r="360" spans="1:41" ht="15.75" customHeight="1">
      <c r="A360" s="65" t="s">
        <v>149</v>
      </c>
      <c r="B360" s="221">
        <f>('Pivot Table for Data Exchange'!$N$331)*100</f>
        <v>55.122798468849531</v>
      </c>
      <c r="C360" s="221">
        <f>('Pivot Table for Data Exchange'!$N$334)*100</f>
        <v>2.8130117649422806</v>
      </c>
      <c r="D360" s="227">
        <f>SUM(E360:G360)</f>
        <v>42.064189766208187</v>
      </c>
      <c r="E360" s="221">
        <f>('Pivot Table for Data Exchange'!$N$337)*100</f>
        <v>41.014914651422139</v>
      </c>
      <c r="F360" s="221">
        <f>('Pivot Table for Data Exchange'!$N$340)*100</f>
        <v>0.84142947565129156</v>
      </c>
      <c r="G360" s="223">
        <f>('Pivot Table for Data Exchange'!$N$343)*100</f>
        <v>0.20784563913475934</v>
      </c>
      <c r="H360" s="221">
        <f>('Pivot Table for Data Exchange'!$N$346)*100</f>
        <v>0</v>
      </c>
      <c r="I360" s="65"/>
      <c r="J360" s="81"/>
      <c r="K360" s="81"/>
      <c r="L360" s="81"/>
      <c r="M360" s="81"/>
      <c r="N360" s="81"/>
      <c r="O360" s="81"/>
      <c r="P360" s="81"/>
      <c r="Q360" s="226">
        <f t="shared" si="44"/>
        <v>100</v>
      </c>
      <c r="R360" s="97"/>
      <c r="S360" s="98"/>
      <c r="T360" s="98"/>
      <c r="U360" s="98"/>
      <c r="V360" s="98"/>
      <c r="W360" s="98"/>
      <c r="X360" s="98"/>
      <c r="Y360" s="98"/>
      <c r="Z360" s="98"/>
      <c r="AA360" s="98"/>
      <c r="AB360" s="98"/>
      <c r="AC360" s="98"/>
      <c r="AD360" s="98"/>
      <c r="AE360" s="98"/>
      <c r="AF360" s="98"/>
      <c r="AG360" s="98"/>
      <c r="AH360" s="98"/>
      <c r="AI360" s="98"/>
      <c r="AJ360" s="98"/>
      <c r="AK360" s="98"/>
      <c r="AL360" s="98"/>
      <c r="AM360" s="98"/>
      <c r="AN360" s="98"/>
      <c r="AO360" s="98"/>
    </row>
    <row r="361" spans="1:41" ht="15.75" customHeight="1">
      <c r="A361" s="65" t="s">
        <v>150</v>
      </c>
      <c r="B361" s="221">
        <f>('Pivot Table for Data Exchange'!$N$367)*100</f>
        <v>64.057296234988428</v>
      </c>
      <c r="C361" s="221">
        <f>('Pivot Table for Data Exchange'!$N$370)*100</f>
        <v>9.2189694855341511</v>
      </c>
      <c r="D361" s="227">
        <f>SUM(E361:G361)</f>
        <v>26.723734279477426</v>
      </c>
      <c r="E361" s="221">
        <f>('Pivot Table for Data Exchange'!$N$373)*100</f>
        <v>22.783628893446679</v>
      </c>
      <c r="F361" s="221">
        <f>('Pivot Table for Data Exchange'!$N$376)*100</f>
        <v>3.8939412924627224</v>
      </c>
      <c r="G361" s="68">
        <f>('Pivot Table for Data Exchange'!$N$379)*100</f>
        <v>4.6164093568022792E-2</v>
      </c>
      <c r="H361" s="221">
        <f>('Pivot Table for Data Exchange'!$N$382)*100</f>
        <v>0</v>
      </c>
      <c r="I361" s="65"/>
      <c r="J361" s="81"/>
      <c r="K361" s="81"/>
      <c r="L361" s="81"/>
      <c r="M361" s="81"/>
      <c r="N361" s="81"/>
      <c r="O361" s="81"/>
      <c r="P361" s="81"/>
      <c r="Q361" s="226">
        <f t="shared" si="44"/>
        <v>100</v>
      </c>
      <c r="R361" s="97"/>
      <c r="S361" s="98"/>
      <c r="T361" s="104"/>
      <c r="U361" s="98"/>
      <c r="V361" s="98"/>
      <c r="W361" s="98"/>
      <c r="X361" s="98"/>
      <c r="Y361" s="98"/>
      <c r="Z361" s="98"/>
      <c r="AA361" s="98"/>
      <c r="AB361" s="98"/>
      <c r="AC361" s="98"/>
      <c r="AD361" s="98"/>
      <c r="AE361" s="98"/>
      <c r="AF361" s="98"/>
      <c r="AG361" s="98"/>
      <c r="AH361" s="98"/>
      <c r="AI361" s="98"/>
      <c r="AJ361" s="98"/>
      <c r="AK361" s="98"/>
      <c r="AL361" s="98"/>
      <c r="AM361" s="98"/>
      <c r="AN361" s="98"/>
      <c r="AO361" s="98"/>
    </row>
    <row r="362" spans="1:41" ht="15.75" customHeight="1">
      <c r="A362" s="65" t="s">
        <v>151</v>
      </c>
      <c r="B362" s="221">
        <f>('Pivot Table for Data Exchange'!$N$403)*100</f>
        <v>81.932346451295018</v>
      </c>
      <c r="C362" s="221">
        <f>('Pivot Table for Data Exchange'!$N$406)*100</f>
        <v>4.3060048415775833</v>
      </c>
      <c r="D362" s="227">
        <f>SUM(E362:G362)</f>
        <v>13.761648707127403</v>
      </c>
      <c r="E362" s="221">
        <f>('Pivot Table for Data Exchange'!$N$409)*100</f>
        <v>9.4303648321515023</v>
      </c>
      <c r="F362" s="221">
        <f>('Pivot Table for Data Exchange'!$N$412)*100</f>
        <v>1.7943829130872553</v>
      </c>
      <c r="G362" s="223">
        <f>('Pivot Table for Data Exchange'!$N$415)*100</f>
        <v>2.5369009618886436</v>
      </c>
      <c r="H362" s="221">
        <f>('Pivot Table for Data Exchange'!$N$418)*100</f>
        <v>0</v>
      </c>
      <c r="I362" s="65"/>
      <c r="J362" s="81"/>
      <c r="K362" s="81"/>
      <c r="L362" s="81"/>
      <c r="M362" s="81"/>
      <c r="N362" s="81"/>
      <c r="O362" s="81"/>
      <c r="P362" s="81"/>
      <c r="Q362" s="226">
        <f t="shared" si="44"/>
        <v>100.00000000000001</v>
      </c>
      <c r="R362" s="97"/>
      <c r="S362" s="98"/>
      <c r="T362" s="98"/>
      <c r="U362" s="98"/>
      <c r="V362" s="98"/>
      <c r="W362" s="98"/>
      <c r="X362" s="98"/>
      <c r="Y362" s="98"/>
      <c r="Z362" s="98"/>
      <c r="AA362" s="98"/>
      <c r="AB362" s="98"/>
      <c r="AC362" s="98"/>
      <c r="AD362" s="98"/>
      <c r="AE362" s="98"/>
      <c r="AF362" s="98"/>
      <c r="AG362" s="98"/>
      <c r="AH362" s="98"/>
      <c r="AI362" s="98"/>
      <c r="AJ362" s="98"/>
      <c r="AK362" s="98"/>
      <c r="AL362" s="98"/>
      <c r="AM362" s="98"/>
      <c r="AN362" s="98"/>
      <c r="AO362" s="98"/>
    </row>
    <row r="363" spans="1:41" ht="12" customHeight="1">
      <c r="A363" s="65"/>
      <c r="B363" s="221"/>
      <c r="C363" s="221"/>
      <c r="D363" s="227"/>
      <c r="E363" s="221"/>
      <c r="F363" s="221"/>
      <c r="G363" s="223"/>
      <c r="H363" s="221"/>
      <c r="I363" s="65"/>
      <c r="J363" s="81"/>
      <c r="K363" s="81"/>
      <c r="L363" s="81"/>
      <c r="M363" s="81"/>
      <c r="N363" s="81"/>
      <c r="O363" s="81"/>
      <c r="P363" s="81"/>
      <c r="Q363" s="226">
        <f t="shared" si="44"/>
        <v>0</v>
      </c>
      <c r="R363" s="97"/>
      <c r="S363" s="98"/>
      <c r="T363" s="98"/>
      <c r="U363" s="98"/>
      <c r="V363" s="98"/>
      <c r="W363" s="98"/>
      <c r="X363" s="98"/>
      <c r="Y363" s="98"/>
      <c r="Z363" s="98"/>
      <c r="AA363" s="98"/>
      <c r="AB363" s="98"/>
      <c r="AC363" s="98"/>
      <c r="AD363" s="98"/>
      <c r="AE363" s="98"/>
      <c r="AF363" s="98"/>
      <c r="AG363" s="98"/>
      <c r="AH363" s="98"/>
      <c r="AI363" s="98"/>
      <c r="AJ363" s="98"/>
      <c r="AK363" s="98"/>
      <c r="AL363" s="98"/>
      <c r="AM363" s="98"/>
      <c r="AN363" s="98"/>
      <c r="AO363" s="98"/>
    </row>
    <row r="364" spans="1:41" ht="15.75" customHeight="1">
      <c r="A364" s="65" t="s">
        <v>152</v>
      </c>
      <c r="B364" s="221">
        <f>('Pivot Table for Data Exchange'!$N$439)*100</f>
        <v>0</v>
      </c>
      <c r="C364" s="221">
        <f>('Pivot Table for Data Exchange'!$N$442)*100</f>
        <v>0</v>
      </c>
      <c r="D364" s="227">
        <f>SUM(E364:G364)</f>
        <v>0</v>
      </c>
      <c r="E364" s="221">
        <f>('Pivot Table for Data Exchange'!$N$445)*100</f>
        <v>0</v>
      </c>
      <c r="F364" s="221">
        <f>('Pivot Table for Data Exchange'!$N$448)*100</f>
        <v>0</v>
      </c>
      <c r="G364" s="223">
        <f>('Pivot Table for Data Exchange'!$N$451)*100</f>
        <v>0</v>
      </c>
      <c r="H364" s="221">
        <f>('Pivot Table for Data Exchange'!$N$454)*100</f>
        <v>0</v>
      </c>
      <c r="I364" s="65"/>
      <c r="J364" s="81"/>
      <c r="K364" s="81"/>
      <c r="L364" s="81"/>
      <c r="M364" s="81"/>
      <c r="N364" s="81"/>
      <c r="O364" s="81"/>
      <c r="P364" s="81"/>
      <c r="Q364" s="226">
        <f t="shared" si="44"/>
        <v>0</v>
      </c>
      <c r="R364" s="97"/>
      <c r="S364" s="98"/>
      <c r="T364" s="98"/>
      <c r="U364" s="98"/>
      <c r="V364" s="98"/>
      <c r="W364" s="98"/>
      <c r="X364" s="98"/>
      <c r="Y364" s="98"/>
      <c r="Z364" s="98"/>
      <c r="AA364" s="98"/>
      <c r="AB364" s="98"/>
      <c r="AC364" s="98"/>
      <c r="AD364" s="98"/>
      <c r="AE364" s="98"/>
      <c r="AF364" s="98"/>
      <c r="AG364" s="98"/>
      <c r="AH364" s="98"/>
      <c r="AI364" s="98"/>
      <c r="AJ364" s="98"/>
      <c r="AK364" s="98"/>
      <c r="AL364" s="98"/>
      <c r="AM364" s="98"/>
      <c r="AN364" s="98"/>
      <c r="AO364" s="98"/>
    </row>
    <row r="365" spans="1:41" ht="15.75" customHeight="1">
      <c r="A365" s="65" t="s">
        <v>153</v>
      </c>
      <c r="B365" s="221">
        <f>('Pivot Table for Data Exchange'!$N$475)*100</f>
        <v>53.550959931038086</v>
      </c>
      <c r="C365" s="221">
        <f>('Pivot Table for Data Exchange'!$N$478)*100</f>
        <v>14.724083514413424</v>
      </c>
      <c r="D365" s="227">
        <f>SUM(E365:G365)</f>
        <v>31.724956554548481</v>
      </c>
      <c r="E365" s="221">
        <f>('Pivot Table for Data Exchange'!$N$481)*100</f>
        <v>28.291182294635895</v>
      </c>
      <c r="F365" s="221">
        <f>('Pivot Table for Data Exchange'!$N$484)*100</f>
        <v>2.1892101052330082</v>
      </c>
      <c r="G365" s="223">
        <f>('Pivot Table for Data Exchange'!$N$487)*100</f>
        <v>1.2445641546795778</v>
      </c>
      <c r="H365" s="221">
        <f>('Pivot Table for Data Exchange'!$N$490)*100</f>
        <v>0</v>
      </c>
      <c r="I365" s="65"/>
      <c r="J365" s="81"/>
      <c r="K365" s="81"/>
      <c r="L365" s="81"/>
      <c r="M365" s="81"/>
      <c r="N365" s="81"/>
      <c r="O365" s="81"/>
      <c r="P365" s="81"/>
      <c r="Q365" s="226">
        <f t="shared" si="44"/>
        <v>100</v>
      </c>
      <c r="R365" s="97"/>
      <c r="S365" s="98"/>
      <c r="T365" s="98"/>
      <c r="U365" s="98"/>
      <c r="V365" s="98"/>
      <c r="W365" s="98"/>
      <c r="X365" s="98"/>
      <c r="Y365" s="98"/>
      <c r="Z365" s="98"/>
      <c r="AA365" s="98"/>
      <c r="AB365" s="98"/>
      <c r="AC365" s="98"/>
      <c r="AD365" s="98"/>
      <c r="AE365" s="98"/>
      <c r="AF365" s="98"/>
      <c r="AG365" s="98"/>
      <c r="AH365" s="98"/>
      <c r="AI365" s="98"/>
      <c r="AJ365" s="98"/>
      <c r="AK365" s="98"/>
      <c r="AL365" s="98"/>
      <c r="AM365" s="98"/>
      <c r="AN365" s="98"/>
      <c r="AO365" s="98"/>
    </row>
    <row r="366" spans="1:41" ht="15.75" customHeight="1">
      <c r="A366" s="65" t="s">
        <v>154</v>
      </c>
      <c r="B366" s="221">
        <f>('Pivot Table for Data Exchange'!$N$511)*100</f>
        <v>45.646874178411231</v>
      </c>
      <c r="C366" s="221">
        <f>('Pivot Table for Data Exchange'!$N$514)*100</f>
        <v>19.618543806117003</v>
      </c>
      <c r="D366" s="227">
        <f>SUM(E366:G366)</f>
        <v>34.734582015471759</v>
      </c>
      <c r="E366" s="221">
        <f>('Pivot Table for Data Exchange'!$N$517)*100</f>
        <v>26.363339414749959</v>
      </c>
      <c r="F366" s="221">
        <f>('Pivot Table for Data Exchange'!$N$520)*100</f>
        <v>8.3712426007218017</v>
      </c>
      <c r="G366" s="223">
        <f>('Pivot Table for Data Exchange'!$N$523)*100</f>
        <v>0</v>
      </c>
      <c r="H366" s="221">
        <f>('Pivot Table for Data Exchange'!$N$526)*100</f>
        <v>0</v>
      </c>
      <c r="I366" s="65"/>
      <c r="J366" s="81"/>
      <c r="K366" s="81"/>
      <c r="L366" s="81"/>
      <c r="M366" s="81"/>
      <c r="N366" s="81"/>
      <c r="O366" s="81"/>
      <c r="P366" s="81"/>
      <c r="Q366" s="226">
        <f t="shared" si="44"/>
        <v>99.999999999999986</v>
      </c>
      <c r="R366" s="97"/>
      <c r="S366" s="98"/>
      <c r="T366" s="98"/>
      <c r="U366" s="98"/>
      <c r="V366" s="98"/>
      <c r="W366" s="98"/>
      <c r="X366" s="98"/>
      <c r="Y366" s="98"/>
      <c r="Z366" s="98"/>
      <c r="AA366" s="98"/>
      <c r="AB366" s="98"/>
      <c r="AC366" s="98"/>
      <c r="AD366" s="98"/>
      <c r="AE366" s="98"/>
      <c r="AF366" s="98"/>
      <c r="AG366" s="98"/>
      <c r="AH366" s="98"/>
      <c r="AI366" s="98"/>
      <c r="AJ366" s="98"/>
      <c r="AK366" s="98"/>
      <c r="AL366" s="98"/>
      <c r="AM366" s="98"/>
      <c r="AN366" s="98"/>
      <c r="AO366" s="98"/>
    </row>
    <row r="367" spans="1:41" ht="15.75" customHeight="1">
      <c r="A367" s="39" t="s">
        <v>155</v>
      </c>
      <c r="B367" s="224">
        <f>('Pivot Table for Data Exchange'!$N$547)*100</f>
        <v>61.119312108195736</v>
      </c>
      <c r="C367" s="224">
        <f>('Pivot Table for Data Exchange'!$N$550)*100</f>
        <v>16.89031242535896</v>
      </c>
      <c r="D367" s="228">
        <f>SUM(E367:G367)</f>
        <v>21.990375466445304</v>
      </c>
      <c r="E367" s="224">
        <f>('Pivot Table for Data Exchange'!$N$553)*100</f>
        <v>20.128118282306598</v>
      </c>
      <c r="F367" s="224">
        <f>('Pivot Table for Data Exchange'!$N$556)*100</f>
        <v>1.8622571841387061</v>
      </c>
      <c r="G367" s="225">
        <f>('Pivot Table for Data Exchange'!$N$559)*100</f>
        <v>0</v>
      </c>
      <c r="H367" s="224">
        <f>('Pivot Table for Data Exchange'!$N$562)*100</f>
        <v>0</v>
      </c>
      <c r="I367" s="65"/>
      <c r="J367" s="81"/>
      <c r="K367" s="81"/>
      <c r="L367" s="81"/>
      <c r="M367" s="81"/>
      <c r="N367" s="81"/>
      <c r="O367" s="81"/>
      <c r="P367" s="81"/>
      <c r="Q367" s="226">
        <f t="shared" si="44"/>
        <v>100</v>
      </c>
      <c r="R367" s="97"/>
      <c r="S367" s="98"/>
      <c r="T367" s="98"/>
      <c r="U367" s="98"/>
      <c r="V367" s="98"/>
      <c r="W367" s="98"/>
      <c r="X367" s="98"/>
      <c r="Y367" s="98"/>
      <c r="Z367" s="98"/>
      <c r="AA367" s="98"/>
      <c r="AB367" s="98"/>
      <c r="AC367" s="98"/>
      <c r="AD367" s="98"/>
      <c r="AE367" s="98"/>
      <c r="AF367" s="98"/>
      <c r="AG367" s="98"/>
      <c r="AH367" s="98"/>
      <c r="AI367" s="98"/>
      <c r="AJ367" s="98"/>
      <c r="AK367" s="98"/>
      <c r="AL367" s="98"/>
      <c r="AM367" s="98"/>
      <c r="AN367" s="98"/>
      <c r="AO367" s="98"/>
    </row>
    <row r="368" spans="1:41" s="103" customFormat="1" ht="12" customHeight="1">
      <c r="A368" s="691" t="s">
        <v>175</v>
      </c>
      <c r="B368" s="69"/>
      <c r="C368" s="69"/>
      <c r="D368" s="70"/>
      <c r="E368" s="69"/>
      <c r="F368" s="70"/>
      <c r="G368" s="70"/>
      <c r="H368" s="69"/>
      <c r="I368" s="24"/>
      <c r="J368" s="69"/>
      <c r="K368" s="69"/>
      <c r="L368" s="70"/>
      <c r="M368" s="69"/>
      <c r="N368" s="70"/>
      <c r="O368" s="70"/>
      <c r="P368" s="69"/>
      <c r="Q368" s="226">
        <f t="shared" si="44"/>
        <v>0</v>
      </c>
      <c r="R368" s="101"/>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row>
    <row r="369" spans="1:41" s="103" customFormat="1" ht="22.5" customHeight="1">
      <c r="A369" s="666" t="s">
        <v>180</v>
      </c>
      <c r="B369" s="692"/>
      <c r="C369" s="692"/>
      <c r="D369" s="692"/>
      <c r="E369" s="692"/>
      <c r="F369" s="692"/>
      <c r="G369" s="692"/>
      <c r="H369" s="692"/>
      <c r="I369" s="24"/>
      <c r="J369" s="25"/>
      <c r="K369" s="25"/>
      <c r="L369" s="25"/>
      <c r="M369" s="25"/>
      <c r="N369" s="25"/>
      <c r="O369" s="25"/>
      <c r="P369" s="77"/>
      <c r="Q369" s="226">
        <f t="shared" si="44"/>
        <v>0</v>
      </c>
      <c r="R369" s="106"/>
    </row>
    <row r="370" spans="1:41" s="103" customFormat="1" ht="13.5" customHeight="1">
      <c r="A370" s="75"/>
      <c r="B370" s="25"/>
      <c r="C370" s="25"/>
      <c r="D370" s="25"/>
      <c r="E370" s="25"/>
      <c r="F370" s="25"/>
      <c r="G370" s="25"/>
      <c r="H370" s="26"/>
      <c r="I370" s="75"/>
      <c r="J370" s="25"/>
      <c r="K370" s="25"/>
      <c r="L370" s="25"/>
      <c r="M370" s="25"/>
      <c r="N370" s="25"/>
      <c r="O370" s="25"/>
      <c r="P370" s="25"/>
      <c r="Q370" s="226">
        <f t="shared" si="44"/>
        <v>0</v>
      </c>
      <c r="R370" s="106"/>
    </row>
    <row r="371" spans="1:41" s="103" customFormat="1">
      <c r="A371" s="26"/>
      <c r="B371" s="69"/>
      <c r="C371" s="69"/>
      <c r="D371" s="70"/>
      <c r="E371" s="69"/>
      <c r="F371" s="70"/>
      <c r="G371" s="70"/>
      <c r="H371" s="27" t="s">
        <v>899</v>
      </c>
      <c r="I371" s="85"/>
      <c r="J371" s="26"/>
      <c r="K371" s="26"/>
      <c r="L371" s="26"/>
      <c r="M371" s="26"/>
      <c r="N371" s="26"/>
      <c r="O371" s="26"/>
      <c r="P371" s="26"/>
      <c r="Q371" s="226">
        <f t="shared" si="44"/>
        <v>0</v>
      </c>
      <c r="R371" s="101"/>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row>
    <row r="372" spans="1:41" ht="18">
      <c r="A372" s="16" t="s">
        <v>212</v>
      </c>
      <c r="B372" s="34"/>
      <c r="C372" s="34"/>
      <c r="D372" s="34"/>
      <c r="E372" s="34"/>
      <c r="F372" s="34"/>
      <c r="G372" s="34"/>
      <c r="H372" s="35"/>
      <c r="I372" s="80"/>
      <c r="J372" s="65"/>
      <c r="K372" s="65"/>
      <c r="L372" s="65"/>
      <c r="M372" s="65"/>
      <c r="N372" s="65"/>
      <c r="O372" s="65"/>
      <c r="P372" s="65"/>
      <c r="Q372" s="226">
        <f t="shared" si="44"/>
        <v>0</v>
      </c>
    </row>
    <row r="373" spans="1:41">
      <c r="A373" s="18"/>
      <c r="B373" s="19"/>
      <c r="C373" s="19"/>
      <c r="D373" s="19"/>
      <c r="E373" s="19"/>
      <c r="F373" s="19"/>
      <c r="G373" s="19"/>
      <c r="H373" s="36"/>
      <c r="I373" s="80"/>
      <c r="J373" s="65"/>
      <c r="K373" s="65"/>
      <c r="L373" s="65"/>
      <c r="M373" s="65"/>
      <c r="N373" s="65"/>
      <c r="O373" s="65"/>
      <c r="P373" s="65"/>
      <c r="Q373" s="226">
        <f t="shared" si="44"/>
        <v>0</v>
      </c>
    </row>
    <row r="374" spans="1:41" ht="15.75">
      <c r="A374" s="37" t="s">
        <v>162</v>
      </c>
      <c r="B374" s="19"/>
      <c r="C374" s="19"/>
      <c r="D374" s="19"/>
      <c r="E374" s="19"/>
      <c r="F374" s="19"/>
      <c r="G374" s="19"/>
      <c r="H374" s="36"/>
      <c r="I374" s="80"/>
      <c r="J374" s="65"/>
      <c r="K374" s="65"/>
      <c r="L374" s="65"/>
      <c r="M374" s="65"/>
      <c r="N374" s="65"/>
      <c r="O374" s="65"/>
      <c r="P374" s="65"/>
      <c r="Q374" s="226">
        <f t="shared" si="44"/>
        <v>0</v>
      </c>
    </row>
    <row r="375" spans="1:41" ht="15.75">
      <c r="A375" s="37" t="s">
        <v>912</v>
      </c>
      <c r="B375" s="19"/>
      <c r="C375" s="19"/>
      <c r="D375" s="19"/>
      <c r="E375" s="19"/>
      <c r="F375" s="19"/>
      <c r="G375" s="19"/>
      <c r="H375" s="36"/>
      <c r="I375" s="80"/>
      <c r="J375" s="65"/>
      <c r="K375" s="65"/>
      <c r="L375" s="65"/>
      <c r="M375" s="65"/>
      <c r="N375" s="65"/>
      <c r="O375" s="65"/>
      <c r="P375" s="65"/>
      <c r="Q375" s="226">
        <f t="shared" si="44"/>
        <v>0</v>
      </c>
    </row>
    <row r="376" spans="1:41">
      <c r="A376" s="39"/>
      <c r="B376" s="40"/>
      <c r="C376" s="40"/>
      <c r="D376" s="40"/>
      <c r="E376" s="40"/>
      <c r="F376" s="40"/>
      <c r="G376" s="40"/>
      <c r="H376" s="40"/>
      <c r="I376" s="80"/>
      <c r="J376" s="65"/>
      <c r="K376" s="65"/>
      <c r="L376" s="65"/>
      <c r="M376" s="65"/>
      <c r="N376" s="65"/>
      <c r="O376" s="65"/>
      <c r="P376" s="65"/>
      <c r="Q376" s="226">
        <f t="shared" si="44"/>
        <v>0</v>
      </c>
    </row>
    <row r="377" spans="1:41">
      <c r="A377" s="43"/>
      <c r="B377" s="44" t="s">
        <v>164</v>
      </c>
      <c r="C377" s="44"/>
      <c r="D377" s="44"/>
      <c r="E377" s="44"/>
      <c r="F377" s="44"/>
      <c r="G377" s="44"/>
      <c r="H377" s="45"/>
      <c r="I377" s="80"/>
      <c r="J377" s="65"/>
      <c r="K377" s="65"/>
      <c r="L377" s="65"/>
      <c r="M377" s="65"/>
      <c r="N377" s="65"/>
      <c r="O377" s="65"/>
      <c r="P377" s="65"/>
      <c r="Q377" s="226">
        <f t="shared" si="44"/>
        <v>0</v>
      </c>
    </row>
    <row r="378" spans="1:41">
      <c r="A378" s="43"/>
      <c r="B378" s="44" t="s">
        <v>165</v>
      </c>
      <c r="C378" s="44"/>
      <c r="D378" s="670" t="s">
        <v>166</v>
      </c>
      <c r="E378" s="668"/>
      <c r="F378" s="668"/>
      <c r="G378" s="668"/>
      <c r="H378" s="49" t="s">
        <v>39</v>
      </c>
      <c r="I378" s="80"/>
      <c r="J378" s="65"/>
      <c r="K378" s="65"/>
      <c r="L378" s="65"/>
      <c r="M378" s="65"/>
      <c r="N378" s="65"/>
      <c r="O378" s="65"/>
      <c r="P378" s="65"/>
      <c r="Q378" s="226">
        <f t="shared" si="44"/>
        <v>0</v>
      </c>
    </row>
    <row r="379" spans="1:41" ht="36">
      <c r="A379" s="43"/>
      <c r="B379" s="50" t="s">
        <v>167</v>
      </c>
      <c r="C379" s="51" t="s">
        <v>168</v>
      </c>
      <c r="D379" s="52" t="s">
        <v>169</v>
      </c>
      <c r="E379" s="53" t="s">
        <v>7</v>
      </c>
      <c r="F379" s="50" t="s">
        <v>170</v>
      </c>
      <c r="G379" s="54" t="s">
        <v>171</v>
      </c>
      <c r="H379" s="55" t="s">
        <v>172</v>
      </c>
      <c r="I379" s="80"/>
      <c r="J379" s="65"/>
      <c r="K379" s="65"/>
      <c r="L379" s="65"/>
      <c r="M379" s="65"/>
      <c r="N379" s="65"/>
      <c r="O379" s="65"/>
      <c r="P379" s="65"/>
      <c r="Q379" s="226">
        <f t="shared" si="44"/>
        <v>0</v>
      </c>
    </row>
    <row r="380" spans="1:41" ht="15.75" customHeight="1">
      <c r="A380" s="62" t="s">
        <v>141</v>
      </c>
      <c r="B380" s="82">
        <f>('Pivot Table for Data Exchange'!$R$7)*100</f>
        <v>87.79117774880487</v>
      </c>
      <c r="C380" s="221">
        <f>('Pivot Table for Data Exchange'!$R$10)*100</f>
        <v>5.9267709691438508</v>
      </c>
      <c r="D380" s="227">
        <f>SUM(E380:G380)</f>
        <v>6.2820512820512819</v>
      </c>
      <c r="E380" s="221">
        <f>('Pivot Table for Data Exchange'!$R$13)*100</f>
        <v>6.2820512820512819</v>
      </c>
      <c r="F380" s="221">
        <f>('Pivot Table for Data Exchange'!$R$16)*100</f>
        <v>0</v>
      </c>
      <c r="G380" s="60">
        <f>('Pivot Table for Data Exchange'!$R$19)*100</f>
        <v>0</v>
      </c>
      <c r="H380" s="221">
        <f>('Pivot Table for Data Exchange'!$R$22)*100</f>
        <v>0</v>
      </c>
      <c r="I380" s="65"/>
      <c r="J380" s="81"/>
      <c r="K380" s="81"/>
      <c r="L380" s="81"/>
      <c r="M380" s="81"/>
      <c r="N380" s="81"/>
      <c r="O380" s="81"/>
      <c r="P380" s="81"/>
      <c r="Q380" s="226">
        <f t="shared" si="44"/>
        <v>100</v>
      </c>
      <c r="R380" s="97"/>
      <c r="S380" s="98"/>
      <c r="T380" s="98"/>
      <c r="U380" s="98"/>
      <c r="V380" s="98"/>
      <c r="W380" s="98"/>
      <c r="X380" s="98"/>
      <c r="Y380" s="98"/>
      <c r="Z380" s="98"/>
      <c r="AA380" s="98"/>
      <c r="AB380" s="98"/>
      <c r="AC380" s="98"/>
      <c r="AD380" s="98"/>
      <c r="AE380" s="98"/>
      <c r="AF380" s="98"/>
      <c r="AG380" s="98"/>
      <c r="AH380" s="98"/>
      <c r="AI380" s="98"/>
      <c r="AJ380" s="98"/>
      <c r="AK380" s="98"/>
      <c r="AL380" s="98"/>
      <c r="AM380" s="98"/>
      <c r="AN380" s="98"/>
      <c r="AO380" s="98"/>
    </row>
    <row r="381" spans="1:41" ht="15.75" customHeight="1">
      <c r="A381" s="65" t="s">
        <v>142</v>
      </c>
      <c r="B381" s="221">
        <f>('Pivot Table for Data Exchange'!$R$43)*100</f>
        <v>0</v>
      </c>
      <c r="C381" s="221">
        <f>('Pivot Table for Data Exchange'!$R$46)*100</f>
        <v>0</v>
      </c>
      <c r="D381" s="227">
        <f t="shared" ref="D381:D383" si="47">SUM(E381:G381)</f>
        <v>0</v>
      </c>
      <c r="E381" s="221">
        <f>('Pivot Table for Data Exchange'!$R$49)*100</f>
        <v>0</v>
      </c>
      <c r="F381" s="221">
        <f>('Pivot Table for Data Exchange'!$R$52)*100</f>
        <v>0</v>
      </c>
      <c r="G381" s="223">
        <f>('Pivot Table for Data Exchange'!$R$55)*100</f>
        <v>0</v>
      </c>
      <c r="H381" s="221">
        <f>('Pivot Table for Data Exchange'!$R$58)*100</f>
        <v>0</v>
      </c>
      <c r="I381" s="65"/>
      <c r="J381" s="81"/>
      <c r="K381" s="81"/>
      <c r="L381" s="81"/>
      <c r="M381" s="81"/>
      <c r="N381" s="81"/>
      <c r="O381" s="81"/>
      <c r="P381" s="81"/>
      <c r="Q381" s="226">
        <f t="shared" si="44"/>
        <v>0</v>
      </c>
      <c r="R381" s="97"/>
      <c r="S381" s="98"/>
      <c r="T381" s="98"/>
      <c r="U381" s="98"/>
      <c r="V381" s="98"/>
      <c r="W381" s="98"/>
      <c r="X381" s="98"/>
      <c r="Y381" s="98"/>
      <c r="Z381" s="98"/>
      <c r="AA381" s="98"/>
      <c r="AB381" s="98"/>
      <c r="AC381" s="98"/>
      <c r="AD381" s="98"/>
      <c r="AE381" s="98"/>
      <c r="AF381" s="98"/>
      <c r="AG381" s="98"/>
      <c r="AH381" s="98"/>
      <c r="AI381" s="98"/>
      <c r="AJ381" s="98"/>
      <c r="AK381" s="98"/>
      <c r="AL381" s="98"/>
      <c r="AM381" s="98"/>
      <c r="AN381" s="98"/>
      <c r="AO381" s="98"/>
    </row>
    <row r="382" spans="1:41" ht="15.75" customHeight="1">
      <c r="A382" s="65" t="s">
        <v>143</v>
      </c>
      <c r="B382" s="221">
        <f>('Pivot Table for Data Exchange'!$R$79)*100</f>
        <v>0</v>
      </c>
      <c r="C382" s="221">
        <f>('Pivot Table for Data Exchange'!$R$82)*100</f>
        <v>0</v>
      </c>
      <c r="D382" s="227">
        <f t="shared" si="47"/>
        <v>0</v>
      </c>
      <c r="E382" s="221">
        <f>('Pivot Table for Data Exchange'!$R$85)*100</f>
        <v>0</v>
      </c>
      <c r="F382" s="221">
        <f>('Pivot Table for Data Exchange'!$R$88)*100</f>
        <v>0</v>
      </c>
      <c r="G382" s="223">
        <f>('Pivot Table for Data Exchange'!$R$91)*100</f>
        <v>0</v>
      </c>
      <c r="H382" s="221">
        <f>('Pivot Table for Data Exchange'!$R$94)*100</f>
        <v>0</v>
      </c>
      <c r="I382" s="65"/>
      <c r="J382" s="81"/>
      <c r="K382" s="81"/>
      <c r="L382" s="81"/>
      <c r="M382" s="81"/>
      <c r="N382" s="81"/>
      <c r="O382" s="81"/>
      <c r="P382" s="81"/>
      <c r="Q382" s="226">
        <f t="shared" si="44"/>
        <v>0</v>
      </c>
      <c r="R382" s="97"/>
      <c r="S382" s="98"/>
      <c r="T382" s="104"/>
      <c r="U382" s="98"/>
      <c r="V382" s="98"/>
      <c r="W382" s="98"/>
      <c r="X382" s="98"/>
      <c r="Y382" s="98"/>
      <c r="Z382" s="98"/>
      <c r="AA382" s="98"/>
      <c r="AB382" s="98"/>
      <c r="AC382" s="98"/>
      <c r="AD382" s="98"/>
      <c r="AE382" s="98"/>
      <c r="AF382" s="98"/>
      <c r="AG382" s="98"/>
      <c r="AH382" s="98"/>
      <c r="AI382" s="98"/>
      <c r="AJ382" s="98"/>
      <c r="AK382" s="98"/>
      <c r="AL382" s="98"/>
      <c r="AM382" s="98"/>
      <c r="AN382" s="98"/>
      <c r="AO382" s="98"/>
    </row>
    <row r="383" spans="1:41" ht="15.75" customHeight="1">
      <c r="A383" s="65" t="s">
        <v>144</v>
      </c>
      <c r="B383" s="221">
        <f>('Pivot Table for Data Exchange'!$R$115)*100</f>
        <v>0</v>
      </c>
      <c r="C383" s="221">
        <f>('Pivot Table for Data Exchange'!$R$118)*100</f>
        <v>0</v>
      </c>
      <c r="D383" s="227">
        <f t="shared" si="47"/>
        <v>0</v>
      </c>
      <c r="E383" s="221">
        <f>('Pivot Table for Data Exchange'!$R$121)*100</f>
        <v>0</v>
      </c>
      <c r="F383" s="221">
        <f>('Pivot Table for Data Exchange'!$R$124)*100</f>
        <v>0</v>
      </c>
      <c r="G383" s="223">
        <f>('Pivot Table for Data Exchange'!$R$127)*100</f>
        <v>0</v>
      </c>
      <c r="H383" s="221">
        <f>('Pivot Table for Data Exchange'!$R$130)*100</f>
        <v>0</v>
      </c>
      <c r="I383" s="65"/>
      <c r="J383" s="81"/>
      <c r="K383" s="81"/>
      <c r="L383" s="81"/>
      <c r="M383" s="81"/>
      <c r="N383" s="81"/>
      <c r="O383" s="81"/>
      <c r="P383" s="81"/>
      <c r="Q383" s="226">
        <f t="shared" si="44"/>
        <v>0</v>
      </c>
      <c r="R383" s="97"/>
      <c r="S383" s="98"/>
      <c r="U383" s="98"/>
      <c r="V383" s="98"/>
      <c r="W383" s="98"/>
      <c r="X383" s="98"/>
      <c r="Y383" s="98"/>
      <c r="Z383" s="98"/>
      <c r="AA383" s="98"/>
      <c r="AB383" s="98"/>
      <c r="AC383" s="98"/>
      <c r="AD383" s="98"/>
      <c r="AE383" s="98"/>
      <c r="AF383" s="98"/>
      <c r="AG383" s="98"/>
      <c r="AH383" s="98"/>
      <c r="AI383" s="98"/>
      <c r="AJ383" s="98"/>
      <c r="AK383" s="98"/>
      <c r="AL383" s="98"/>
      <c r="AM383" s="98"/>
      <c r="AN383" s="98"/>
      <c r="AO383" s="98"/>
    </row>
    <row r="384" spans="1:41" ht="15.75" customHeight="1">
      <c r="A384" s="65"/>
      <c r="B384" s="221"/>
      <c r="C384" s="221"/>
      <c r="D384" s="227"/>
      <c r="E384" s="221"/>
      <c r="F384" s="221"/>
      <c r="G384" s="223"/>
      <c r="H384" s="221"/>
      <c r="I384" s="65"/>
      <c r="J384" s="81"/>
      <c r="K384" s="81"/>
      <c r="L384" s="81"/>
      <c r="M384" s="81"/>
      <c r="N384" s="81"/>
      <c r="O384" s="81"/>
      <c r="P384" s="81"/>
      <c r="Q384" s="226">
        <f t="shared" si="44"/>
        <v>0</v>
      </c>
      <c r="R384" s="97"/>
      <c r="S384" s="98"/>
      <c r="U384" s="98"/>
      <c r="V384" s="98"/>
      <c r="W384" s="98"/>
      <c r="X384" s="98"/>
      <c r="Y384" s="98"/>
      <c r="Z384" s="98"/>
      <c r="AA384" s="98"/>
      <c r="AB384" s="98"/>
      <c r="AC384" s="98"/>
      <c r="AD384" s="98"/>
      <c r="AE384" s="98"/>
      <c r="AF384" s="98"/>
      <c r="AG384" s="98"/>
      <c r="AH384" s="98"/>
      <c r="AI384" s="98"/>
      <c r="AJ384" s="98"/>
      <c r="AK384" s="98"/>
      <c r="AL384" s="98"/>
      <c r="AM384" s="98"/>
      <c r="AN384" s="98"/>
      <c r="AO384" s="98"/>
    </row>
    <row r="385" spans="1:41" ht="15.75" customHeight="1">
      <c r="A385" s="65" t="s">
        <v>145</v>
      </c>
      <c r="B385" s="221">
        <f>('Pivot Table for Data Exchange'!$R$151)*100</f>
        <v>69.083958373390061</v>
      </c>
      <c r="C385" s="221">
        <f>('Pivot Table for Data Exchange'!$R$154)*100</f>
        <v>0</v>
      </c>
      <c r="D385" s="227">
        <f t="shared" ref="D385:D386" si="48">SUM(E385:G385)</f>
        <v>30.916041626609935</v>
      </c>
      <c r="E385" s="221">
        <f>('Pivot Table for Data Exchange'!$R$157)*100</f>
        <v>30.572090381478063</v>
      </c>
      <c r="F385" s="221">
        <f>('Pivot Table for Data Exchange'!$R$160)*100</f>
        <v>0.34395124513187159</v>
      </c>
      <c r="G385" s="223">
        <f>('Pivot Table for Data Exchange'!$R$163)*100</f>
        <v>0</v>
      </c>
      <c r="H385" s="221">
        <f>('Pivot Table for Data Exchange'!$R$166)*100</f>
        <v>0</v>
      </c>
      <c r="I385" s="65"/>
      <c r="J385" s="81"/>
      <c r="K385" s="81"/>
      <c r="L385" s="81"/>
      <c r="M385" s="81"/>
      <c r="N385" s="81"/>
      <c r="O385" s="81"/>
      <c r="P385" s="81"/>
      <c r="Q385" s="226">
        <f t="shared" si="44"/>
        <v>100</v>
      </c>
      <c r="R385" s="97"/>
      <c r="S385" s="98"/>
      <c r="T385" s="98"/>
      <c r="U385" s="98"/>
      <c r="V385" s="98"/>
      <c r="W385" s="98"/>
      <c r="X385" s="98"/>
      <c r="Y385" s="98"/>
      <c r="Z385" s="98"/>
      <c r="AA385" s="98"/>
      <c r="AB385" s="98"/>
      <c r="AC385" s="98"/>
      <c r="AD385" s="98"/>
      <c r="AE385" s="98"/>
      <c r="AF385" s="98"/>
      <c r="AG385" s="98"/>
      <c r="AH385" s="98"/>
      <c r="AI385" s="98"/>
      <c r="AJ385" s="98"/>
      <c r="AK385" s="98"/>
      <c r="AL385" s="98"/>
      <c r="AM385" s="98"/>
      <c r="AN385" s="98"/>
      <c r="AO385" s="98"/>
    </row>
    <row r="386" spans="1:41" ht="15.75" customHeight="1">
      <c r="A386" s="65" t="s">
        <v>146</v>
      </c>
      <c r="B386" s="221">
        <f>('Pivot Table for Data Exchange'!$R$187)*100</f>
        <v>62.443681193109846</v>
      </c>
      <c r="C386" s="221">
        <f>('Pivot Table for Data Exchange'!$R$190)*100</f>
        <v>9.1892703694513731</v>
      </c>
      <c r="D386" s="227">
        <f t="shared" si="48"/>
        <v>28.367048437438786</v>
      </c>
      <c r="E386" s="221">
        <f>('Pivot Table for Data Exchange'!$R$193)*100</f>
        <v>28.367048437438786</v>
      </c>
      <c r="F386" s="221">
        <f>('Pivot Table for Data Exchange'!$R$196)*100</f>
        <v>0</v>
      </c>
      <c r="G386" s="223">
        <f>('Pivot Table for Data Exchange'!$R$199)*100</f>
        <v>0</v>
      </c>
      <c r="H386" s="221">
        <f>('Pivot Table for Data Exchange'!$R$202)*100</f>
        <v>0</v>
      </c>
      <c r="I386" s="65"/>
      <c r="J386" s="81"/>
      <c r="K386" s="81"/>
      <c r="L386" s="81"/>
      <c r="M386" s="81"/>
      <c r="N386" s="81"/>
      <c r="O386" s="81"/>
      <c r="P386" s="81"/>
      <c r="Q386" s="226">
        <f t="shared" si="44"/>
        <v>100</v>
      </c>
      <c r="R386" s="97"/>
      <c r="S386" s="98"/>
      <c r="T386" s="98"/>
      <c r="U386" s="98"/>
      <c r="V386" s="98"/>
      <c r="W386" s="98"/>
      <c r="X386" s="98"/>
      <c r="Y386" s="98"/>
      <c r="Z386" s="98"/>
      <c r="AA386" s="98"/>
      <c r="AB386" s="98"/>
      <c r="AC386" s="98"/>
      <c r="AD386" s="98"/>
      <c r="AE386" s="98"/>
      <c r="AF386" s="98"/>
      <c r="AG386" s="98"/>
      <c r="AH386" s="98"/>
      <c r="AI386" s="98"/>
      <c r="AJ386" s="98"/>
      <c r="AK386" s="98"/>
      <c r="AL386" s="98"/>
      <c r="AM386" s="98"/>
      <c r="AN386" s="98"/>
      <c r="AO386" s="98"/>
    </row>
    <row r="387" spans="1:41" ht="15.75" customHeight="1">
      <c r="A387" s="65" t="s">
        <v>147</v>
      </c>
      <c r="B387" s="221">
        <f>('Pivot Table for Data Exchange'!$R$223)*100</f>
        <v>0</v>
      </c>
      <c r="C387" s="221">
        <f>('Pivot Table for Data Exchange'!$R$226)*100</f>
        <v>0</v>
      </c>
      <c r="D387" s="227">
        <f>SUM(E387:G387)</f>
        <v>0</v>
      </c>
      <c r="E387" s="221">
        <f>('Pivot Table for Data Exchange'!$R$229)*100</f>
        <v>0</v>
      </c>
      <c r="F387" s="221">
        <f>('Pivot Table for Data Exchange'!$R$232)*100</f>
        <v>0</v>
      </c>
      <c r="G387" s="223">
        <f>('Pivot Table for Data Exchange'!$R$235)*100</f>
        <v>0</v>
      </c>
      <c r="H387" s="221">
        <f>('Pivot Table for Data Exchange'!$R$238)*100</f>
        <v>0</v>
      </c>
      <c r="I387" s="86"/>
      <c r="J387" s="81"/>
      <c r="K387" s="81"/>
      <c r="L387" s="81"/>
      <c r="M387" s="81"/>
      <c r="N387" s="81"/>
      <c r="O387" s="81"/>
      <c r="P387" s="81"/>
      <c r="Q387" s="226">
        <f t="shared" si="44"/>
        <v>0</v>
      </c>
      <c r="R387" s="97"/>
      <c r="S387" s="98"/>
      <c r="T387" s="104"/>
      <c r="U387" s="98"/>
      <c r="V387" s="98"/>
      <c r="W387" s="98"/>
      <c r="X387" s="98"/>
      <c r="Y387" s="98"/>
      <c r="Z387" s="98"/>
      <c r="AA387" s="98"/>
      <c r="AB387" s="98"/>
      <c r="AC387" s="98"/>
      <c r="AD387" s="98"/>
      <c r="AE387" s="98"/>
      <c r="AF387" s="98"/>
      <c r="AG387" s="98"/>
      <c r="AH387" s="98"/>
      <c r="AI387" s="98"/>
      <c r="AJ387" s="98"/>
      <c r="AK387" s="98"/>
      <c r="AL387" s="98"/>
      <c r="AM387" s="98"/>
      <c r="AN387" s="98"/>
      <c r="AO387" s="98"/>
    </row>
    <row r="388" spans="1:41" ht="15.75" customHeight="1">
      <c r="A388" s="65" t="s">
        <v>177</v>
      </c>
      <c r="B388" s="221">
        <f>('Pivot Table for Data Exchange'!$R$259)*100</f>
        <v>0</v>
      </c>
      <c r="C388" s="221">
        <f>('Pivot Table for Data Exchange'!$R$262)*100</f>
        <v>0</v>
      </c>
      <c r="D388" s="227">
        <f>SUM(E388:G388)</f>
        <v>0</v>
      </c>
      <c r="E388" s="221">
        <f>('Pivot Table for Data Exchange'!$R$265)*100</f>
        <v>0</v>
      </c>
      <c r="F388" s="221">
        <f>('Pivot Table for Data Exchange'!$R$268)*100</f>
        <v>0</v>
      </c>
      <c r="G388" s="223">
        <f>('Pivot Table for Data Exchange'!$R$271)*100</f>
        <v>0</v>
      </c>
      <c r="H388" s="221">
        <f>('Pivot Table for Data Exchange'!$R$274)*100</f>
        <v>0</v>
      </c>
      <c r="I388" s="65"/>
      <c r="J388" s="81"/>
      <c r="K388" s="81"/>
      <c r="L388" s="81"/>
      <c r="M388" s="81"/>
      <c r="N388" s="81"/>
      <c r="O388" s="81"/>
      <c r="P388" s="81"/>
      <c r="Q388" s="226">
        <f t="shared" si="44"/>
        <v>0</v>
      </c>
      <c r="R388" s="97"/>
      <c r="S388" s="98"/>
      <c r="U388" s="98"/>
      <c r="V388" s="98"/>
      <c r="W388" s="98"/>
      <c r="X388" s="98"/>
      <c r="Y388" s="98"/>
      <c r="Z388" s="98"/>
      <c r="AA388" s="98"/>
      <c r="AB388" s="98"/>
      <c r="AC388" s="98"/>
      <c r="AD388" s="98"/>
      <c r="AE388" s="98"/>
      <c r="AF388" s="98"/>
      <c r="AG388" s="98"/>
      <c r="AH388" s="98"/>
      <c r="AI388" s="98"/>
      <c r="AJ388" s="98"/>
      <c r="AK388" s="98"/>
      <c r="AL388" s="98"/>
      <c r="AM388" s="98"/>
      <c r="AN388" s="98"/>
      <c r="AO388" s="98"/>
    </row>
    <row r="389" spans="1:41" ht="15.75" customHeight="1">
      <c r="A389" s="65"/>
      <c r="B389" s="221"/>
      <c r="C389" s="221"/>
      <c r="D389" s="227"/>
      <c r="E389" s="221"/>
      <c r="F389" s="221"/>
      <c r="G389" s="223"/>
      <c r="H389" s="221"/>
      <c r="I389" s="65"/>
      <c r="J389" s="81"/>
      <c r="K389" s="81"/>
      <c r="L389" s="81"/>
      <c r="M389" s="81"/>
      <c r="N389" s="81"/>
      <c r="O389" s="81"/>
      <c r="P389" s="81"/>
      <c r="Q389" s="226">
        <f t="shared" si="44"/>
        <v>0</v>
      </c>
      <c r="R389" s="97"/>
      <c r="S389" s="98"/>
      <c r="U389" s="98"/>
      <c r="V389" s="98"/>
      <c r="W389" s="98"/>
      <c r="X389" s="98"/>
      <c r="Y389" s="98"/>
      <c r="Z389" s="98"/>
      <c r="AA389" s="98"/>
      <c r="AB389" s="98"/>
      <c r="AC389" s="98"/>
      <c r="AD389" s="98"/>
      <c r="AE389" s="98"/>
      <c r="AF389" s="98"/>
      <c r="AG389" s="98"/>
      <c r="AH389" s="98"/>
      <c r="AI389" s="98"/>
      <c r="AJ389" s="98"/>
      <c r="AK389" s="98"/>
      <c r="AL389" s="98"/>
      <c r="AM389" s="98"/>
      <c r="AN389" s="98"/>
      <c r="AO389" s="98"/>
    </row>
    <row r="390" spans="1:41" ht="15.75" customHeight="1">
      <c r="A390" s="65" t="s">
        <v>148</v>
      </c>
      <c r="B390" s="221">
        <f>('Pivot Table for Data Exchange'!$R$295)*100</f>
        <v>0</v>
      </c>
      <c r="C390" s="221">
        <f>('Pivot Table for Data Exchange'!$R$298)*100</f>
        <v>0</v>
      </c>
      <c r="D390" s="227">
        <f>SUM(E390:G390)</f>
        <v>0</v>
      </c>
      <c r="E390" s="221">
        <f>('Pivot Table for Data Exchange'!$R$301)*100</f>
        <v>0</v>
      </c>
      <c r="F390" s="221">
        <f>('Pivot Table for Data Exchange'!$R$304)*100</f>
        <v>0</v>
      </c>
      <c r="G390" s="223">
        <f>('Pivot Table for Data Exchange'!$R$307)*100</f>
        <v>0</v>
      </c>
      <c r="H390" s="221">
        <f>('Pivot Table for Data Exchange'!$R$310)*100</f>
        <v>0</v>
      </c>
      <c r="I390" s="65"/>
      <c r="J390" s="81"/>
      <c r="K390" s="81"/>
      <c r="L390" s="81"/>
      <c r="M390" s="81"/>
      <c r="N390" s="81"/>
      <c r="O390" s="81"/>
      <c r="P390" s="81"/>
      <c r="Q390" s="226">
        <f t="shared" si="44"/>
        <v>0</v>
      </c>
      <c r="R390" s="97"/>
      <c r="S390" s="98"/>
      <c r="T390" s="98"/>
      <c r="U390" s="98"/>
      <c r="V390" s="98"/>
      <c r="W390" s="98"/>
      <c r="X390" s="98"/>
      <c r="Y390" s="98"/>
      <c r="Z390" s="98"/>
      <c r="AA390" s="98"/>
      <c r="AB390" s="98"/>
      <c r="AC390" s="98"/>
      <c r="AD390" s="98"/>
      <c r="AE390" s="98"/>
      <c r="AF390" s="98"/>
      <c r="AG390" s="98"/>
      <c r="AH390" s="98"/>
      <c r="AI390" s="98"/>
      <c r="AJ390" s="98"/>
      <c r="AK390" s="98"/>
      <c r="AL390" s="98"/>
      <c r="AM390" s="98"/>
      <c r="AN390" s="98"/>
      <c r="AO390" s="98"/>
    </row>
    <row r="391" spans="1:41" ht="15.75" customHeight="1">
      <c r="A391" s="65" t="s">
        <v>149</v>
      </c>
      <c r="B391" s="221">
        <f>('Pivot Table for Data Exchange'!$R$331)*100</f>
        <v>0</v>
      </c>
      <c r="C391" s="221">
        <f>('Pivot Table for Data Exchange'!$R$334)*100</f>
        <v>0</v>
      </c>
      <c r="D391" s="227">
        <f>SUM(E391:G391)</f>
        <v>0</v>
      </c>
      <c r="E391" s="221">
        <f>('Pivot Table for Data Exchange'!$R$337)*100</f>
        <v>0</v>
      </c>
      <c r="F391" s="221">
        <f>('Pivot Table for Data Exchange'!$R$340)*100</f>
        <v>0</v>
      </c>
      <c r="G391" s="223">
        <f>('Pivot Table for Data Exchange'!$R$343)*100</f>
        <v>0</v>
      </c>
      <c r="H391" s="221">
        <f>('Pivot Table for Data Exchange'!$R$346)*100</f>
        <v>0</v>
      </c>
      <c r="I391" s="65"/>
      <c r="J391" s="81"/>
      <c r="K391" s="81"/>
      <c r="L391" s="81"/>
      <c r="M391" s="81"/>
      <c r="N391" s="81"/>
      <c r="O391" s="81"/>
      <c r="P391" s="81"/>
      <c r="Q391" s="226">
        <f t="shared" si="44"/>
        <v>0</v>
      </c>
      <c r="R391" s="97"/>
      <c r="S391" s="98"/>
      <c r="T391" s="98"/>
      <c r="U391" s="98"/>
      <c r="V391" s="98"/>
      <c r="W391" s="98"/>
      <c r="X391" s="98"/>
      <c r="Y391" s="98"/>
      <c r="Z391" s="98"/>
      <c r="AA391" s="98"/>
      <c r="AB391" s="98"/>
      <c r="AC391" s="98"/>
      <c r="AD391" s="98"/>
      <c r="AE391" s="98"/>
      <c r="AF391" s="98"/>
      <c r="AG391" s="98"/>
      <c r="AH391" s="98"/>
      <c r="AI391" s="98"/>
      <c r="AJ391" s="98"/>
      <c r="AK391" s="98"/>
      <c r="AL391" s="98"/>
      <c r="AM391" s="98"/>
      <c r="AN391" s="98"/>
      <c r="AO391" s="98"/>
    </row>
    <row r="392" spans="1:41" ht="15.75" customHeight="1">
      <c r="A392" s="65" t="s">
        <v>150</v>
      </c>
      <c r="B392" s="221">
        <f>('Pivot Table for Data Exchange'!$R$367)*100</f>
        <v>0</v>
      </c>
      <c r="C392" s="221">
        <f>('Pivot Table for Data Exchange'!$R$370)*100</f>
        <v>0</v>
      </c>
      <c r="D392" s="227">
        <f>SUM(E392:G392)</f>
        <v>0</v>
      </c>
      <c r="E392" s="221">
        <f>('Pivot Table for Data Exchange'!$R$373)*100</f>
        <v>0</v>
      </c>
      <c r="F392" s="221">
        <f>('Pivot Table for Data Exchange'!$R$376)*100</f>
        <v>0</v>
      </c>
      <c r="G392" s="223">
        <f>('Pivot Table for Data Exchange'!$R$379)*100</f>
        <v>0</v>
      </c>
      <c r="H392" s="221">
        <f>('Pivot Table for Data Exchange'!$R$382)*100</f>
        <v>0</v>
      </c>
      <c r="I392" s="65"/>
      <c r="J392" s="81"/>
      <c r="K392" s="81"/>
      <c r="L392" s="81"/>
      <c r="M392" s="81"/>
      <c r="N392" s="81"/>
      <c r="O392" s="81"/>
      <c r="P392" s="81"/>
      <c r="Q392" s="226">
        <f t="shared" si="44"/>
        <v>0</v>
      </c>
      <c r="R392" s="97"/>
      <c r="S392" s="98"/>
      <c r="T392" s="104"/>
      <c r="U392" s="98"/>
      <c r="V392" s="98"/>
      <c r="W392" s="98"/>
      <c r="X392" s="98"/>
      <c r="Y392" s="98"/>
      <c r="Z392" s="98"/>
      <c r="AA392" s="98"/>
      <c r="AB392" s="98"/>
      <c r="AC392" s="98"/>
      <c r="AD392" s="98"/>
      <c r="AE392" s="98"/>
      <c r="AF392" s="98"/>
      <c r="AG392" s="98"/>
      <c r="AH392" s="98"/>
      <c r="AI392" s="98"/>
      <c r="AJ392" s="98"/>
      <c r="AK392" s="98"/>
      <c r="AL392" s="98"/>
      <c r="AM392" s="98"/>
      <c r="AN392" s="98"/>
      <c r="AO392" s="98"/>
    </row>
    <row r="393" spans="1:41" ht="15.75" customHeight="1">
      <c r="A393" s="65" t="s">
        <v>151</v>
      </c>
      <c r="B393" s="221">
        <f>('Pivot Table for Data Exchange'!$R$403)*100</f>
        <v>0</v>
      </c>
      <c r="C393" s="221">
        <f>('Pivot Table for Data Exchange'!$R$406)*100</f>
        <v>0</v>
      </c>
      <c r="D393" s="227">
        <f>SUM(E393:G393)</f>
        <v>0</v>
      </c>
      <c r="E393" s="221">
        <f>('Pivot Table for Data Exchange'!$R$409)*100</f>
        <v>0</v>
      </c>
      <c r="F393" s="221">
        <f>('Pivot Table for Data Exchange'!$R$412)*100</f>
        <v>0</v>
      </c>
      <c r="G393" s="223">
        <f>('Pivot Table for Data Exchange'!$R$415)*100</f>
        <v>0</v>
      </c>
      <c r="H393" s="221">
        <f>('Pivot Table for Data Exchange'!$R$418)*100</f>
        <v>0</v>
      </c>
      <c r="I393" s="65"/>
      <c r="J393" s="81"/>
      <c r="K393" s="81"/>
      <c r="L393" s="81"/>
      <c r="M393" s="81"/>
      <c r="N393" s="81"/>
      <c r="O393" s="81"/>
      <c r="P393" s="81"/>
      <c r="Q393" s="226">
        <f t="shared" si="44"/>
        <v>0</v>
      </c>
      <c r="R393" s="97"/>
      <c r="S393" s="98"/>
      <c r="T393" s="98"/>
      <c r="U393" s="98"/>
      <c r="V393" s="98"/>
      <c r="W393" s="98"/>
      <c r="X393" s="98"/>
      <c r="Y393" s="98"/>
      <c r="Z393" s="98"/>
      <c r="AA393" s="98"/>
      <c r="AB393" s="98"/>
      <c r="AC393" s="98"/>
      <c r="AD393" s="98"/>
      <c r="AE393" s="98"/>
      <c r="AF393" s="98"/>
      <c r="AG393" s="98"/>
      <c r="AH393" s="98"/>
      <c r="AI393" s="98"/>
      <c r="AJ393" s="98"/>
      <c r="AK393" s="98"/>
      <c r="AL393" s="98"/>
      <c r="AM393" s="98"/>
      <c r="AN393" s="98"/>
      <c r="AO393" s="98"/>
    </row>
    <row r="394" spans="1:41" ht="15.75" customHeight="1">
      <c r="A394" s="65"/>
      <c r="B394" s="221"/>
      <c r="C394" s="221"/>
      <c r="D394" s="227"/>
      <c r="E394" s="221"/>
      <c r="F394" s="221"/>
      <c r="G394" s="223"/>
      <c r="H394" s="221"/>
      <c r="I394" s="65"/>
      <c r="J394" s="81"/>
      <c r="K394" s="81"/>
      <c r="L394" s="81"/>
      <c r="M394" s="81"/>
      <c r="N394" s="81"/>
      <c r="O394" s="81"/>
      <c r="P394" s="81"/>
      <c r="Q394" s="226">
        <f t="shared" si="44"/>
        <v>0</v>
      </c>
      <c r="R394" s="97"/>
      <c r="S394" s="98"/>
      <c r="T394" s="98"/>
      <c r="U394" s="98"/>
      <c r="V394" s="98"/>
      <c r="W394" s="98"/>
      <c r="X394" s="98"/>
      <c r="Y394" s="98"/>
      <c r="Z394" s="98"/>
      <c r="AA394" s="98"/>
      <c r="AB394" s="98"/>
      <c r="AC394" s="98"/>
      <c r="AD394" s="98"/>
      <c r="AE394" s="98"/>
      <c r="AF394" s="98"/>
      <c r="AG394" s="98"/>
      <c r="AH394" s="98"/>
      <c r="AI394" s="98"/>
      <c r="AJ394" s="98"/>
      <c r="AK394" s="98"/>
      <c r="AL394" s="98"/>
      <c r="AM394" s="98"/>
      <c r="AN394" s="98"/>
      <c r="AO394" s="98"/>
    </row>
    <row r="395" spans="1:41" ht="15.75" customHeight="1">
      <c r="A395" s="65" t="s">
        <v>152</v>
      </c>
      <c r="B395" s="221">
        <f>('Pivot Table for Data Exchange'!$R$439)*100</f>
        <v>0</v>
      </c>
      <c r="C395" s="221">
        <f>('Pivot Table for Data Exchange'!$R$442)*100</f>
        <v>0</v>
      </c>
      <c r="D395" s="227">
        <f>SUM(E395:G395)</f>
        <v>0</v>
      </c>
      <c r="E395" s="221">
        <f>('Pivot Table for Data Exchange'!$R$445)*100</f>
        <v>0</v>
      </c>
      <c r="F395" s="221">
        <f>('Pivot Table for Data Exchange'!$R$448)*100</f>
        <v>0</v>
      </c>
      <c r="G395" s="223">
        <f>('Pivot Table for Data Exchange'!$R$451)*100</f>
        <v>0</v>
      </c>
      <c r="H395" s="221">
        <f>('Pivot Table for Data Exchange'!$R$454)*100</f>
        <v>0</v>
      </c>
      <c r="I395" s="65"/>
      <c r="J395" s="81"/>
      <c r="K395" s="81"/>
      <c r="L395" s="81"/>
      <c r="M395" s="81"/>
      <c r="N395" s="81"/>
      <c r="O395" s="81"/>
      <c r="P395" s="81"/>
      <c r="Q395" s="226">
        <f t="shared" si="44"/>
        <v>0</v>
      </c>
      <c r="R395" s="97"/>
      <c r="S395" s="98"/>
      <c r="T395" s="98"/>
      <c r="U395" s="98"/>
      <c r="V395" s="98"/>
      <c r="W395" s="98"/>
      <c r="X395" s="98"/>
      <c r="Y395" s="98"/>
      <c r="Z395" s="98"/>
      <c r="AA395" s="98"/>
      <c r="AB395" s="98"/>
      <c r="AC395" s="98"/>
      <c r="AD395" s="98"/>
      <c r="AE395" s="98"/>
      <c r="AF395" s="98"/>
      <c r="AG395" s="98"/>
      <c r="AH395" s="98"/>
      <c r="AI395" s="98"/>
      <c r="AJ395" s="98"/>
      <c r="AK395" s="98"/>
      <c r="AL395" s="98"/>
      <c r="AM395" s="98"/>
      <c r="AN395" s="98"/>
      <c r="AO395" s="98"/>
    </row>
    <row r="396" spans="1:41" ht="15.75" customHeight="1">
      <c r="A396" s="65" t="s">
        <v>153</v>
      </c>
      <c r="B396" s="221">
        <f>('Pivot Table for Data Exchange'!$R$475)*100</f>
        <v>0</v>
      </c>
      <c r="C396" s="221">
        <f>('Pivot Table for Data Exchange'!$R$478)*100</f>
        <v>0</v>
      </c>
      <c r="D396" s="227">
        <f>SUM(E396:G396)</f>
        <v>0</v>
      </c>
      <c r="E396" s="221">
        <f>('Pivot Table for Data Exchange'!$R$481)*100</f>
        <v>0</v>
      </c>
      <c r="F396" s="221">
        <f>('Pivot Table for Data Exchange'!$R$484)*100</f>
        <v>0</v>
      </c>
      <c r="G396" s="223">
        <f>('Pivot Table for Data Exchange'!$R$487)*100</f>
        <v>0</v>
      </c>
      <c r="H396" s="221">
        <f>('Pivot Table for Data Exchange'!$R$490)*100</f>
        <v>0</v>
      </c>
      <c r="I396" s="65"/>
      <c r="J396" s="81"/>
      <c r="K396" s="81"/>
      <c r="L396" s="81"/>
      <c r="M396" s="81"/>
      <c r="N396" s="81"/>
      <c r="O396" s="81"/>
      <c r="P396" s="81"/>
      <c r="Q396" s="226">
        <f t="shared" si="44"/>
        <v>0</v>
      </c>
      <c r="R396" s="97"/>
      <c r="S396" s="98"/>
      <c r="T396" s="98"/>
      <c r="U396" s="98"/>
      <c r="V396" s="98"/>
      <c r="W396" s="98"/>
      <c r="X396" s="98"/>
      <c r="Y396" s="98"/>
      <c r="Z396" s="98"/>
      <c r="AA396" s="98"/>
      <c r="AB396" s="98"/>
      <c r="AC396" s="98"/>
      <c r="AD396" s="98"/>
      <c r="AE396" s="98"/>
      <c r="AF396" s="98"/>
      <c r="AG396" s="98"/>
      <c r="AH396" s="98"/>
      <c r="AI396" s="98"/>
      <c r="AJ396" s="98"/>
      <c r="AK396" s="98"/>
      <c r="AL396" s="98"/>
      <c r="AM396" s="98"/>
      <c r="AN396" s="98"/>
      <c r="AO396" s="98"/>
    </row>
    <row r="397" spans="1:41" ht="15.75" customHeight="1">
      <c r="A397" s="65" t="s">
        <v>154</v>
      </c>
      <c r="B397" s="221">
        <f>('Pivot Table for Data Exchange'!$R$511)*100</f>
        <v>0</v>
      </c>
      <c r="C397" s="221">
        <f>('Pivot Table for Data Exchange'!$R$514)*100</f>
        <v>0</v>
      </c>
      <c r="D397" s="227">
        <f>SUM(E397:G397)</f>
        <v>0</v>
      </c>
      <c r="E397" s="221">
        <f>('Pivot Table for Data Exchange'!$R$517)*100</f>
        <v>0</v>
      </c>
      <c r="F397" s="221">
        <f>('Pivot Table for Data Exchange'!$R$520)*100</f>
        <v>0</v>
      </c>
      <c r="G397" s="223">
        <f>('Pivot Table for Data Exchange'!$R$523)*100</f>
        <v>0</v>
      </c>
      <c r="H397" s="221">
        <f>('Pivot Table for Data Exchange'!$R$526)*100</f>
        <v>0</v>
      </c>
      <c r="I397" s="65"/>
      <c r="J397" s="81"/>
      <c r="K397" s="81"/>
      <c r="L397" s="81"/>
      <c r="M397" s="81"/>
      <c r="N397" s="81"/>
      <c r="O397" s="81"/>
      <c r="P397" s="81"/>
      <c r="Q397" s="226">
        <f t="shared" si="44"/>
        <v>0</v>
      </c>
      <c r="R397" s="97"/>
      <c r="S397" s="98"/>
      <c r="T397" s="98"/>
      <c r="U397" s="98"/>
      <c r="V397" s="98"/>
      <c r="W397" s="98"/>
      <c r="X397" s="98"/>
      <c r="Y397" s="98"/>
      <c r="Z397" s="98"/>
      <c r="AA397" s="98"/>
      <c r="AB397" s="98"/>
      <c r="AC397" s="98"/>
      <c r="AD397" s="98"/>
      <c r="AE397" s="98"/>
      <c r="AF397" s="98"/>
      <c r="AG397" s="98"/>
      <c r="AH397" s="98"/>
      <c r="AI397" s="98"/>
      <c r="AJ397" s="98"/>
      <c r="AK397" s="98"/>
      <c r="AL397" s="98"/>
      <c r="AM397" s="98"/>
      <c r="AN397" s="98"/>
      <c r="AO397" s="98"/>
    </row>
    <row r="398" spans="1:41" ht="15.75" customHeight="1">
      <c r="A398" s="39" t="s">
        <v>155</v>
      </c>
      <c r="B398" s="224">
        <f>('Pivot Table for Data Exchange'!$R$547)*100</f>
        <v>0</v>
      </c>
      <c r="C398" s="224">
        <f>('Pivot Table for Data Exchange'!$R$550)*100</f>
        <v>0</v>
      </c>
      <c r="D398" s="228">
        <f>SUM(E398:G398)</f>
        <v>0</v>
      </c>
      <c r="E398" s="224">
        <f>('Pivot Table for Data Exchange'!$R$553)*100</f>
        <v>0</v>
      </c>
      <c r="F398" s="224">
        <f>('Pivot Table for Data Exchange'!$R$556)*100</f>
        <v>0</v>
      </c>
      <c r="G398" s="225">
        <f>('Pivot Table for Data Exchange'!$R$559)*100</f>
        <v>0</v>
      </c>
      <c r="H398" s="224">
        <f>('Pivot Table for Data Exchange'!$R$562)*100</f>
        <v>0</v>
      </c>
      <c r="I398" s="65"/>
      <c r="J398" s="81"/>
      <c r="K398" s="81"/>
      <c r="L398" s="81"/>
      <c r="M398" s="81"/>
      <c r="N398" s="81"/>
      <c r="O398" s="81"/>
      <c r="P398" s="81"/>
      <c r="Q398" s="226">
        <f t="shared" si="44"/>
        <v>0</v>
      </c>
      <c r="R398" s="97"/>
      <c r="S398" s="98"/>
      <c r="T398" s="98"/>
      <c r="U398" s="98"/>
      <c r="V398" s="98"/>
      <c r="W398" s="98"/>
      <c r="X398" s="98"/>
      <c r="Y398" s="98"/>
      <c r="Z398" s="98"/>
      <c r="AA398" s="98"/>
      <c r="AB398" s="98"/>
      <c r="AC398" s="98"/>
      <c r="AD398" s="98"/>
      <c r="AE398" s="98"/>
      <c r="AF398" s="98"/>
      <c r="AG398" s="98"/>
      <c r="AH398" s="98"/>
      <c r="AI398" s="98"/>
      <c r="AJ398" s="98"/>
      <c r="AK398" s="98"/>
      <c r="AL398" s="98"/>
      <c r="AM398" s="98"/>
      <c r="AN398" s="98"/>
      <c r="AO398" s="98"/>
    </row>
    <row r="399" spans="1:41" s="103" customFormat="1" ht="14.25" customHeight="1">
      <c r="A399" s="691" t="s">
        <v>175</v>
      </c>
      <c r="B399" s="69"/>
      <c r="C399" s="69"/>
      <c r="D399" s="70"/>
      <c r="E399" s="69"/>
      <c r="F399" s="70"/>
      <c r="G399" s="70"/>
      <c r="H399" s="69"/>
      <c r="I399" s="24"/>
      <c r="J399" s="69"/>
      <c r="K399" s="69"/>
      <c r="L399" s="70"/>
      <c r="M399" s="69"/>
      <c r="N399" s="70"/>
      <c r="O399" s="70"/>
      <c r="P399" s="69"/>
      <c r="Q399" s="226">
        <f t="shared" si="44"/>
        <v>0</v>
      </c>
      <c r="R399" s="101"/>
      <c r="S399" s="102"/>
      <c r="T399" s="102"/>
      <c r="U399" s="102"/>
      <c r="V399" s="102"/>
      <c r="W399" s="102"/>
      <c r="X399" s="102"/>
      <c r="Y399" s="102"/>
      <c r="Z399" s="102"/>
      <c r="AA399" s="102"/>
      <c r="AB399" s="102"/>
      <c r="AC399" s="102"/>
      <c r="AD399" s="102"/>
      <c r="AE399" s="102"/>
      <c r="AF399" s="102"/>
      <c r="AG399" s="102"/>
      <c r="AH399" s="102"/>
      <c r="AI399" s="102"/>
      <c r="AJ399" s="102"/>
      <c r="AK399" s="102"/>
      <c r="AL399" s="102"/>
      <c r="AM399" s="102"/>
      <c r="AN399" s="102"/>
      <c r="AO399" s="102"/>
    </row>
    <row r="400" spans="1:41" s="103" customFormat="1" ht="18" customHeight="1">
      <c r="A400" s="24"/>
      <c r="B400" s="69"/>
      <c r="C400" s="69"/>
      <c r="D400" s="70"/>
      <c r="E400" s="69"/>
      <c r="F400" s="70"/>
      <c r="G400" s="70"/>
      <c r="H400" s="69"/>
      <c r="I400" s="24"/>
      <c r="J400" s="69"/>
      <c r="K400" s="69"/>
      <c r="L400" s="70"/>
      <c r="M400" s="69"/>
      <c r="N400" s="70"/>
      <c r="O400" s="70"/>
      <c r="P400" s="69"/>
      <c r="Q400" s="226">
        <f t="shared" si="44"/>
        <v>0</v>
      </c>
      <c r="R400" s="101"/>
      <c r="S400" s="102"/>
      <c r="T400" s="102"/>
      <c r="U400" s="102"/>
      <c r="V400" s="102"/>
      <c r="W400" s="102"/>
      <c r="X400" s="102"/>
      <c r="Y400" s="102"/>
      <c r="Z400" s="102"/>
      <c r="AA400" s="102"/>
      <c r="AB400" s="102"/>
      <c r="AC400" s="102"/>
      <c r="AD400" s="102"/>
      <c r="AE400" s="102"/>
      <c r="AF400" s="102"/>
      <c r="AG400" s="102"/>
      <c r="AH400" s="102"/>
      <c r="AI400" s="102"/>
      <c r="AJ400" s="102"/>
      <c r="AK400" s="102"/>
      <c r="AL400" s="102"/>
      <c r="AM400" s="102"/>
      <c r="AN400" s="102"/>
      <c r="AO400" s="102"/>
    </row>
    <row r="401" spans="1:41" s="100" customFormat="1" ht="15.75" customHeight="1">
      <c r="A401" s="65"/>
      <c r="B401" s="83"/>
      <c r="C401" s="83"/>
      <c r="D401" s="83"/>
      <c r="E401" s="83"/>
      <c r="F401" s="83"/>
      <c r="G401" s="83"/>
      <c r="H401" s="27" t="s">
        <v>899</v>
      </c>
      <c r="I401" s="65"/>
      <c r="J401" s="81"/>
      <c r="K401" s="81"/>
      <c r="L401" s="81"/>
      <c r="M401" s="81"/>
      <c r="N401" s="81"/>
      <c r="O401" s="81"/>
      <c r="P401" s="81"/>
      <c r="Q401" s="226">
        <f t="shared" si="44"/>
        <v>0</v>
      </c>
      <c r="R401" s="97"/>
      <c r="S401" s="107"/>
      <c r="T401" s="107"/>
      <c r="U401" s="107"/>
      <c r="V401" s="107"/>
      <c r="W401" s="107"/>
      <c r="X401" s="107"/>
      <c r="Y401" s="107"/>
      <c r="Z401" s="107"/>
      <c r="AA401" s="107"/>
      <c r="AB401" s="107"/>
      <c r="AC401" s="107"/>
      <c r="AD401" s="107"/>
      <c r="AE401" s="107"/>
      <c r="AF401" s="107"/>
      <c r="AG401" s="107"/>
      <c r="AH401" s="107"/>
      <c r="AI401" s="107"/>
      <c r="AJ401" s="107"/>
      <c r="AK401" s="107"/>
      <c r="AL401" s="107"/>
      <c r="AM401" s="107"/>
      <c r="AN401" s="107"/>
      <c r="AO401" s="107"/>
    </row>
    <row r="402" spans="1:41" ht="18">
      <c r="A402" s="16" t="s">
        <v>213</v>
      </c>
      <c r="B402" s="34"/>
      <c r="C402" s="34"/>
      <c r="D402" s="34"/>
      <c r="E402" s="34"/>
      <c r="F402" s="34"/>
      <c r="G402" s="34"/>
      <c r="H402" s="35"/>
      <c r="I402" s="80"/>
      <c r="J402" s="65"/>
      <c r="K402" s="65"/>
      <c r="L402" s="65"/>
      <c r="M402" s="65"/>
      <c r="N402" s="65"/>
      <c r="O402" s="65"/>
      <c r="P402" s="65"/>
      <c r="Q402" s="226">
        <f t="shared" si="44"/>
        <v>0</v>
      </c>
    </row>
    <row r="403" spans="1:41">
      <c r="A403" s="18"/>
      <c r="B403" s="19"/>
      <c r="C403" s="19"/>
      <c r="D403" s="19"/>
      <c r="E403" s="19"/>
      <c r="F403" s="19"/>
      <c r="G403" s="19"/>
      <c r="H403" s="36"/>
      <c r="I403" s="80"/>
      <c r="J403" s="65"/>
      <c r="K403" s="65"/>
      <c r="L403" s="65"/>
      <c r="M403" s="65"/>
      <c r="N403" s="65"/>
      <c r="O403" s="65"/>
      <c r="P403" s="65"/>
      <c r="Q403" s="226">
        <f t="shared" si="44"/>
        <v>0</v>
      </c>
    </row>
    <row r="404" spans="1:41" ht="15.75">
      <c r="A404" s="37" t="s">
        <v>162</v>
      </c>
      <c r="B404" s="19"/>
      <c r="C404" s="19"/>
      <c r="D404" s="19"/>
      <c r="E404" s="19"/>
      <c r="F404" s="19"/>
      <c r="G404" s="19"/>
      <c r="H404" s="36"/>
      <c r="I404" s="80"/>
      <c r="J404" s="65"/>
      <c r="K404" s="65"/>
      <c r="L404" s="65"/>
      <c r="M404" s="65"/>
      <c r="N404" s="65"/>
      <c r="O404" s="65"/>
      <c r="P404" s="65"/>
      <c r="Q404" s="226">
        <f t="shared" si="44"/>
        <v>0</v>
      </c>
    </row>
    <row r="405" spans="1:41" ht="15.75">
      <c r="A405" s="37" t="s">
        <v>913</v>
      </c>
      <c r="B405" s="19"/>
      <c r="C405" s="19"/>
      <c r="D405" s="19"/>
      <c r="E405" s="19"/>
      <c r="F405" s="19"/>
      <c r="G405" s="19"/>
      <c r="H405" s="36"/>
      <c r="I405" s="80"/>
      <c r="J405" s="65"/>
      <c r="K405" s="65"/>
      <c r="L405" s="65"/>
      <c r="M405" s="65"/>
      <c r="N405" s="65"/>
      <c r="O405" s="65"/>
      <c r="P405" s="65"/>
      <c r="Q405" s="226">
        <f t="shared" si="44"/>
        <v>0</v>
      </c>
    </row>
    <row r="406" spans="1:41">
      <c r="A406" s="39"/>
      <c r="B406" s="40"/>
      <c r="C406" s="40"/>
      <c r="D406" s="40"/>
      <c r="E406" s="40"/>
      <c r="F406" s="40"/>
      <c r="G406" s="40"/>
      <c r="H406" s="40"/>
      <c r="I406" s="80"/>
      <c r="J406" s="65"/>
      <c r="K406" s="65"/>
      <c r="L406" s="65"/>
      <c r="M406" s="65"/>
      <c r="N406" s="65"/>
      <c r="O406" s="65"/>
      <c r="P406" s="65"/>
      <c r="Q406" s="226">
        <f t="shared" si="44"/>
        <v>0</v>
      </c>
    </row>
    <row r="407" spans="1:41">
      <c r="A407" s="43"/>
      <c r="B407" s="44" t="s">
        <v>164</v>
      </c>
      <c r="C407" s="44"/>
      <c r="D407" s="44"/>
      <c r="E407" s="44"/>
      <c r="F407" s="44"/>
      <c r="G407" s="44"/>
      <c r="H407" s="45"/>
      <c r="I407" s="80"/>
      <c r="J407" s="65"/>
      <c r="K407" s="65"/>
      <c r="L407" s="65"/>
      <c r="M407" s="65"/>
      <c r="N407" s="65"/>
      <c r="O407" s="65"/>
      <c r="P407" s="65"/>
      <c r="Q407" s="226">
        <f t="shared" si="44"/>
        <v>0</v>
      </c>
    </row>
    <row r="408" spans="1:41">
      <c r="A408" s="43"/>
      <c r="B408" s="44" t="s">
        <v>165</v>
      </c>
      <c r="C408" s="44"/>
      <c r="D408" s="670" t="s">
        <v>166</v>
      </c>
      <c r="E408" s="668"/>
      <c r="F408" s="668"/>
      <c r="G408" s="668"/>
      <c r="H408" s="49" t="s">
        <v>39</v>
      </c>
      <c r="I408" s="80"/>
      <c r="J408" s="65"/>
      <c r="K408" s="65"/>
      <c r="L408" s="65"/>
      <c r="M408" s="65"/>
      <c r="N408" s="65"/>
      <c r="O408" s="65"/>
      <c r="P408" s="65"/>
      <c r="Q408" s="226">
        <f t="shared" si="44"/>
        <v>0</v>
      </c>
    </row>
    <row r="409" spans="1:41" ht="36">
      <c r="A409" s="43"/>
      <c r="B409" s="50" t="s">
        <v>167</v>
      </c>
      <c r="C409" s="51" t="s">
        <v>168</v>
      </c>
      <c r="D409" s="52" t="s">
        <v>169</v>
      </c>
      <c r="E409" s="53" t="s">
        <v>7</v>
      </c>
      <c r="F409" s="50" t="s">
        <v>170</v>
      </c>
      <c r="G409" s="54" t="s">
        <v>171</v>
      </c>
      <c r="H409" s="55" t="s">
        <v>172</v>
      </c>
      <c r="I409" s="80"/>
      <c r="J409" s="65"/>
      <c r="K409" s="65"/>
      <c r="L409" s="65"/>
      <c r="M409" s="65"/>
      <c r="N409" s="65"/>
      <c r="O409" s="65"/>
      <c r="P409" s="65"/>
      <c r="Q409" s="226">
        <f t="shared" si="44"/>
        <v>0</v>
      </c>
    </row>
    <row r="410" spans="1:41" ht="15.75" customHeight="1">
      <c r="A410" s="62" t="s">
        <v>141</v>
      </c>
      <c r="B410" s="82">
        <f>('Pivot Table for Data Exchange'!$P$7)*100</f>
        <v>85.871127205840097</v>
      </c>
      <c r="C410" s="221">
        <f>('Pivot Table for Data Exchange'!$P$10)*100</f>
        <v>7.2483761568086447</v>
      </c>
      <c r="D410" s="227">
        <f>SUM(E410:G410)</f>
        <v>6.8804966373512677</v>
      </c>
      <c r="E410" s="221">
        <f>('Pivot Table for Data Exchange'!$P$13)*100</f>
        <v>6.8804966373512677</v>
      </c>
      <c r="F410" s="221">
        <f>('Pivot Table for Data Exchange'!$P$16)*100</f>
        <v>0</v>
      </c>
      <c r="G410" s="60">
        <f>('Pivot Table for Data Exchange'!$P$19)*100</f>
        <v>0</v>
      </c>
      <c r="H410" s="221">
        <f>('Pivot Table for Data Exchange'!$P$22)*100</f>
        <v>0</v>
      </c>
      <c r="I410" s="65"/>
      <c r="J410" s="81"/>
      <c r="K410" s="81"/>
      <c r="L410" s="81"/>
      <c r="M410" s="81"/>
      <c r="N410" s="81"/>
      <c r="O410" s="81"/>
      <c r="P410" s="81"/>
      <c r="Q410" s="226">
        <f t="shared" si="44"/>
        <v>100.00000000000001</v>
      </c>
      <c r="R410" s="97"/>
      <c r="S410" s="98"/>
      <c r="T410" s="98"/>
      <c r="U410" s="98"/>
      <c r="V410" s="98"/>
      <c r="W410" s="98"/>
      <c r="X410" s="98"/>
      <c r="Y410" s="98"/>
      <c r="Z410" s="98"/>
      <c r="AA410" s="98"/>
      <c r="AB410" s="98"/>
      <c r="AC410" s="98"/>
      <c r="AD410" s="98"/>
      <c r="AE410" s="98"/>
      <c r="AF410" s="98"/>
      <c r="AG410" s="98"/>
      <c r="AH410" s="98"/>
      <c r="AI410" s="98"/>
      <c r="AJ410" s="98"/>
      <c r="AK410" s="98"/>
      <c r="AL410" s="98"/>
      <c r="AM410" s="98"/>
      <c r="AN410" s="98"/>
      <c r="AO410" s="98"/>
    </row>
    <row r="411" spans="1:41" ht="15.75" customHeight="1">
      <c r="A411" s="65" t="s">
        <v>142</v>
      </c>
      <c r="B411" s="221">
        <f>('Pivot Table for Data Exchange'!$P$43)*100</f>
        <v>0</v>
      </c>
      <c r="C411" s="221">
        <f>('Pivot Table for Data Exchange'!$P$46)*100</f>
        <v>0</v>
      </c>
      <c r="D411" s="227">
        <f t="shared" ref="D411:D413" si="49">SUM(E411:G411)</f>
        <v>0</v>
      </c>
      <c r="E411" s="221">
        <f>('Pivot Table for Data Exchange'!$P$49)*100</f>
        <v>0</v>
      </c>
      <c r="F411" s="221">
        <f>('Pivot Table for Data Exchange'!$P$52)*100</f>
        <v>0</v>
      </c>
      <c r="G411" s="223">
        <f>('Pivot Table for Data Exchange'!$P$55)*100</f>
        <v>0</v>
      </c>
      <c r="H411" s="221">
        <f>('Pivot Table for Data Exchange'!$P$58)*100</f>
        <v>0</v>
      </c>
      <c r="I411" s="65"/>
      <c r="J411" s="81"/>
      <c r="K411" s="81"/>
      <c r="L411" s="81"/>
      <c r="M411" s="81"/>
      <c r="N411" s="81"/>
      <c r="O411" s="81"/>
      <c r="P411" s="81"/>
      <c r="Q411" s="226">
        <f t="shared" ref="Q411:Q458" si="50">SUM(B411,C411,D411,H411)</f>
        <v>0</v>
      </c>
      <c r="R411" s="97"/>
      <c r="S411" s="98"/>
      <c r="T411" s="98"/>
      <c r="U411" s="98"/>
      <c r="V411" s="98"/>
      <c r="W411" s="98"/>
      <c r="X411" s="98"/>
      <c r="Y411" s="98"/>
      <c r="Z411" s="98"/>
      <c r="AA411" s="98"/>
      <c r="AB411" s="98"/>
      <c r="AC411" s="98"/>
      <c r="AD411" s="98"/>
      <c r="AE411" s="98"/>
      <c r="AF411" s="98"/>
      <c r="AG411" s="98"/>
      <c r="AH411" s="98"/>
      <c r="AI411" s="98"/>
      <c r="AJ411" s="98"/>
      <c r="AK411" s="98"/>
      <c r="AL411" s="98"/>
      <c r="AM411" s="98"/>
      <c r="AN411" s="98"/>
      <c r="AO411" s="98"/>
    </row>
    <row r="412" spans="1:41" ht="15.75" customHeight="1">
      <c r="A412" s="65" t="s">
        <v>143</v>
      </c>
      <c r="B412" s="221">
        <f>('Pivot Table for Data Exchange'!$P$79)*100</f>
        <v>0</v>
      </c>
      <c r="C412" s="221">
        <f>('Pivot Table for Data Exchange'!$P$82)*100</f>
        <v>0</v>
      </c>
      <c r="D412" s="227">
        <f t="shared" si="49"/>
        <v>0</v>
      </c>
      <c r="E412" s="221">
        <f>('Pivot Table for Data Exchange'!$P$85)*100</f>
        <v>0</v>
      </c>
      <c r="F412" s="221">
        <f>('Pivot Table for Data Exchange'!$P$88)*100</f>
        <v>0</v>
      </c>
      <c r="G412" s="223">
        <f>('Pivot Table for Data Exchange'!$P$91)*100</f>
        <v>0</v>
      </c>
      <c r="H412" s="221">
        <f>('Pivot Table for Data Exchange'!$P$94)*100</f>
        <v>0</v>
      </c>
      <c r="I412" s="65"/>
      <c r="J412" s="81"/>
      <c r="K412" s="81"/>
      <c r="L412" s="81"/>
      <c r="M412" s="81"/>
      <c r="N412" s="81"/>
      <c r="O412" s="81"/>
      <c r="P412" s="81"/>
      <c r="Q412" s="226">
        <f t="shared" si="50"/>
        <v>0</v>
      </c>
      <c r="R412" s="97"/>
      <c r="S412" s="98"/>
      <c r="T412" s="104"/>
      <c r="U412" s="98"/>
      <c r="V412" s="98"/>
      <c r="W412" s="98"/>
      <c r="X412" s="98"/>
      <c r="Y412" s="98"/>
      <c r="Z412" s="98"/>
      <c r="AA412" s="98"/>
      <c r="AB412" s="98"/>
      <c r="AC412" s="98"/>
      <c r="AD412" s="98"/>
      <c r="AE412" s="98"/>
      <c r="AF412" s="98"/>
      <c r="AG412" s="98"/>
      <c r="AH412" s="98"/>
      <c r="AI412" s="98"/>
      <c r="AJ412" s="98"/>
      <c r="AK412" s="98"/>
      <c r="AL412" s="98"/>
      <c r="AM412" s="98"/>
      <c r="AN412" s="98"/>
      <c r="AO412" s="98"/>
    </row>
    <row r="413" spans="1:41" ht="15.75" customHeight="1">
      <c r="A413" s="65" t="s">
        <v>144</v>
      </c>
      <c r="B413" s="221">
        <f>('Pivot Table for Data Exchange'!$P$115)*100</f>
        <v>0</v>
      </c>
      <c r="C413" s="221">
        <f>('Pivot Table for Data Exchange'!$P$118)*100</f>
        <v>0</v>
      </c>
      <c r="D413" s="227">
        <f t="shared" si="49"/>
        <v>0</v>
      </c>
      <c r="E413" s="221">
        <f>('Pivot Table for Data Exchange'!$P$121)*100</f>
        <v>0</v>
      </c>
      <c r="F413" s="221">
        <f>('Pivot Table for Data Exchange'!$P$124)*100</f>
        <v>0</v>
      </c>
      <c r="G413" s="223">
        <f>('Pivot Table for Data Exchange'!$P$127)*100</f>
        <v>0</v>
      </c>
      <c r="H413" s="221">
        <f>('Pivot Table for Data Exchange'!$P$130)*100</f>
        <v>0</v>
      </c>
      <c r="I413" s="65"/>
      <c r="J413" s="81"/>
      <c r="K413" s="81"/>
      <c r="L413" s="81"/>
      <c r="M413" s="81"/>
      <c r="N413" s="81"/>
      <c r="O413" s="81"/>
      <c r="P413" s="81"/>
      <c r="Q413" s="226">
        <f t="shared" si="50"/>
        <v>0</v>
      </c>
      <c r="R413" s="97"/>
      <c r="S413" s="98"/>
      <c r="U413" s="98"/>
      <c r="V413" s="98"/>
      <c r="W413" s="98"/>
      <c r="X413" s="98"/>
      <c r="Y413" s="98"/>
      <c r="Z413" s="98"/>
      <c r="AA413" s="98"/>
      <c r="AB413" s="98"/>
      <c r="AC413" s="98"/>
      <c r="AD413" s="98"/>
      <c r="AE413" s="98"/>
      <c r="AF413" s="98"/>
      <c r="AG413" s="98"/>
      <c r="AH413" s="98"/>
      <c r="AI413" s="98"/>
      <c r="AJ413" s="98"/>
      <c r="AK413" s="98"/>
      <c r="AL413" s="98"/>
      <c r="AM413" s="98"/>
      <c r="AN413" s="98"/>
      <c r="AO413" s="98"/>
    </row>
    <row r="414" spans="1:41" ht="15.75" customHeight="1">
      <c r="A414" s="65"/>
      <c r="B414" s="221"/>
      <c r="C414" s="221"/>
      <c r="D414" s="227"/>
      <c r="E414" s="221"/>
      <c r="F414" s="221"/>
      <c r="G414" s="223"/>
      <c r="H414" s="221"/>
      <c r="I414" s="65"/>
      <c r="J414" s="81"/>
      <c r="K414" s="81"/>
      <c r="L414" s="81"/>
      <c r="M414" s="81"/>
      <c r="N414" s="81"/>
      <c r="O414" s="81"/>
      <c r="P414" s="81"/>
      <c r="Q414" s="226">
        <f t="shared" si="50"/>
        <v>0</v>
      </c>
      <c r="R414" s="97"/>
      <c r="S414" s="98"/>
      <c r="U414" s="98"/>
      <c r="V414" s="98"/>
      <c r="W414" s="98"/>
      <c r="X414" s="98"/>
      <c r="Y414" s="98"/>
      <c r="Z414" s="98"/>
      <c r="AA414" s="98"/>
      <c r="AB414" s="98"/>
      <c r="AC414" s="98"/>
      <c r="AD414" s="98"/>
      <c r="AE414" s="98"/>
      <c r="AF414" s="98"/>
      <c r="AG414" s="98"/>
      <c r="AH414" s="98"/>
      <c r="AI414" s="98"/>
      <c r="AJ414" s="98"/>
      <c r="AK414" s="98"/>
      <c r="AL414" s="98"/>
      <c r="AM414" s="98"/>
      <c r="AN414" s="98"/>
      <c r="AO414" s="98"/>
    </row>
    <row r="415" spans="1:41" ht="15.75" customHeight="1">
      <c r="A415" s="65" t="s">
        <v>145</v>
      </c>
      <c r="B415" s="221">
        <f>('Pivot Table for Data Exchange'!$P$151)*100</f>
        <v>69.083958373390061</v>
      </c>
      <c r="C415" s="221">
        <f>('Pivot Table for Data Exchange'!$P$154)*100</f>
        <v>0</v>
      </c>
      <c r="D415" s="227">
        <f t="shared" ref="D415:D416" si="51">SUM(E415:G415)</f>
        <v>30.916041626609935</v>
      </c>
      <c r="E415" s="221">
        <f>('Pivot Table for Data Exchange'!$P$157)*100</f>
        <v>30.572090381478063</v>
      </c>
      <c r="F415" s="221">
        <f>('Pivot Table for Data Exchange'!$P$160)*100</f>
        <v>0.34395124513187159</v>
      </c>
      <c r="G415" s="223">
        <f>('Pivot Table for Data Exchange'!$P$163)*100</f>
        <v>0</v>
      </c>
      <c r="H415" s="221">
        <f>('Pivot Table for Data Exchange'!$P$166)*100</f>
        <v>0</v>
      </c>
      <c r="I415" s="65"/>
      <c r="J415" s="81"/>
      <c r="K415" s="81"/>
      <c r="L415" s="81"/>
      <c r="M415" s="81"/>
      <c r="N415" s="81"/>
      <c r="O415" s="81"/>
      <c r="P415" s="81"/>
      <c r="Q415" s="226">
        <f t="shared" si="50"/>
        <v>100</v>
      </c>
      <c r="R415" s="97"/>
      <c r="S415" s="98"/>
      <c r="T415" s="98"/>
      <c r="U415" s="98"/>
      <c r="V415" s="98"/>
      <c r="W415" s="98"/>
      <c r="X415" s="98"/>
      <c r="Y415" s="98"/>
      <c r="Z415" s="98"/>
      <c r="AA415" s="98"/>
      <c r="AB415" s="98"/>
      <c r="AC415" s="98"/>
      <c r="AD415" s="98"/>
      <c r="AE415" s="98"/>
      <c r="AF415" s="98"/>
      <c r="AG415" s="98"/>
      <c r="AH415" s="98"/>
      <c r="AI415" s="98"/>
      <c r="AJ415" s="98"/>
      <c r="AK415" s="98"/>
      <c r="AL415" s="98"/>
      <c r="AM415" s="98"/>
      <c r="AN415" s="98"/>
      <c r="AO415" s="98"/>
    </row>
    <row r="416" spans="1:41" ht="15.75" customHeight="1">
      <c r="A416" s="65" t="s">
        <v>146</v>
      </c>
      <c r="B416" s="221">
        <f>('Pivot Table for Data Exchange'!$P$187)*100</f>
        <v>62.443681193109846</v>
      </c>
      <c r="C416" s="221">
        <f>('Pivot Table for Data Exchange'!$P$190)*100</f>
        <v>9.1892703694513731</v>
      </c>
      <c r="D416" s="227">
        <f t="shared" si="51"/>
        <v>28.367048437438786</v>
      </c>
      <c r="E416" s="221">
        <f>('Pivot Table for Data Exchange'!$P$193)*100</f>
        <v>28.367048437438786</v>
      </c>
      <c r="F416" s="221">
        <f>('Pivot Table for Data Exchange'!$P$196)*100</f>
        <v>0</v>
      </c>
      <c r="G416" s="223">
        <f>('Pivot Table for Data Exchange'!$P$199)*100</f>
        <v>0</v>
      </c>
      <c r="H416" s="221">
        <f>('Pivot Table for Data Exchange'!$P$202)*100</f>
        <v>0</v>
      </c>
      <c r="I416" s="65"/>
      <c r="J416" s="81"/>
      <c r="K416" s="81"/>
      <c r="L416" s="81"/>
      <c r="M416" s="81"/>
      <c r="N416" s="81"/>
      <c r="O416" s="81"/>
      <c r="P416" s="81"/>
      <c r="Q416" s="226">
        <f t="shared" si="50"/>
        <v>100</v>
      </c>
      <c r="R416" s="97"/>
      <c r="S416" s="98"/>
      <c r="T416" s="98"/>
      <c r="U416" s="98"/>
      <c r="V416" s="98"/>
      <c r="W416" s="98"/>
      <c r="X416" s="98"/>
      <c r="Y416" s="98"/>
      <c r="Z416" s="98"/>
      <c r="AA416" s="98"/>
      <c r="AB416" s="98"/>
      <c r="AC416" s="98"/>
      <c r="AD416" s="98"/>
      <c r="AE416" s="98"/>
      <c r="AF416" s="98"/>
      <c r="AG416" s="98"/>
      <c r="AH416" s="98"/>
      <c r="AI416" s="98"/>
      <c r="AJ416" s="98"/>
      <c r="AK416" s="98"/>
      <c r="AL416" s="98"/>
      <c r="AM416" s="98"/>
      <c r="AN416" s="98"/>
      <c r="AO416" s="98"/>
    </row>
    <row r="417" spans="1:41" ht="15.75" customHeight="1">
      <c r="A417" s="65" t="s">
        <v>147</v>
      </c>
      <c r="B417" s="221">
        <f>('Pivot Table for Data Exchange'!$P$223)*100</f>
        <v>0</v>
      </c>
      <c r="C417" s="221">
        <f>('Pivot Table for Data Exchange'!$P$226)*100</f>
        <v>0</v>
      </c>
      <c r="D417" s="227">
        <f>SUM(E417:G417)</f>
        <v>0</v>
      </c>
      <c r="E417" s="221">
        <f>('Pivot Table for Data Exchange'!$P$229)*100</f>
        <v>0</v>
      </c>
      <c r="F417" s="221">
        <f>('Pivot Table for Data Exchange'!$P$232)*100</f>
        <v>0</v>
      </c>
      <c r="G417" s="223">
        <f>('Pivot Table for Data Exchange'!$P$235)*100</f>
        <v>0</v>
      </c>
      <c r="H417" s="221">
        <f>('Pivot Table for Data Exchange'!$P$238)*100</f>
        <v>0</v>
      </c>
      <c r="I417" s="86"/>
      <c r="J417" s="81"/>
      <c r="K417" s="81"/>
      <c r="L417" s="81"/>
      <c r="M417" s="81"/>
      <c r="N417" s="81"/>
      <c r="O417" s="81"/>
      <c r="P417" s="81"/>
      <c r="Q417" s="226">
        <f t="shared" si="50"/>
        <v>0</v>
      </c>
      <c r="R417" s="97"/>
      <c r="S417" s="98"/>
      <c r="T417" s="104"/>
      <c r="U417" s="98"/>
      <c r="V417" s="98"/>
      <c r="W417" s="98"/>
      <c r="X417" s="98"/>
      <c r="Y417" s="98"/>
      <c r="Z417" s="98"/>
      <c r="AA417" s="98"/>
      <c r="AB417" s="98"/>
      <c r="AC417" s="98"/>
      <c r="AD417" s="98"/>
      <c r="AE417" s="98"/>
      <c r="AF417" s="98"/>
      <c r="AG417" s="98"/>
      <c r="AH417" s="98"/>
      <c r="AI417" s="98"/>
      <c r="AJ417" s="98"/>
      <c r="AK417" s="98"/>
      <c r="AL417" s="98"/>
      <c r="AM417" s="98"/>
      <c r="AN417" s="98"/>
      <c r="AO417" s="98"/>
    </row>
    <row r="418" spans="1:41" ht="15.75" customHeight="1">
      <c r="A418" s="65" t="s">
        <v>177</v>
      </c>
      <c r="B418" s="221">
        <f>('Pivot Table for Data Exchange'!$P$259)*100</f>
        <v>0</v>
      </c>
      <c r="C418" s="221">
        <f>('Pivot Table for Data Exchange'!$P$262)*100</f>
        <v>0</v>
      </c>
      <c r="D418" s="227">
        <f>SUM(E418:G418)</f>
        <v>0</v>
      </c>
      <c r="E418" s="221">
        <f>('Pivot Table for Data Exchange'!$P$265)*100</f>
        <v>0</v>
      </c>
      <c r="F418" s="221">
        <f>('Pivot Table for Data Exchange'!$P$268)*100</f>
        <v>0</v>
      </c>
      <c r="G418" s="223">
        <f>('Pivot Table for Data Exchange'!$P$271)*100</f>
        <v>0</v>
      </c>
      <c r="H418" s="221">
        <f>('Pivot Table for Data Exchange'!$P$274)*100</f>
        <v>0</v>
      </c>
      <c r="I418" s="65"/>
      <c r="J418" s="81"/>
      <c r="K418" s="81"/>
      <c r="L418" s="81"/>
      <c r="M418" s="81"/>
      <c r="N418" s="81"/>
      <c r="O418" s="81"/>
      <c r="P418" s="81"/>
      <c r="Q418" s="226">
        <f t="shared" si="50"/>
        <v>0</v>
      </c>
      <c r="R418" s="97"/>
      <c r="S418" s="98"/>
      <c r="U418" s="98"/>
      <c r="V418" s="98"/>
      <c r="W418" s="98"/>
      <c r="X418" s="98"/>
      <c r="Y418" s="98"/>
      <c r="Z418" s="98"/>
      <c r="AA418" s="98"/>
      <c r="AB418" s="98"/>
      <c r="AC418" s="98"/>
      <c r="AD418" s="98"/>
      <c r="AE418" s="98"/>
      <c r="AF418" s="98"/>
      <c r="AG418" s="98"/>
      <c r="AH418" s="98"/>
      <c r="AI418" s="98"/>
      <c r="AJ418" s="98"/>
      <c r="AK418" s="98"/>
      <c r="AL418" s="98"/>
      <c r="AM418" s="98"/>
      <c r="AN418" s="98"/>
      <c r="AO418" s="98"/>
    </row>
    <row r="419" spans="1:41" ht="15.75" customHeight="1">
      <c r="A419" s="65"/>
      <c r="B419" s="221"/>
      <c r="C419" s="221"/>
      <c r="D419" s="227"/>
      <c r="E419" s="221"/>
      <c r="F419" s="221"/>
      <c r="G419" s="223"/>
      <c r="H419" s="221"/>
      <c r="I419" s="65"/>
      <c r="J419" s="81"/>
      <c r="K419" s="81"/>
      <c r="L419" s="81"/>
      <c r="M419" s="81"/>
      <c r="N419" s="81"/>
      <c r="O419" s="81"/>
      <c r="P419" s="81"/>
      <c r="Q419" s="226">
        <f t="shared" si="50"/>
        <v>0</v>
      </c>
      <c r="R419" s="97"/>
      <c r="S419" s="98"/>
      <c r="U419" s="98"/>
      <c r="V419" s="98"/>
      <c r="W419" s="98"/>
      <c r="X419" s="98"/>
      <c r="Y419" s="98"/>
      <c r="Z419" s="98"/>
      <c r="AA419" s="98"/>
      <c r="AB419" s="98"/>
      <c r="AC419" s="98"/>
      <c r="AD419" s="98"/>
      <c r="AE419" s="98"/>
      <c r="AF419" s="98"/>
      <c r="AG419" s="98"/>
      <c r="AH419" s="98"/>
      <c r="AI419" s="98"/>
      <c r="AJ419" s="98"/>
      <c r="AK419" s="98"/>
      <c r="AL419" s="98"/>
      <c r="AM419" s="98"/>
      <c r="AN419" s="98"/>
      <c r="AO419" s="98"/>
    </row>
    <row r="420" spans="1:41" ht="15.75" customHeight="1">
      <c r="A420" s="65" t="s">
        <v>148</v>
      </c>
      <c r="B420" s="221">
        <f>('Pivot Table for Data Exchange'!$P$295)*100</f>
        <v>0</v>
      </c>
      <c r="C420" s="221">
        <f>('Pivot Table for Data Exchange'!$P$298)*100</f>
        <v>0</v>
      </c>
      <c r="D420" s="227">
        <f>SUM(E420:G420)</f>
        <v>0</v>
      </c>
      <c r="E420" s="221">
        <f>('Pivot Table for Data Exchange'!$P$301)*100</f>
        <v>0</v>
      </c>
      <c r="F420" s="221">
        <f>('Pivot Table for Data Exchange'!$P$304)*100</f>
        <v>0</v>
      </c>
      <c r="G420" s="223">
        <f>('Pivot Table for Data Exchange'!$P$307)*100</f>
        <v>0</v>
      </c>
      <c r="H420" s="221">
        <f>('Pivot Table for Data Exchange'!$P$310)*100</f>
        <v>0</v>
      </c>
      <c r="I420" s="65"/>
      <c r="J420" s="81"/>
      <c r="K420" s="81"/>
      <c r="L420" s="81"/>
      <c r="M420" s="81"/>
      <c r="N420" s="81"/>
      <c r="O420" s="81"/>
      <c r="P420" s="81"/>
      <c r="Q420" s="226">
        <f t="shared" si="50"/>
        <v>0</v>
      </c>
      <c r="R420" s="97"/>
      <c r="S420" s="98"/>
      <c r="T420" s="98"/>
      <c r="U420" s="98"/>
      <c r="V420" s="98"/>
      <c r="W420" s="98"/>
      <c r="X420" s="98"/>
      <c r="Y420" s="98"/>
      <c r="Z420" s="98"/>
      <c r="AA420" s="98"/>
      <c r="AB420" s="98"/>
      <c r="AC420" s="98"/>
      <c r="AD420" s="98"/>
      <c r="AE420" s="98"/>
      <c r="AF420" s="98"/>
      <c r="AG420" s="98"/>
      <c r="AH420" s="98"/>
      <c r="AI420" s="98"/>
      <c r="AJ420" s="98"/>
      <c r="AK420" s="98"/>
      <c r="AL420" s="98"/>
      <c r="AM420" s="98"/>
      <c r="AN420" s="98"/>
      <c r="AO420" s="98"/>
    </row>
    <row r="421" spans="1:41" ht="15.75" customHeight="1">
      <c r="A421" s="65" t="s">
        <v>149</v>
      </c>
      <c r="B421" s="221">
        <f>('Pivot Table for Data Exchange'!$P$331)*100</f>
        <v>0</v>
      </c>
      <c r="C421" s="221">
        <f>('Pivot Table for Data Exchange'!$P$334)*100</f>
        <v>0</v>
      </c>
      <c r="D421" s="227">
        <f>SUM(E421:G421)</f>
        <v>0</v>
      </c>
      <c r="E421" s="221">
        <f>('Pivot Table for Data Exchange'!$P$337)*100</f>
        <v>0</v>
      </c>
      <c r="F421" s="221">
        <f>('Pivot Table for Data Exchange'!$P$340)*100</f>
        <v>0</v>
      </c>
      <c r="G421" s="223">
        <f>('Pivot Table for Data Exchange'!$P$343)*100</f>
        <v>0</v>
      </c>
      <c r="H421" s="221">
        <f>('Pivot Table for Data Exchange'!$P$346)*100</f>
        <v>0</v>
      </c>
      <c r="I421" s="65"/>
      <c r="J421" s="81"/>
      <c r="K421" s="81"/>
      <c r="L421" s="81"/>
      <c r="M421" s="81"/>
      <c r="N421" s="81"/>
      <c r="O421" s="81"/>
      <c r="P421" s="81"/>
      <c r="Q421" s="226">
        <f t="shared" si="50"/>
        <v>0</v>
      </c>
      <c r="R421" s="97"/>
      <c r="S421" s="98"/>
      <c r="T421" s="98"/>
      <c r="U421" s="98"/>
      <c r="V421" s="98"/>
      <c r="W421" s="98"/>
      <c r="X421" s="98"/>
      <c r="Y421" s="98"/>
      <c r="Z421" s="98"/>
      <c r="AA421" s="98"/>
      <c r="AB421" s="98"/>
      <c r="AC421" s="98"/>
      <c r="AD421" s="98"/>
      <c r="AE421" s="98"/>
      <c r="AF421" s="98"/>
      <c r="AG421" s="98"/>
      <c r="AH421" s="98"/>
      <c r="AI421" s="98"/>
      <c r="AJ421" s="98"/>
      <c r="AK421" s="98"/>
      <c r="AL421" s="98"/>
      <c r="AM421" s="98"/>
      <c r="AN421" s="98"/>
      <c r="AO421" s="98"/>
    </row>
    <row r="422" spans="1:41" ht="15.75" customHeight="1">
      <c r="A422" s="65" t="s">
        <v>150</v>
      </c>
      <c r="B422" s="221">
        <f>('Pivot Table for Data Exchange'!$P$367)*100</f>
        <v>0</v>
      </c>
      <c r="C422" s="221">
        <f>('Pivot Table for Data Exchange'!$P$370)*100</f>
        <v>0</v>
      </c>
      <c r="D422" s="227">
        <f>SUM(E422:G422)</f>
        <v>0</v>
      </c>
      <c r="E422" s="221">
        <f>('Pivot Table for Data Exchange'!$P$373)*100</f>
        <v>0</v>
      </c>
      <c r="F422" s="221">
        <f>('Pivot Table for Data Exchange'!$P$376)*100</f>
        <v>0</v>
      </c>
      <c r="G422" s="223">
        <f>('Pivot Table for Data Exchange'!$P$379)*100</f>
        <v>0</v>
      </c>
      <c r="H422" s="221">
        <f>('Pivot Table for Data Exchange'!$P$382)*100</f>
        <v>0</v>
      </c>
      <c r="I422" s="65"/>
      <c r="J422" s="81"/>
      <c r="K422" s="81"/>
      <c r="L422" s="81"/>
      <c r="M422" s="81"/>
      <c r="N422" s="81"/>
      <c r="O422" s="81"/>
      <c r="P422" s="81"/>
      <c r="Q422" s="226">
        <f t="shared" si="50"/>
        <v>0</v>
      </c>
      <c r="R422" s="97"/>
      <c r="S422" s="98"/>
      <c r="T422" s="104"/>
      <c r="U422" s="98"/>
      <c r="V422" s="98"/>
      <c r="W422" s="98"/>
      <c r="X422" s="98"/>
      <c r="Y422" s="98"/>
      <c r="Z422" s="98"/>
      <c r="AA422" s="98"/>
      <c r="AB422" s="98"/>
      <c r="AC422" s="98"/>
      <c r="AD422" s="98"/>
      <c r="AE422" s="98"/>
      <c r="AF422" s="98"/>
      <c r="AG422" s="98"/>
      <c r="AH422" s="98"/>
      <c r="AI422" s="98"/>
      <c r="AJ422" s="98"/>
      <c r="AK422" s="98"/>
      <c r="AL422" s="98"/>
      <c r="AM422" s="98"/>
      <c r="AN422" s="98"/>
      <c r="AO422" s="98"/>
    </row>
    <row r="423" spans="1:41" ht="15.75" customHeight="1">
      <c r="A423" s="65" t="s">
        <v>151</v>
      </c>
      <c r="B423" s="221">
        <f>('Pivot Table for Data Exchange'!$P$403)*100</f>
        <v>0</v>
      </c>
      <c r="C423" s="221">
        <f>('Pivot Table for Data Exchange'!$P$406)*100</f>
        <v>0</v>
      </c>
      <c r="D423" s="227">
        <f>SUM(E423:G423)</f>
        <v>0</v>
      </c>
      <c r="E423" s="221">
        <f>('Pivot Table for Data Exchange'!$P$409)*100</f>
        <v>0</v>
      </c>
      <c r="F423" s="221">
        <f>('Pivot Table for Data Exchange'!$P$412)*100</f>
        <v>0</v>
      </c>
      <c r="G423" s="223">
        <f>('Pivot Table for Data Exchange'!$P$415)*100</f>
        <v>0</v>
      </c>
      <c r="H423" s="221">
        <f>('Pivot Table for Data Exchange'!$P$418)*100</f>
        <v>0</v>
      </c>
      <c r="I423" s="65"/>
      <c r="J423" s="81"/>
      <c r="K423" s="81"/>
      <c r="L423" s="81"/>
      <c r="M423" s="81"/>
      <c r="N423" s="81"/>
      <c r="O423" s="81"/>
      <c r="P423" s="81"/>
      <c r="Q423" s="226">
        <f t="shared" si="50"/>
        <v>0</v>
      </c>
      <c r="R423" s="97"/>
      <c r="S423" s="98"/>
      <c r="T423" s="98"/>
      <c r="U423" s="98"/>
      <c r="V423" s="98"/>
      <c r="W423" s="98"/>
      <c r="X423" s="98"/>
      <c r="Y423" s="98"/>
      <c r="Z423" s="98"/>
      <c r="AA423" s="98"/>
      <c r="AB423" s="98"/>
      <c r="AC423" s="98"/>
      <c r="AD423" s="98"/>
      <c r="AE423" s="98"/>
      <c r="AF423" s="98"/>
      <c r="AG423" s="98"/>
      <c r="AH423" s="98"/>
      <c r="AI423" s="98"/>
      <c r="AJ423" s="98"/>
      <c r="AK423" s="98"/>
      <c r="AL423" s="98"/>
      <c r="AM423" s="98"/>
      <c r="AN423" s="98"/>
      <c r="AO423" s="98"/>
    </row>
    <row r="424" spans="1:41" ht="15.75" customHeight="1">
      <c r="A424" s="65"/>
      <c r="B424" s="221"/>
      <c r="C424" s="221"/>
      <c r="D424" s="227"/>
      <c r="E424" s="221"/>
      <c r="F424" s="221"/>
      <c r="G424" s="223"/>
      <c r="H424" s="221"/>
      <c r="I424" s="65"/>
      <c r="J424" s="81"/>
      <c r="K424" s="81"/>
      <c r="L424" s="81"/>
      <c r="M424" s="81"/>
      <c r="N424" s="81"/>
      <c r="O424" s="81"/>
      <c r="P424" s="81"/>
      <c r="Q424" s="226">
        <f t="shared" si="50"/>
        <v>0</v>
      </c>
      <c r="R424" s="97"/>
      <c r="S424" s="98"/>
      <c r="T424" s="98"/>
      <c r="U424" s="98"/>
      <c r="V424" s="98"/>
      <c r="W424" s="98"/>
      <c r="X424" s="98"/>
      <c r="Y424" s="98"/>
      <c r="Z424" s="98"/>
      <c r="AA424" s="98"/>
      <c r="AB424" s="98"/>
      <c r="AC424" s="98"/>
      <c r="AD424" s="98"/>
      <c r="AE424" s="98"/>
      <c r="AF424" s="98"/>
      <c r="AG424" s="98"/>
      <c r="AH424" s="98"/>
      <c r="AI424" s="98"/>
      <c r="AJ424" s="98"/>
      <c r="AK424" s="98"/>
      <c r="AL424" s="98"/>
      <c r="AM424" s="98"/>
      <c r="AN424" s="98"/>
      <c r="AO424" s="98"/>
    </row>
    <row r="425" spans="1:41" ht="15.75" customHeight="1">
      <c r="A425" s="65" t="s">
        <v>152</v>
      </c>
      <c r="B425" s="221">
        <f>('Pivot Table for Data Exchange'!$P$439)*100</f>
        <v>0</v>
      </c>
      <c r="C425" s="221">
        <f>('Pivot Table for Data Exchange'!$P$442)*100</f>
        <v>0</v>
      </c>
      <c r="D425" s="227">
        <f>SUM(E425:G425)</f>
        <v>0</v>
      </c>
      <c r="E425" s="221">
        <f>('Pivot Table for Data Exchange'!$P$445)*100</f>
        <v>0</v>
      </c>
      <c r="F425" s="221">
        <f>('Pivot Table for Data Exchange'!$P$448)*100</f>
        <v>0</v>
      </c>
      <c r="G425" s="223">
        <f>('Pivot Table for Data Exchange'!$P$451)*100</f>
        <v>0</v>
      </c>
      <c r="H425" s="221">
        <f>('Pivot Table for Data Exchange'!$P$454)*100</f>
        <v>0</v>
      </c>
      <c r="I425" s="65"/>
      <c r="J425" s="81"/>
      <c r="K425" s="81"/>
      <c r="L425" s="81"/>
      <c r="M425" s="81"/>
      <c r="N425" s="81"/>
      <c r="O425" s="81"/>
      <c r="P425" s="81"/>
      <c r="Q425" s="226">
        <f t="shared" si="50"/>
        <v>0</v>
      </c>
      <c r="R425" s="97"/>
      <c r="S425" s="98"/>
      <c r="T425" s="98"/>
      <c r="U425" s="98"/>
      <c r="V425" s="98"/>
      <c r="W425" s="98"/>
      <c r="X425" s="98"/>
      <c r="Y425" s="98"/>
      <c r="Z425" s="98"/>
      <c r="AA425" s="98"/>
      <c r="AB425" s="98"/>
      <c r="AC425" s="98"/>
      <c r="AD425" s="98"/>
      <c r="AE425" s="98"/>
      <c r="AF425" s="98"/>
      <c r="AG425" s="98"/>
      <c r="AH425" s="98"/>
      <c r="AI425" s="98"/>
      <c r="AJ425" s="98"/>
      <c r="AK425" s="98"/>
      <c r="AL425" s="98"/>
      <c r="AM425" s="98"/>
      <c r="AN425" s="98"/>
      <c r="AO425" s="98"/>
    </row>
    <row r="426" spans="1:41" ht="15.75" customHeight="1">
      <c r="A426" s="65" t="s">
        <v>153</v>
      </c>
      <c r="B426" s="221">
        <f>('Pivot Table for Data Exchange'!$P$475)*100</f>
        <v>0</v>
      </c>
      <c r="C426" s="221">
        <f>('Pivot Table for Data Exchange'!$P$478)*100</f>
        <v>0</v>
      </c>
      <c r="D426" s="227">
        <f>SUM(E426:G426)</f>
        <v>0</v>
      </c>
      <c r="E426" s="221">
        <f>('Pivot Table for Data Exchange'!$P$481)*100</f>
        <v>0</v>
      </c>
      <c r="F426" s="221">
        <f>('Pivot Table for Data Exchange'!$P$484)*100</f>
        <v>0</v>
      </c>
      <c r="G426" s="223">
        <f>('Pivot Table for Data Exchange'!$P$487)*100</f>
        <v>0</v>
      </c>
      <c r="H426" s="221">
        <f>('Pivot Table for Data Exchange'!$P$490)*100</f>
        <v>0</v>
      </c>
      <c r="I426" s="65"/>
      <c r="J426" s="81"/>
      <c r="K426" s="81"/>
      <c r="L426" s="81"/>
      <c r="M426" s="81"/>
      <c r="N426" s="81"/>
      <c r="O426" s="81"/>
      <c r="P426" s="81"/>
      <c r="Q426" s="226">
        <f t="shared" si="50"/>
        <v>0</v>
      </c>
      <c r="R426" s="97"/>
      <c r="S426" s="98"/>
      <c r="T426" s="98"/>
      <c r="U426" s="98"/>
      <c r="V426" s="98"/>
      <c r="W426" s="98"/>
      <c r="X426" s="98"/>
      <c r="Y426" s="98"/>
      <c r="Z426" s="98"/>
      <c r="AA426" s="98"/>
      <c r="AB426" s="98"/>
      <c r="AC426" s="98"/>
      <c r="AD426" s="98"/>
      <c r="AE426" s="98"/>
      <c r="AF426" s="98"/>
      <c r="AG426" s="98"/>
      <c r="AH426" s="98"/>
      <c r="AI426" s="98"/>
      <c r="AJ426" s="98"/>
      <c r="AK426" s="98"/>
      <c r="AL426" s="98"/>
      <c r="AM426" s="98"/>
      <c r="AN426" s="98"/>
      <c r="AO426" s="98"/>
    </row>
    <row r="427" spans="1:41" ht="15.75" customHeight="1">
      <c r="A427" s="65" t="s">
        <v>154</v>
      </c>
      <c r="B427" s="221">
        <f>('Pivot Table for Data Exchange'!$P$511)*100</f>
        <v>0</v>
      </c>
      <c r="C427" s="221">
        <f>('Pivot Table for Data Exchange'!$P$514)*100</f>
        <v>0</v>
      </c>
      <c r="D427" s="227">
        <f>SUM(E427:G427)</f>
        <v>0</v>
      </c>
      <c r="E427" s="221">
        <f>('Pivot Table for Data Exchange'!$P$517)*100</f>
        <v>0</v>
      </c>
      <c r="F427" s="221">
        <f>('Pivot Table for Data Exchange'!$P$520)*100</f>
        <v>0</v>
      </c>
      <c r="G427" s="223">
        <f>('Pivot Table for Data Exchange'!$P$523)*100</f>
        <v>0</v>
      </c>
      <c r="H427" s="221">
        <f>('Pivot Table for Data Exchange'!$P$526)*100</f>
        <v>0</v>
      </c>
      <c r="I427" s="65"/>
      <c r="J427" s="81"/>
      <c r="K427" s="81"/>
      <c r="L427" s="81"/>
      <c r="M427" s="81"/>
      <c r="N427" s="81"/>
      <c r="O427" s="81"/>
      <c r="P427" s="81"/>
      <c r="Q427" s="226">
        <f t="shared" si="50"/>
        <v>0</v>
      </c>
      <c r="R427" s="97"/>
      <c r="S427" s="98"/>
      <c r="T427" s="98"/>
      <c r="U427" s="98"/>
      <c r="V427" s="98"/>
      <c r="W427" s="98"/>
      <c r="X427" s="98"/>
      <c r="Y427" s="98"/>
      <c r="Z427" s="98"/>
      <c r="AA427" s="98"/>
      <c r="AB427" s="98"/>
      <c r="AC427" s="98"/>
      <c r="AD427" s="98"/>
      <c r="AE427" s="98"/>
      <c r="AF427" s="98"/>
      <c r="AG427" s="98"/>
      <c r="AH427" s="98"/>
      <c r="AI427" s="98"/>
      <c r="AJ427" s="98"/>
      <c r="AK427" s="98"/>
      <c r="AL427" s="98"/>
      <c r="AM427" s="98"/>
      <c r="AN427" s="98"/>
      <c r="AO427" s="98"/>
    </row>
    <row r="428" spans="1:41" ht="15.75" customHeight="1">
      <c r="A428" s="39" t="s">
        <v>155</v>
      </c>
      <c r="B428" s="224">
        <f>('Pivot Table for Data Exchange'!$P$547)*100</f>
        <v>0</v>
      </c>
      <c r="C428" s="224">
        <f>('Pivot Table for Data Exchange'!$P$550)*100</f>
        <v>0</v>
      </c>
      <c r="D428" s="228">
        <f>SUM(E428:G428)</f>
        <v>0</v>
      </c>
      <c r="E428" s="224">
        <f>('Pivot Table for Data Exchange'!$P$553)*100</f>
        <v>0</v>
      </c>
      <c r="F428" s="224">
        <f>('Pivot Table for Data Exchange'!$P$556)*100</f>
        <v>0</v>
      </c>
      <c r="G428" s="225">
        <f>('Pivot Table for Data Exchange'!$P$559)*100</f>
        <v>0</v>
      </c>
      <c r="H428" s="224">
        <f>('Pivot Table for Data Exchange'!$P$562)*100</f>
        <v>0</v>
      </c>
      <c r="I428" s="65"/>
      <c r="J428" s="81"/>
      <c r="K428" s="81"/>
      <c r="L428" s="81"/>
      <c r="M428" s="81"/>
      <c r="N428" s="81"/>
      <c r="O428" s="81"/>
      <c r="P428" s="81"/>
      <c r="Q428" s="226">
        <f t="shared" si="50"/>
        <v>0</v>
      </c>
      <c r="R428" s="97"/>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row>
    <row r="429" spans="1:41" s="103" customFormat="1" ht="13.5" customHeight="1">
      <c r="A429" s="691" t="s">
        <v>175</v>
      </c>
      <c r="B429" s="69"/>
      <c r="C429" s="69"/>
      <c r="D429" s="70"/>
      <c r="E429" s="69"/>
      <c r="F429" s="70"/>
      <c r="G429" s="70"/>
      <c r="H429" s="69"/>
      <c r="I429" s="24"/>
      <c r="J429" s="69"/>
      <c r="K429" s="69"/>
      <c r="L429" s="70"/>
      <c r="M429" s="69"/>
      <c r="N429" s="70"/>
      <c r="O429" s="70"/>
      <c r="P429" s="69"/>
      <c r="Q429" s="226">
        <f t="shared" si="50"/>
        <v>0</v>
      </c>
      <c r="R429" s="101"/>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row>
    <row r="430" spans="1:41" s="103" customFormat="1" ht="13.5" customHeight="1">
      <c r="A430" s="24"/>
      <c r="B430" s="76"/>
      <c r="C430" s="25"/>
      <c r="D430" s="25"/>
      <c r="E430" s="25"/>
      <c r="F430" s="25"/>
      <c r="G430" s="25"/>
      <c r="H430" s="25"/>
      <c r="I430" s="24"/>
      <c r="J430" s="25"/>
      <c r="K430" s="25"/>
      <c r="L430" s="25"/>
      <c r="M430" s="25"/>
      <c r="N430" s="25"/>
      <c r="O430" s="25"/>
      <c r="P430" s="77"/>
      <c r="Q430" s="226">
        <f t="shared" si="50"/>
        <v>0</v>
      </c>
      <c r="R430" s="106"/>
    </row>
    <row r="431" spans="1:41" s="103" customFormat="1" ht="13.5" customHeight="1">
      <c r="A431" s="75"/>
      <c r="B431" s="25"/>
      <c r="C431" s="25"/>
      <c r="D431" s="25"/>
      <c r="E431" s="25"/>
      <c r="F431" s="25"/>
      <c r="G431" s="25"/>
      <c r="H431" s="27" t="s">
        <v>899</v>
      </c>
      <c r="I431" s="75"/>
      <c r="J431" s="25"/>
      <c r="K431" s="25"/>
      <c r="L431" s="25"/>
      <c r="M431" s="25"/>
      <c r="N431" s="25"/>
      <c r="O431" s="25"/>
      <c r="P431" s="25"/>
      <c r="Q431" s="226">
        <f t="shared" si="50"/>
        <v>0</v>
      </c>
      <c r="R431" s="106"/>
    </row>
    <row r="432" spans="1:41" ht="18">
      <c r="A432" s="16" t="s">
        <v>214</v>
      </c>
      <c r="B432" s="34"/>
      <c r="C432" s="34"/>
      <c r="D432" s="34"/>
      <c r="E432" s="34"/>
      <c r="F432" s="34"/>
      <c r="G432" s="34"/>
      <c r="H432" s="35"/>
      <c r="I432" s="80"/>
      <c r="J432" s="65"/>
      <c r="K432" s="65"/>
      <c r="L432" s="65"/>
      <c r="M432" s="65"/>
      <c r="N432" s="65"/>
      <c r="O432" s="65"/>
      <c r="P432" s="65"/>
      <c r="Q432" s="226">
        <f t="shared" si="50"/>
        <v>0</v>
      </c>
    </row>
    <row r="433" spans="1:41">
      <c r="A433" s="18"/>
      <c r="B433" s="19"/>
      <c r="C433" s="19"/>
      <c r="D433" s="19"/>
      <c r="E433" s="19"/>
      <c r="F433" s="19"/>
      <c r="G433" s="19"/>
      <c r="H433" s="36"/>
      <c r="I433" s="80"/>
      <c r="J433" s="65"/>
      <c r="K433" s="65"/>
      <c r="L433" s="65"/>
      <c r="M433" s="65"/>
      <c r="N433" s="65"/>
      <c r="O433" s="65"/>
      <c r="P433" s="65"/>
      <c r="Q433" s="226">
        <f t="shared" si="50"/>
        <v>0</v>
      </c>
    </row>
    <row r="434" spans="1:41" ht="15.75">
      <c r="A434" s="37" t="s">
        <v>162</v>
      </c>
      <c r="B434" s="19"/>
      <c r="C434" s="19"/>
      <c r="D434" s="19"/>
      <c r="E434" s="19"/>
      <c r="F434" s="19"/>
      <c r="G434" s="19"/>
      <c r="H434" s="36"/>
      <c r="I434" s="80"/>
      <c r="J434" s="65"/>
      <c r="K434" s="65"/>
      <c r="L434" s="65"/>
      <c r="M434" s="65"/>
      <c r="N434" s="65"/>
      <c r="O434" s="65"/>
      <c r="P434" s="65"/>
      <c r="Q434" s="226">
        <f t="shared" si="50"/>
        <v>0</v>
      </c>
    </row>
    <row r="435" spans="1:41" ht="15.75">
      <c r="A435" s="37" t="s">
        <v>914</v>
      </c>
      <c r="B435" s="19"/>
      <c r="C435" s="19"/>
      <c r="D435" s="19"/>
      <c r="E435" s="19"/>
      <c r="F435" s="19"/>
      <c r="G435" s="19"/>
      <c r="H435" s="36"/>
      <c r="I435" s="80"/>
      <c r="J435" s="65"/>
      <c r="K435" s="65"/>
      <c r="L435" s="65"/>
      <c r="M435" s="65"/>
      <c r="N435" s="65"/>
      <c r="O435" s="65"/>
      <c r="P435" s="65"/>
      <c r="Q435" s="226">
        <f t="shared" si="50"/>
        <v>0</v>
      </c>
    </row>
    <row r="436" spans="1:41">
      <c r="A436" s="39"/>
      <c r="B436" s="40"/>
      <c r="C436" s="40"/>
      <c r="D436" s="40"/>
      <c r="E436" s="40"/>
      <c r="F436" s="40"/>
      <c r="G436" s="40"/>
      <c r="H436" s="40"/>
      <c r="I436" s="80"/>
      <c r="J436" s="65"/>
      <c r="K436" s="65"/>
      <c r="L436" s="65"/>
      <c r="M436" s="65"/>
      <c r="N436" s="65"/>
      <c r="O436" s="65"/>
      <c r="P436" s="65"/>
      <c r="Q436" s="226">
        <f t="shared" si="50"/>
        <v>0</v>
      </c>
    </row>
    <row r="437" spans="1:41">
      <c r="A437" s="43"/>
      <c r="B437" s="44" t="s">
        <v>164</v>
      </c>
      <c r="C437" s="44"/>
      <c r="D437" s="44"/>
      <c r="E437" s="44"/>
      <c r="F437" s="44"/>
      <c r="G437" s="44"/>
      <c r="H437" s="45"/>
      <c r="I437" s="80"/>
      <c r="J437" s="65"/>
      <c r="K437" s="65"/>
      <c r="L437" s="65"/>
      <c r="M437" s="65"/>
      <c r="N437" s="65"/>
      <c r="O437" s="65"/>
      <c r="P437" s="65"/>
      <c r="Q437" s="226">
        <f t="shared" si="50"/>
        <v>0</v>
      </c>
    </row>
    <row r="438" spans="1:41">
      <c r="A438" s="43"/>
      <c r="B438" s="44" t="s">
        <v>165</v>
      </c>
      <c r="C438" s="44"/>
      <c r="D438" s="670" t="s">
        <v>166</v>
      </c>
      <c r="E438" s="668"/>
      <c r="F438" s="668"/>
      <c r="G438" s="668"/>
      <c r="H438" s="49" t="s">
        <v>39</v>
      </c>
      <c r="I438" s="80"/>
      <c r="J438" s="65"/>
      <c r="K438" s="65"/>
      <c r="L438" s="65"/>
      <c r="M438" s="65"/>
      <c r="N438" s="65"/>
      <c r="O438" s="65"/>
      <c r="P438" s="65"/>
      <c r="Q438" s="226">
        <f t="shared" si="50"/>
        <v>0</v>
      </c>
    </row>
    <row r="439" spans="1:41" ht="36">
      <c r="A439" s="43"/>
      <c r="B439" s="50" t="s">
        <v>167</v>
      </c>
      <c r="C439" s="51" t="s">
        <v>168</v>
      </c>
      <c r="D439" s="52" t="s">
        <v>169</v>
      </c>
      <c r="E439" s="53" t="s">
        <v>7</v>
      </c>
      <c r="F439" s="50" t="s">
        <v>170</v>
      </c>
      <c r="G439" s="54" t="s">
        <v>171</v>
      </c>
      <c r="H439" s="55" t="s">
        <v>172</v>
      </c>
      <c r="I439" s="80"/>
      <c r="J439" s="65"/>
      <c r="K439" s="65"/>
      <c r="L439" s="65"/>
      <c r="M439" s="65"/>
      <c r="N439" s="65"/>
      <c r="O439" s="65"/>
      <c r="P439" s="65"/>
      <c r="Q439" s="226">
        <f t="shared" si="50"/>
        <v>0</v>
      </c>
    </row>
    <row r="440" spans="1:41" ht="15.75" customHeight="1">
      <c r="A440" s="62" t="s">
        <v>141</v>
      </c>
      <c r="B440" s="82">
        <f>('Pivot Table for Data Exchange'!$Q$7)*100</f>
        <v>88.958180484225963</v>
      </c>
      <c r="C440" s="221">
        <f>('Pivot Table for Data Exchange'!$Q$10)*100</f>
        <v>5.12350207874786</v>
      </c>
      <c r="D440" s="227">
        <f>SUM(E440:G440)</f>
        <v>5.9183174370261682</v>
      </c>
      <c r="E440" s="221">
        <f>('Pivot Table for Data Exchange'!$Q$13)*100</f>
        <v>5.9183174370261682</v>
      </c>
      <c r="F440" s="221">
        <f>('Pivot Table for Data Exchange'!$Q$16)*100</f>
        <v>0</v>
      </c>
      <c r="G440" s="60">
        <f>('Pivot Table for Data Exchange'!$Q$19)*100</f>
        <v>0</v>
      </c>
      <c r="H440" s="221">
        <f>('Pivot Table for Data Exchange'!$Q$22)*100</f>
        <v>0</v>
      </c>
      <c r="I440" s="65"/>
      <c r="J440" s="81"/>
      <c r="K440" s="81"/>
      <c r="L440" s="81"/>
      <c r="M440" s="81"/>
      <c r="N440" s="81"/>
      <c r="O440" s="81"/>
      <c r="P440" s="81"/>
      <c r="Q440" s="226">
        <f t="shared" si="50"/>
        <v>100</v>
      </c>
      <c r="R440" s="97"/>
      <c r="S440" s="98"/>
      <c r="T440" s="98"/>
      <c r="U440" s="98"/>
      <c r="V440" s="98"/>
      <c r="W440" s="98"/>
      <c r="X440" s="98"/>
      <c r="Y440" s="98"/>
      <c r="Z440" s="98"/>
      <c r="AA440" s="98"/>
      <c r="AB440" s="98"/>
      <c r="AC440" s="98"/>
      <c r="AD440" s="98"/>
      <c r="AE440" s="98"/>
      <c r="AF440" s="98"/>
      <c r="AG440" s="98"/>
      <c r="AH440" s="98"/>
      <c r="AI440" s="98"/>
      <c r="AJ440" s="98"/>
      <c r="AK440" s="98"/>
      <c r="AL440" s="98"/>
      <c r="AM440" s="98"/>
      <c r="AN440" s="98"/>
      <c r="AO440" s="98"/>
    </row>
    <row r="441" spans="1:41" ht="15.75" customHeight="1">
      <c r="A441" s="65" t="s">
        <v>142</v>
      </c>
      <c r="B441" s="221">
        <f>('Pivot Table for Data Exchange'!$Q$43)*100</f>
        <v>0</v>
      </c>
      <c r="C441" s="221">
        <f>('Pivot Table for Data Exchange'!$Q$46)*100</f>
        <v>0</v>
      </c>
      <c r="D441" s="227">
        <f t="shared" ref="D441:D443" si="52">SUM(E441:G441)</f>
        <v>0</v>
      </c>
      <c r="E441" s="221">
        <f>('Pivot Table for Data Exchange'!$Q$49)*100</f>
        <v>0</v>
      </c>
      <c r="F441" s="221">
        <f>('Pivot Table for Data Exchange'!$Q$52)*100</f>
        <v>0</v>
      </c>
      <c r="G441" s="223">
        <f>('Pivot Table for Data Exchange'!$Q$55)*100</f>
        <v>0</v>
      </c>
      <c r="H441" s="221">
        <f>('Pivot Table for Data Exchange'!$Q$58)*100</f>
        <v>0</v>
      </c>
      <c r="I441" s="65"/>
      <c r="J441" s="81"/>
      <c r="K441" s="81"/>
      <c r="L441" s="81"/>
      <c r="M441" s="81"/>
      <c r="N441" s="81"/>
      <c r="O441" s="81"/>
      <c r="P441" s="81"/>
      <c r="Q441" s="226">
        <f t="shared" si="50"/>
        <v>0</v>
      </c>
      <c r="R441" s="97"/>
      <c r="S441" s="98"/>
      <c r="T441" s="98"/>
      <c r="U441" s="98"/>
      <c r="V441" s="98"/>
      <c r="W441" s="98"/>
      <c r="X441" s="98"/>
      <c r="Y441" s="98"/>
      <c r="Z441" s="98"/>
      <c r="AA441" s="98"/>
      <c r="AB441" s="98"/>
      <c r="AC441" s="98"/>
      <c r="AD441" s="98"/>
      <c r="AE441" s="98"/>
      <c r="AF441" s="98"/>
      <c r="AG441" s="98"/>
      <c r="AH441" s="98"/>
      <c r="AI441" s="98"/>
      <c r="AJ441" s="98"/>
      <c r="AK441" s="98"/>
      <c r="AL441" s="98"/>
      <c r="AM441" s="98"/>
      <c r="AN441" s="98"/>
      <c r="AO441" s="98"/>
    </row>
    <row r="442" spans="1:41" ht="15.75" customHeight="1">
      <c r="A442" s="65" t="s">
        <v>143</v>
      </c>
      <c r="B442" s="221">
        <f>('Pivot Table for Data Exchange'!$Q$79)*100</f>
        <v>0</v>
      </c>
      <c r="C442" s="221">
        <f>('Pivot Table for Data Exchange'!$Q$82)*100</f>
        <v>0</v>
      </c>
      <c r="D442" s="227">
        <f t="shared" si="52"/>
        <v>0</v>
      </c>
      <c r="E442" s="221">
        <f>('Pivot Table for Data Exchange'!$Q$85)*100</f>
        <v>0</v>
      </c>
      <c r="F442" s="221">
        <f>('Pivot Table for Data Exchange'!$Q$88)*100</f>
        <v>0</v>
      </c>
      <c r="G442" s="223">
        <f>('Pivot Table for Data Exchange'!$Q$91)*100</f>
        <v>0</v>
      </c>
      <c r="H442" s="221">
        <f>('Pivot Table for Data Exchange'!$Q$94)*100</f>
        <v>0</v>
      </c>
      <c r="I442" s="65"/>
      <c r="J442" s="81"/>
      <c r="K442" s="81"/>
      <c r="L442" s="81"/>
      <c r="M442" s="81"/>
      <c r="N442" s="81"/>
      <c r="O442" s="81"/>
      <c r="P442" s="81"/>
      <c r="Q442" s="226">
        <f t="shared" si="50"/>
        <v>0</v>
      </c>
      <c r="R442" s="97"/>
      <c r="S442" s="98"/>
      <c r="T442" s="104"/>
      <c r="U442" s="98"/>
      <c r="V442" s="98"/>
      <c r="W442" s="98"/>
      <c r="X442" s="98"/>
      <c r="Y442" s="98"/>
      <c r="Z442" s="98"/>
      <c r="AA442" s="98"/>
      <c r="AB442" s="98"/>
      <c r="AC442" s="98"/>
      <c r="AD442" s="98"/>
      <c r="AE442" s="98"/>
      <c r="AF442" s="98"/>
      <c r="AG442" s="98"/>
      <c r="AH442" s="98"/>
      <c r="AI442" s="98"/>
      <c r="AJ442" s="98"/>
      <c r="AK442" s="98"/>
      <c r="AL442" s="98"/>
      <c r="AM442" s="98"/>
      <c r="AN442" s="98"/>
      <c r="AO442" s="98"/>
    </row>
    <row r="443" spans="1:41" ht="15.75" customHeight="1">
      <c r="A443" s="65" t="s">
        <v>144</v>
      </c>
      <c r="B443" s="221">
        <f>('Pivot Table for Data Exchange'!$Q$115)*100</f>
        <v>0</v>
      </c>
      <c r="C443" s="221">
        <f>('Pivot Table for Data Exchange'!$Q$118)*100</f>
        <v>0</v>
      </c>
      <c r="D443" s="227">
        <f t="shared" si="52"/>
        <v>0</v>
      </c>
      <c r="E443" s="221">
        <f>('Pivot Table for Data Exchange'!$Q$121)*100</f>
        <v>0</v>
      </c>
      <c r="F443" s="221">
        <f>('Pivot Table for Data Exchange'!$Q$124)*100</f>
        <v>0</v>
      </c>
      <c r="G443" s="223">
        <f>('Pivot Table for Data Exchange'!$Q$127)*100</f>
        <v>0</v>
      </c>
      <c r="H443" s="221">
        <f>('Pivot Table for Data Exchange'!$Q$130)*100</f>
        <v>0</v>
      </c>
      <c r="I443" s="65"/>
      <c r="J443" s="81"/>
      <c r="K443" s="81"/>
      <c r="L443" s="81"/>
      <c r="M443" s="81"/>
      <c r="N443" s="81"/>
      <c r="O443" s="81"/>
      <c r="P443" s="81"/>
      <c r="Q443" s="226">
        <f t="shared" si="50"/>
        <v>0</v>
      </c>
      <c r="R443" s="97"/>
      <c r="S443" s="98"/>
      <c r="U443" s="98"/>
      <c r="V443" s="98"/>
      <c r="W443" s="98"/>
      <c r="X443" s="98"/>
      <c r="Y443" s="98"/>
      <c r="Z443" s="98"/>
      <c r="AA443" s="98"/>
      <c r="AB443" s="98"/>
      <c r="AC443" s="98"/>
      <c r="AD443" s="98"/>
      <c r="AE443" s="98"/>
      <c r="AF443" s="98"/>
      <c r="AG443" s="98"/>
      <c r="AH443" s="98"/>
      <c r="AI443" s="98"/>
      <c r="AJ443" s="98"/>
      <c r="AK443" s="98"/>
      <c r="AL443" s="98"/>
      <c r="AM443" s="98"/>
      <c r="AN443" s="98"/>
      <c r="AO443" s="98"/>
    </row>
    <row r="444" spans="1:41" ht="15.75" customHeight="1">
      <c r="A444" s="65"/>
      <c r="B444" s="221"/>
      <c r="C444" s="221"/>
      <c r="D444" s="227"/>
      <c r="E444" s="221"/>
      <c r="F444" s="221"/>
      <c r="G444" s="223"/>
      <c r="H444" s="221"/>
      <c r="I444" s="65"/>
      <c r="J444" s="81"/>
      <c r="K444" s="81"/>
      <c r="L444" s="81"/>
      <c r="M444" s="81"/>
      <c r="N444" s="81"/>
      <c r="O444" s="81"/>
      <c r="P444" s="81"/>
      <c r="Q444" s="226">
        <f t="shared" si="50"/>
        <v>0</v>
      </c>
      <c r="R444" s="97"/>
      <c r="S444" s="98"/>
      <c r="U444" s="98"/>
      <c r="V444" s="98"/>
      <c r="W444" s="98"/>
      <c r="X444" s="98"/>
      <c r="Y444" s="98"/>
      <c r="Z444" s="98"/>
      <c r="AA444" s="98"/>
      <c r="AB444" s="98"/>
      <c r="AC444" s="98"/>
      <c r="AD444" s="98"/>
      <c r="AE444" s="98"/>
      <c r="AF444" s="98"/>
      <c r="AG444" s="98"/>
      <c r="AH444" s="98"/>
      <c r="AI444" s="98"/>
      <c r="AJ444" s="98"/>
      <c r="AK444" s="98"/>
      <c r="AL444" s="98"/>
      <c r="AM444" s="98"/>
      <c r="AN444" s="98"/>
      <c r="AO444" s="98"/>
    </row>
    <row r="445" spans="1:41" ht="15.75" customHeight="1">
      <c r="A445" s="65" t="s">
        <v>145</v>
      </c>
      <c r="B445" s="221">
        <f>('Pivot Table for Data Exchange'!$Q$151)*100</f>
        <v>0</v>
      </c>
      <c r="C445" s="221">
        <f>('Pivot Table for Data Exchange'!$Q$154)*100</f>
        <v>0</v>
      </c>
      <c r="D445" s="227">
        <f t="shared" ref="D445:D446" si="53">SUM(E445:G445)</f>
        <v>0</v>
      </c>
      <c r="E445" s="221">
        <f>('Pivot Table for Data Exchange'!$Q$157)*100</f>
        <v>0</v>
      </c>
      <c r="F445" s="221">
        <f>('Pivot Table for Data Exchange'!$Q$160)*100</f>
        <v>0</v>
      </c>
      <c r="G445" s="223">
        <f>('Pivot Table for Data Exchange'!$Q$163)*100</f>
        <v>0</v>
      </c>
      <c r="H445" s="221">
        <f>('Pivot Table for Data Exchange'!$Q$166)*100</f>
        <v>0</v>
      </c>
      <c r="I445" s="65"/>
      <c r="J445" s="81"/>
      <c r="K445" s="81"/>
      <c r="L445" s="81"/>
      <c r="M445" s="81"/>
      <c r="N445" s="81"/>
      <c r="O445" s="81"/>
      <c r="P445" s="81"/>
      <c r="Q445" s="226">
        <f t="shared" si="50"/>
        <v>0</v>
      </c>
      <c r="R445" s="97"/>
      <c r="S445" s="98"/>
      <c r="T445" s="98"/>
      <c r="U445" s="98"/>
      <c r="V445" s="98"/>
      <c r="W445" s="98"/>
      <c r="X445" s="98"/>
      <c r="Y445" s="98"/>
      <c r="Z445" s="98"/>
      <c r="AA445" s="98"/>
      <c r="AB445" s="98"/>
      <c r="AC445" s="98"/>
      <c r="AD445" s="98"/>
      <c r="AE445" s="98"/>
      <c r="AF445" s="98"/>
      <c r="AG445" s="98"/>
      <c r="AH445" s="98"/>
      <c r="AI445" s="98"/>
      <c r="AJ445" s="98"/>
      <c r="AK445" s="98"/>
      <c r="AL445" s="98"/>
      <c r="AM445" s="98"/>
      <c r="AN445" s="98"/>
      <c r="AO445" s="98"/>
    </row>
    <row r="446" spans="1:41" ht="15.75" customHeight="1">
      <c r="A446" s="65" t="s">
        <v>146</v>
      </c>
      <c r="B446" s="221">
        <f>('Pivot Table for Data Exchange'!$Q$187)*100</f>
        <v>0</v>
      </c>
      <c r="C446" s="221">
        <f>('Pivot Table for Data Exchange'!$Q$190)*100</f>
        <v>0</v>
      </c>
      <c r="D446" s="227">
        <f t="shared" si="53"/>
        <v>0</v>
      </c>
      <c r="E446" s="221">
        <f>('Pivot Table for Data Exchange'!$Q$193)*100</f>
        <v>0</v>
      </c>
      <c r="F446" s="221">
        <f>('Pivot Table for Data Exchange'!$Q$196)*100</f>
        <v>0</v>
      </c>
      <c r="G446" s="223">
        <f>('Pivot Table for Data Exchange'!$Q$199)*100</f>
        <v>0</v>
      </c>
      <c r="H446" s="221">
        <f>('Pivot Table for Data Exchange'!$Q$202)*100</f>
        <v>0</v>
      </c>
      <c r="I446" s="65"/>
      <c r="J446" s="81"/>
      <c r="K446" s="81"/>
      <c r="L446" s="81"/>
      <c r="M446" s="81"/>
      <c r="N446" s="81"/>
      <c r="O446" s="81"/>
      <c r="P446" s="81"/>
      <c r="Q446" s="226">
        <f t="shared" si="50"/>
        <v>0</v>
      </c>
      <c r="R446" s="97"/>
      <c r="S446" s="98"/>
      <c r="T446" s="98"/>
      <c r="U446" s="98"/>
      <c r="V446" s="98"/>
      <c r="W446" s="98"/>
      <c r="X446" s="98"/>
      <c r="Y446" s="98"/>
      <c r="Z446" s="98"/>
      <c r="AA446" s="98"/>
      <c r="AB446" s="98"/>
      <c r="AC446" s="98"/>
      <c r="AD446" s="98"/>
      <c r="AE446" s="98"/>
      <c r="AF446" s="98"/>
      <c r="AG446" s="98"/>
      <c r="AH446" s="98"/>
      <c r="AI446" s="98"/>
      <c r="AJ446" s="98"/>
      <c r="AK446" s="98"/>
      <c r="AL446" s="98"/>
      <c r="AM446" s="98"/>
      <c r="AN446" s="98"/>
      <c r="AO446" s="98"/>
    </row>
    <row r="447" spans="1:41" ht="15.75" customHeight="1">
      <c r="A447" s="65" t="s">
        <v>147</v>
      </c>
      <c r="B447" s="221">
        <f>('Pivot Table for Data Exchange'!$Q$223)*100</f>
        <v>0</v>
      </c>
      <c r="C447" s="221">
        <f>('Pivot Table for Data Exchange'!$Q$226)*100</f>
        <v>0</v>
      </c>
      <c r="D447" s="227">
        <f>SUM(E447:G447)</f>
        <v>0</v>
      </c>
      <c r="E447" s="221">
        <f>('Pivot Table for Data Exchange'!$Q$229)*100</f>
        <v>0</v>
      </c>
      <c r="F447" s="221">
        <f>('Pivot Table for Data Exchange'!$Q$232)*100</f>
        <v>0</v>
      </c>
      <c r="G447" s="223">
        <f>('Pivot Table for Data Exchange'!$Q$235)*100</f>
        <v>0</v>
      </c>
      <c r="H447" s="221">
        <f>('Pivot Table for Data Exchange'!$Q$238)*100</f>
        <v>0</v>
      </c>
      <c r="I447" s="86"/>
      <c r="J447" s="81"/>
      <c r="K447" s="81"/>
      <c r="L447" s="81"/>
      <c r="M447" s="81"/>
      <c r="N447" s="81"/>
      <c r="O447" s="81"/>
      <c r="P447" s="81"/>
      <c r="Q447" s="226">
        <f t="shared" si="50"/>
        <v>0</v>
      </c>
      <c r="R447" s="97"/>
      <c r="S447" s="98"/>
      <c r="T447" s="104"/>
      <c r="U447" s="98"/>
      <c r="V447" s="98"/>
      <c r="W447" s="98"/>
      <c r="X447" s="98"/>
      <c r="Y447" s="98"/>
      <c r="Z447" s="98"/>
      <c r="AA447" s="98"/>
      <c r="AB447" s="98"/>
      <c r="AC447" s="98"/>
      <c r="AD447" s="98"/>
      <c r="AE447" s="98"/>
      <c r="AF447" s="98"/>
      <c r="AG447" s="98"/>
      <c r="AH447" s="98"/>
      <c r="AI447" s="98"/>
      <c r="AJ447" s="98"/>
      <c r="AK447" s="98"/>
      <c r="AL447" s="98"/>
      <c r="AM447" s="98"/>
      <c r="AN447" s="98"/>
      <c r="AO447" s="98"/>
    </row>
    <row r="448" spans="1:41" ht="15.75" customHeight="1">
      <c r="A448" s="65" t="s">
        <v>177</v>
      </c>
      <c r="B448" s="221">
        <f>('Pivot Table for Data Exchange'!$Q$259)*100</f>
        <v>0</v>
      </c>
      <c r="C448" s="221">
        <f>('Pivot Table for Data Exchange'!$Q$262)*100</f>
        <v>0</v>
      </c>
      <c r="D448" s="227">
        <f>SUM(E448:G448)</f>
        <v>0</v>
      </c>
      <c r="E448" s="221">
        <f>('Pivot Table for Data Exchange'!$Q$265)*100</f>
        <v>0</v>
      </c>
      <c r="F448" s="221">
        <f>('Pivot Table for Data Exchange'!$Q$268)*100</f>
        <v>0</v>
      </c>
      <c r="G448" s="223">
        <f>('Pivot Table for Data Exchange'!$Q$271)*100</f>
        <v>0</v>
      </c>
      <c r="H448" s="221">
        <f>('Pivot Table for Data Exchange'!$Q$274)*100</f>
        <v>0</v>
      </c>
      <c r="I448" s="65"/>
      <c r="J448" s="81"/>
      <c r="K448" s="81"/>
      <c r="L448" s="81"/>
      <c r="M448" s="81"/>
      <c r="N448" s="81"/>
      <c r="O448" s="81"/>
      <c r="P448" s="81"/>
      <c r="Q448" s="226">
        <f t="shared" si="50"/>
        <v>0</v>
      </c>
      <c r="R448" s="97"/>
      <c r="S448" s="98"/>
      <c r="U448" s="98"/>
      <c r="V448" s="98"/>
      <c r="W448" s="98"/>
      <c r="X448" s="98"/>
      <c r="Y448" s="98"/>
      <c r="Z448" s="98"/>
      <c r="AA448" s="98"/>
      <c r="AB448" s="98"/>
      <c r="AC448" s="98"/>
      <c r="AD448" s="98"/>
      <c r="AE448" s="98"/>
      <c r="AF448" s="98"/>
      <c r="AG448" s="98"/>
      <c r="AH448" s="98"/>
      <c r="AI448" s="98"/>
      <c r="AJ448" s="98"/>
      <c r="AK448" s="98"/>
      <c r="AL448" s="98"/>
      <c r="AM448" s="98"/>
      <c r="AN448" s="98"/>
      <c r="AO448" s="98"/>
    </row>
    <row r="449" spans="1:41" ht="15.75" customHeight="1">
      <c r="A449" s="65"/>
      <c r="B449" s="221"/>
      <c r="C449" s="221"/>
      <c r="D449" s="227"/>
      <c r="E449" s="221"/>
      <c r="F449" s="221"/>
      <c r="G449" s="223"/>
      <c r="H449" s="221"/>
      <c r="I449" s="65"/>
      <c r="J449" s="81"/>
      <c r="K449" s="81"/>
      <c r="L449" s="81"/>
      <c r="M449" s="81"/>
      <c r="N449" s="81"/>
      <c r="O449" s="81"/>
      <c r="P449" s="81"/>
      <c r="Q449" s="226">
        <f t="shared" si="50"/>
        <v>0</v>
      </c>
      <c r="R449" s="97"/>
      <c r="S449" s="98"/>
      <c r="U449" s="98"/>
      <c r="V449" s="98"/>
      <c r="W449" s="98"/>
      <c r="X449" s="98"/>
      <c r="Y449" s="98"/>
      <c r="Z449" s="98"/>
      <c r="AA449" s="98"/>
      <c r="AB449" s="98"/>
      <c r="AC449" s="98"/>
      <c r="AD449" s="98"/>
      <c r="AE449" s="98"/>
      <c r="AF449" s="98"/>
      <c r="AG449" s="98"/>
      <c r="AH449" s="98"/>
      <c r="AI449" s="98"/>
      <c r="AJ449" s="98"/>
      <c r="AK449" s="98"/>
      <c r="AL449" s="98"/>
      <c r="AM449" s="98"/>
      <c r="AN449" s="98"/>
      <c r="AO449" s="98"/>
    </row>
    <row r="450" spans="1:41" ht="15.75" customHeight="1">
      <c r="A450" s="65" t="s">
        <v>148</v>
      </c>
      <c r="B450" s="221">
        <f>('Pivot Table for Data Exchange'!$Q$295)*100</f>
        <v>0</v>
      </c>
      <c r="C450" s="221">
        <f>('Pivot Table for Data Exchange'!$Q$298)*100</f>
        <v>0</v>
      </c>
      <c r="D450" s="227">
        <f>SUM(E450:G450)</f>
        <v>0</v>
      </c>
      <c r="E450" s="221">
        <f>('Pivot Table for Data Exchange'!$Q$301)*100</f>
        <v>0</v>
      </c>
      <c r="F450" s="221">
        <f>('Pivot Table for Data Exchange'!$Q$304)*100</f>
        <v>0</v>
      </c>
      <c r="G450" s="223">
        <f>('Pivot Table for Data Exchange'!$Q$307)*100</f>
        <v>0</v>
      </c>
      <c r="H450" s="221">
        <f>('Pivot Table for Data Exchange'!$Q$310)*100</f>
        <v>0</v>
      </c>
      <c r="I450" s="65"/>
      <c r="J450" s="81"/>
      <c r="K450" s="81"/>
      <c r="L450" s="81"/>
      <c r="M450" s="81"/>
      <c r="N450" s="81"/>
      <c r="O450" s="81"/>
      <c r="P450" s="81"/>
      <c r="Q450" s="226">
        <f t="shared" si="50"/>
        <v>0</v>
      </c>
      <c r="R450" s="97"/>
      <c r="S450" s="98"/>
      <c r="T450" s="98"/>
      <c r="U450" s="98"/>
      <c r="V450" s="98"/>
      <c r="W450" s="98"/>
      <c r="X450" s="98"/>
      <c r="Y450" s="98"/>
      <c r="Z450" s="98"/>
      <c r="AA450" s="98"/>
      <c r="AB450" s="98"/>
      <c r="AC450" s="98"/>
      <c r="AD450" s="98"/>
      <c r="AE450" s="98"/>
      <c r="AF450" s="98"/>
      <c r="AG450" s="98"/>
      <c r="AH450" s="98"/>
      <c r="AI450" s="98"/>
      <c r="AJ450" s="98"/>
      <c r="AK450" s="98"/>
      <c r="AL450" s="98"/>
      <c r="AM450" s="98"/>
      <c r="AN450" s="98"/>
      <c r="AO450" s="98"/>
    </row>
    <row r="451" spans="1:41" ht="15.75" customHeight="1">
      <c r="A451" s="65" t="s">
        <v>149</v>
      </c>
      <c r="B451" s="221">
        <f>('Pivot Table for Data Exchange'!$Q$331)*100</f>
        <v>0</v>
      </c>
      <c r="C451" s="221">
        <f>('Pivot Table for Data Exchange'!$Q$334)*100</f>
        <v>0</v>
      </c>
      <c r="D451" s="227">
        <f>SUM(E451:G451)</f>
        <v>0</v>
      </c>
      <c r="E451" s="221">
        <f>('Pivot Table for Data Exchange'!$Q$337)*100</f>
        <v>0</v>
      </c>
      <c r="F451" s="221">
        <f>('Pivot Table for Data Exchange'!$Q$340)*100</f>
        <v>0</v>
      </c>
      <c r="G451" s="223">
        <f>('Pivot Table for Data Exchange'!$Q$343)*100</f>
        <v>0</v>
      </c>
      <c r="H451" s="221">
        <f>('Pivot Table for Data Exchange'!$Q$346)*100</f>
        <v>0</v>
      </c>
      <c r="I451" s="65"/>
      <c r="J451" s="81"/>
      <c r="K451" s="81"/>
      <c r="L451" s="81"/>
      <c r="M451" s="81"/>
      <c r="N451" s="81"/>
      <c r="O451" s="81"/>
      <c r="P451" s="81"/>
      <c r="Q451" s="226">
        <f t="shared" si="50"/>
        <v>0</v>
      </c>
      <c r="R451" s="97"/>
      <c r="S451" s="98"/>
      <c r="T451" s="98"/>
      <c r="U451" s="98"/>
      <c r="V451" s="98"/>
      <c r="W451" s="98"/>
      <c r="X451" s="98"/>
      <c r="Y451" s="98"/>
      <c r="Z451" s="98"/>
      <c r="AA451" s="98"/>
      <c r="AB451" s="98"/>
      <c r="AC451" s="98"/>
      <c r="AD451" s="98"/>
      <c r="AE451" s="98"/>
      <c r="AF451" s="98"/>
      <c r="AG451" s="98"/>
      <c r="AH451" s="98"/>
      <c r="AI451" s="98"/>
      <c r="AJ451" s="98"/>
      <c r="AK451" s="98"/>
      <c r="AL451" s="98"/>
      <c r="AM451" s="98"/>
      <c r="AN451" s="98"/>
      <c r="AO451" s="98"/>
    </row>
    <row r="452" spans="1:41" ht="15.75" customHeight="1">
      <c r="A452" s="65" t="s">
        <v>150</v>
      </c>
      <c r="B452" s="221">
        <f>('Pivot Table for Data Exchange'!$Q$367)*100</f>
        <v>0</v>
      </c>
      <c r="C452" s="221">
        <f>('Pivot Table for Data Exchange'!$Q$370)*100</f>
        <v>0</v>
      </c>
      <c r="D452" s="227">
        <f>SUM(E452:G452)</f>
        <v>0</v>
      </c>
      <c r="E452" s="221">
        <f>('Pivot Table for Data Exchange'!$Q$373)*100</f>
        <v>0</v>
      </c>
      <c r="F452" s="221">
        <f>('Pivot Table for Data Exchange'!$Q$376)*100</f>
        <v>0</v>
      </c>
      <c r="G452" s="223">
        <f>('Pivot Table for Data Exchange'!$Q$379)*100</f>
        <v>0</v>
      </c>
      <c r="H452" s="221">
        <f>('Pivot Table for Data Exchange'!$Q$382)*100</f>
        <v>0</v>
      </c>
      <c r="I452" s="65"/>
      <c r="J452" s="81"/>
      <c r="K452" s="81"/>
      <c r="L452" s="81"/>
      <c r="M452" s="81"/>
      <c r="N452" s="81"/>
      <c r="O452" s="81"/>
      <c r="P452" s="81"/>
      <c r="Q452" s="226">
        <f t="shared" si="50"/>
        <v>0</v>
      </c>
      <c r="R452" s="97"/>
      <c r="S452" s="98"/>
      <c r="T452" s="104"/>
      <c r="U452" s="98"/>
      <c r="V452" s="98"/>
      <c r="W452" s="98"/>
      <c r="X452" s="98"/>
      <c r="Y452" s="98"/>
      <c r="Z452" s="98"/>
      <c r="AA452" s="98"/>
      <c r="AB452" s="98"/>
      <c r="AC452" s="98"/>
      <c r="AD452" s="98"/>
      <c r="AE452" s="98"/>
      <c r="AF452" s="98"/>
      <c r="AG452" s="98"/>
      <c r="AH452" s="98"/>
      <c r="AI452" s="98"/>
      <c r="AJ452" s="98"/>
      <c r="AK452" s="98"/>
      <c r="AL452" s="98"/>
      <c r="AM452" s="98"/>
      <c r="AN452" s="98"/>
      <c r="AO452" s="98"/>
    </row>
    <row r="453" spans="1:41" ht="15.75" customHeight="1">
      <c r="A453" s="65" t="s">
        <v>151</v>
      </c>
      <c r="B453" s="221">
        <f>('Pivot Table for Data Exchange'!$Q$403)*100</f>
        <v>0</v>
      </c>
      <c r="C453" s="221">
        <f>('Pivot Table for Data Exchange'!$Q$406)*100</f>
        <v>0</v>
      </c>
      <c r="D453" s="227">
        <f>SUM(E453:G453)</f>
        <v>0</v>
      </c>
      <c r="E453" s="221">
        <f>('Pivot Table for Data Exchange'!$Q$409)*100</f>
        <v>0</v>
      </c>
      <c r="F453" s="221">
        <f>('Pivot Table for Data Exchange'!$Q$412)*100</f>
        <v>0</v>
      </c>
      <c r="G453" s="223">
        <f>('Pivot Table for Data Exchange'!$Q$415)*100</f>
        <v>0</v>
      </c>
      <c r="H453" s="221">
        <f>('Pivot Table for Data Exchange'!$Q$418)*100</f>
        <v>0</v>
      </c>
      <c r="I453" s="65"/>
      <c r="J453" s="81"/>
      <c r="K453" s="81"/>
      <c r="L453" s="81"/>
      <c r="M453" s="81"/>
      <c r="N453" s="81"/>
      <c r="O453" s="81"/>
      <c r="P453" s="81"/>
      <c r="Q453" s="226">
        <f t="shared" si="50"/>
        <v>0</v>
      </c>
      <c r="R453" s="97"/>
      <c r="S453" s="98"/>
      <c r="T453" s="98"/>
      <c r="U453" s="98"/>
      <c r="V453" s="98"/>
      <c r="W453" s="98"/>
      <c r="X453" s="98"/>
      <c r="Y453" s="98"/>
      <c r="Z453" s="98"/>
      <c r="AA453" s="98"/>
      <c r="AB453" s="98"/>
      <c r="AC453" s="98"/>
      <c r="AD453" s="98"/>
      <c r="AE453" s="98"/>
      <c r="AF453" s="98"/>
      <c r="AG453" s="98"/>
      <c r="AH453" s="98"/>
      <c r="AI453" s="98"/>
      <c r="AJ453" s="98"/>
      <c r="AK453" s="98"/>
      <c r="AL453" s="98"/>
      <c r="AM453" s="98"/>
      <c r="AN453" s="98"/>
      <c r="AO453" s="98"/>
    </row>
    <row r="454" spans="1:41" ht="15.75" customHeight="1">
      <c r="A454" s="65"/>
      <c r="B454" s="221"/>
      <c r="C454" s="221"/>
      <c r="D454" s="227"/>
      <c r="E454" s="221"/>
      <c r="F454" s="221"/>
      <c r="G454" s="223"/>
      <c r="H454" s="221"/>
      <c r="I454" s="65"/>
      <c r="J454" s="81"/>
      <c r="K454" s="81"/>
      <c r="L454" s="81"/>
      <c r="M454" s="81"/>
      <c r="N454" s="81"/>
      <c r="O454" s="81"/>
      <c r="P454" s="81"/>
      <c r="Q454" s="226">
        <f t="shared" si="50"/>
        <v>0</v>
      </c>
      <c r="R454" s="97"/>
      <c r="S454" s="98"/>
      <c r="T454" s="98"/>
      <c r="U454" s="98"/>
      <c r="V454" s="98"/>
      <c r="W454" s="98"/>
      <c r="X454" s="98"/>
      <c r="Y454" s="98"/>
      <c r="Z454" s="98"/>
      <c r="AA454" s="98"/>
      <c r="AB454" s="98"/>
      <c r="AC454" s="98"/>
      <c r="AD454" s="98"/>
      <c r="AE454" s="98"/>
      <c r="AF454" s="98"/>
      <c r="AG454" s="98"/>
      <c r="AH454" s="98"/>
      <c r="AI454" s="98"/>
      <c r="AJ454" s="98"/>
      <c r="AK454" s="98"/>
      <c r="AL454" s="98"/>
      <c r="AM454" s="98"/>
      <c r="AN454" s="98"/>
      <c r="AO454" s="98"/>
    </row>
    <row r="455" spans="1:41" ht="15.75" customHeight="1">
      <c r="A455" s="65" t="s">
        <v>152</v>
      </c>
      <c r="B455" s="221">
        <f>('Pivot Table for Data Exchange'!$Q$439)*100</f>
        <v>0</v>
      </c>
      <c r="C455" s="221">
        <f>('Pivot Table for Data Exchange'!$Q$442)*100</f>
        <v>0</v>
      </c>
      <c r="D455" s="227">
        <f>SUM(E455:G455)</f>
        <v>0</v>
      </c>
      <c r="E455" s="221">
        <f>('Pivot Table for Data Exchange'!$Q$445)*100</f>
        <v>0</v>
      </c>
      <c r="F455" s="221">
        <f>('Pivot Table for Data Exchange'!$Q$448)*100</f>
        <v>0</v>
      </c>
      <c r="G455" s="223">
        <f>('Pivot Table for Data Exchange'!$Q$451)*100</f>
        <v>0</v>
      </c>
      <c r="H455" s="221">
        <f>('Pivot Table for Data Exchange'!$Q$454)*100</f>
        <v>0</v>
      </c>
      <c r="I455" s="65"/>
      <c r="J455" s="81"/>
      <c r="K455" s="81"/>
      <c r="L455" s="81"/>
      <c r="M455" s="81"/>
      <c r="N455" s="81"/>
      <c r="O455" s="81"/>
      <c r="P455" s="81"/>
      <c r="Q455" s="226">
        <f t="shared" si="50"/>
        <v>0</v>
      </c>
      <c r="R455" s="97"/>
      <c r="S455" s="98"/>
      <c r="T455" s="98"/>
      <c r="U455" s="98"/>
      <c r="V455" s="98"/>
      <c r="W455" s="98"/>
      <c r="X455" s="98"/>
      <c r="Y455" s="98"/>
      <c r="Z455" s="98"/>
      <c r="AA455" s="98"/>
      <c r="AB455" s="98"/>
      <c r="AC455" s="98"/>
      <c r="AD455" s="98"/>
      <c r="AE455" s="98"/>
      <c r="AF455" s="98"/>
      <c r="AG455" s="98"/>
      <c r="AH455" s="98"/>
      <c r="AI455" s="98"/>
      <c r="AJ455" s="98"/>
      <c r="AK455" s="98"/>
      <c r="AL455" s="98"/>
      <c r="AM455" s="98"/>
      <c r="AN455" s="98"/>
      <c r="AO455" s="98"/>
    </row>
    <row r="456" spans="1:41" ht="15.75" customHeight="1">
      <c r="A456" s="65" t="s">
        <v>153</v>
      </c>
      <c r="B456" s="221">
        <f>('Pivot Table for Data Exchange'!$Q$475)*100</f>
        <v>0</v>
      </c>
      <c r="C456" s="221">
        <f>('Pivot Table for Data Exchange'!$Q$478)*100</f>
        <v>0</v>
      </c>
      <c r="D456" s="227">
        <f>SUM(E456:G456)</f>
        <v>0</v>
      </c>
      <c r="E456" s="221">
        <f>('Pivot Table for Data Exchange'!$Q$481)*100</f>
        <v>0</v>
      </c>
      <c r="F456" s="221">
        <f>('Pivot Table for Data Exchange'!$Q$484)*100</f>
        <v>0</v>
      </c>
      <c r="G456" s="223">
        <f>('Pivot Table for Data Exchange'!$Q$487)*100</f>
        <v>0</v>
      </c>
      <c r="H456" s="221">
        <f>('Pivot Table for Data Exchange'!$Q$490)*100</f>
        <v>0</v>
      </c>
      <c r="I456" s="65"/>
      <c r="J456" s="81"/>
      <c r="K456" s="81"/>
      <c r="L456" s="81"/>
      <c r="M456" s="81"/>
      <c r="N456" s="81"/>
      <c r="O456" s="81"/>
      <c r="P456" s="81"/>
      <c r="Q456" s="226">
        <f t="shared" si="50"/>
        <v>0</v>
      </c>
      <c r="R456" s="97"/>
      <c r="S456" s="98"/>
      <c r="T456" s="98"/>
      <c r="U456" s="98"/>
      <c r="V456" s="98"/>
      <c r="W456" s="98"/>
      <c r="X456" s="98"/>
      <c r="Y456" s="98"/>
      <c r="Z456" s="98"/>
      <c r="AA456" s="98"/>
      <c r="AB456" s="98"/>
      <c r="AC456" s="98"/>
      <c r="AD456" s="98"/>
      <c r="AE456" s="98"/>
      <c r="AF456" s="98"/>
      <c r="AG456" s="98"/>
      <c r="AH456" s="98"/>
      <c r="AI456" s="98"/>
      <c r="AJ456" s="98"/>
      <c r="AK456" s="98"/>
      <c r="AL456" s="98"/>
      <c r="AM456" s="98"/>
      <c r="AN456" s="98"/>
      <c r="AO456" s="98"/>
    </row>
    <row r="457" spans="1:41" ht="15.75" customHeight="1">
      <c r="A457" s="65" t="s">
        <v>154</v>
      </c>
      <c r="B457" s="221">
        <f>('Pivot Table for Data Exchange'!$Q$511)*100</f>
        <v>0</v>
      </c>
      <c r="C457" s="221">
        <f>('Pivot Table for Data Exchange'!$Q$514)*100</f>
        <v>0</v>
      </c>
      <c r="D457" s="227">
        <f>SUM(E457:G457)</f>
        <v>0</v>
      </c>
      <c r="E457" s="221">
        <f>('Pivot Table for Data Exchange'!$Q$517)*100</f>
        <v>0</v>
      </c>
      <c r="F457" s="221">
        <f>('Pivot Table for Data Exchange'!$Q$520)*100</f>
        <v>0</v>
      </c>
      <c r="G457" s="223">
        <f>('Pivot Table for Data Exchange'!$Q$523)*100</f>
        <v>0</v>
      </c>
      <c r="H457" s="221">
        <f>('Pivot Table for Data Exchange'!$Q$526)*100</f>
        <v>0</v>
      </c>
      <c r="I457" s="65"/>
      <c r="J457" s="81"/>
      <c r="K457" s="81"/>
      <c r="L457" s="81"/>
      <c r="M457" s="81"/>
      <c r="N457" s="81"/>
      <c r="O457" s="81"/>
      <c r="P457" s="81"/>
      <c r="Q457" s="226">
        <f t="shared" si="50"/>
        <v>0</v>
      </c>
      <c r="R457" s="97"/>
      <c r="S457" s="98"/>
      <c r="T457" s="98"/>
      <c r="U457" s="98"/>
      <c r="V457" s="98"/>
      <c r="W457" s="98"/>
      <c r="X457" s="98"/>
      <c r="Y457" s="98"/>
      <c r="Z457" s="98"/>
      <c r="AA457" s="98"/>
      <c r="AB457" s="98"/>
      <c r="AC457" s="98"/>
      <c r="AD457" s="98"/>
      <c r="AE457" s="98"/>
      <c r="AF457" s="98"/>
      <c r="AG457" s="98"/>
      <c r="AH457" s="98"/>
      <c r="AI457" s="98"/>
      <c r="AJ457" s="98"/>
      <c r="AK457" s="98"/>
      <c r="AL457" s="98"/>
      <c r="AM457" s="98"/>
      <c r="AN457" s="98"/>
      <c r="AO457" s="98"/>
    </row>
    <row r="458" spans="1:41" ht="15.75" customHeight="1">
      <c r="A458" s="39" t="s">
        <v>155</v>
      </c>
      <c r="B458" s="224">
        <f>('Pivot Table for Data Exchange'!$Q$547)*100</f>
        <v>0</v>
      </c>
      <c r="C458" s="224">
        <f>('Pivot Table for Data Exchange'!$Q$550)*100</f>
        <v>0</v>
      </c>
      <c r="D458" s="228">
        <f>SUM(E458:G458)</f>
        <v>0</v>
      </c>
      <c r="E458" s="224">
        <f>('Pivot Table for Data Exchange'!$Q$553)*100</f>
        <v>0</v>
      </c>
      <c r="F458" s="224">
        <f>('Pivot Table for Data Exchange'!$Q$556)*100</f>
        <v>0</v>
      </c>
      <c r="G458" s="225">
        <f>('Pivot Table for Data Exchange'!$Q$559)*100</f>
        <v>0</v>
      </c>
      <c r="H458" s="224">
        <f>('Pivot Table for Data Exchange'!$Q$562)*100</f>
        <v>0</v>
      </c>
      <c r="I458" s="65"/>
      <c r="J458" s="81"/>
      <c r="K458" s="81"/>
      <c r="L458" s="81"/>
      <c r="M458" s="81"/>
      <c r="N458" s="81"/>
      <c r="O458" s="81"/>
      <c r="P458" s="81"/>
      <c r="Q458" s="226">
        <f t="shared" si="50"/>
        <v>0</v>
      </c>
      <c r="R458" s="97"/>
      <c r="S458" s="98"/>
      <c r="T458" s="98"/>
      <c r="U458" s="98"/>
      <c r="V458" s="98"/>
      <c r="W458" s="98"/>
      <c r="X458" s="98"/>
      <c r="Y458" s="98"/>
      <c r="Z458" s="98"/>
      <c r="AA458" s="98"/>
      <c r="AB458" s="98"/>
      <c r="AC458" s="98"/>
      <c r="AD458" s="98"/>
      <c r="AE458" s="98"/>
      <c r="AF458" s="98"/>
      <c r="AG458" s="98"/>
      <c r="AH458" s="98"/>
      <c r="AI458" s="98"/>
      <c r="AJ458" s="98"/>
      <c r="AK458" s="98"/>
      <c r="AL458" s="98"/>
      <c r="AM458" s="98"/>
      <c r="AN458" s="98"/>
      <c r="AO458" s="98"/>
    </row>
    <row r="459" spans="1:41" s="103" customFormat="1" ht="13.5" customHeight="1">
      <c r="A459" s="691" t="s">
        <v>175</v>
      </c>
      <c r="B459" s="69"/>
      <c r="C459" s="69"/>
      <c r="D459" s="70"/>
      <c r="E459" s="69"/>
      <c r="F459" s="70"/>
      <c r="G459" s="70"/>
      <c r="H459" s="69"/>
      <c r="I459" s="24"/>
      <c r="J459" s="69"/>
      <c r="K459" s="69"/>
      <c r="L459" s="70"/>
      <c r="M459" s="69"/>
      <c r="N459" s="70"/>
      <c r="O459" s="70"/>
      <c r="P459" s="69"/>
      <c r="Q459" s="101"/>
      <c r="R459" s="101"/>
      <c r="S459" s="102"/>
      <c r="T459" s="102"/>
      <c r="U459" s="102"/>
      <c r="V459" s="102"/>
      <c r="W459" s="102"/>
      <c r="X459" s="102"/>
      <c r="Y459" s="102"/>
      <c r="Z459" s="102"/>
      <c r="AA459" s="102"/>
      <c r="AB459" s="102"/>
      <c r="AC459" s="102"/>
      <c r="AD459" s="102"/>
      <c r="AE459" s="102"/>
      <c r="AF459" s="102"/>
      <c r="AG459" s="102"/>
      <c r="AH459" s="102"/>
      <c r="AI459" s="102"/>
      <c r="AJ459" s="102"/>
      <c r="AK459" s="102"/>
      <c r="AL459" s="102"/>
      <c r="AM459" s="102"/>
      <c r="AN459" s="102"/>
      <c r="AO459" s="102"/>
    </row>
    <row r="460" spans="1:41" s="103" customFormat="1" ht="18" customHeight="1">
      <c r="A460" s="24"/>
      <c r="B460" s="69"/>
      <c r="C460" s="69"/>
      <c r="D460" s="70"/>
      <c r="E460" s="69"/>
      <c r="F460" s="70"/>
      <c r="G460" s="70"/>
      <c r="H460" s="69"/>
      <c r="I460" s="24"/>
      <c r="J460" s="69"/>
      <c r="K460" s="69"/>
      <c r="L460" s="70"/>
      <c r="M460" s="69"/>
      <c r="N460" s="70"/>
      <c r="O460" s="70"/>
      <c r="P460" s="69"/>
      <c r="Q460" s="101"/>
      <c r="R460" s="101"/>
      <c r="S460" s="102"/>
      <c r="T460" s="102"/>
      <c r="U460" s="102"/>
      <c r="V460" s="102"/>
      <c r="W460" s="102"/>
      <c r="X460" s="102"/>
      <c r="Y460" s="102"/>
      <c r="Z460" s="102"/>
      <c r="AA460" s="102"/>
      <c r="AB460" s="102"/>
      <c r="AC460" s="102"/>
      <c r="AD460" s="102"/>
      <c r="AE460" s="102"/>
      <c r="AF460" s="102"/>
      <c r="AG460" s="102"/>
      <c r="AH460" s="102"/>
      <c r="AI460" s="102"/>
      <c r="AJ460" s="102"/>
      <c r="AK460" s="102"/>
      <c r="AL460" s="102"/>
      <c r="AM460" s="102"/>
      <c r="AN460" s="102"/>
      <c r="AO460" s="102"/>
    </row>
    <row r="461" spans="1:41" s="103" customFormat="1" ht="13.5" customHeight="1">
      <c r="A461" s="24"/>
      <c r="B461" s="76"/>
      <c r="C461" s="25"/>
      <c r="D461" s="25"/>
      <c r="E461" s="25"/>
      <c r="F461" s="25"/>
      <c r="G461" s="25"/>
      <c r="H461" s="27" t="s">
        <v>899</v>
      </c>
      <c r="I461" s="24"/>
      <c r="J461" s="25"/>
      <c r="K461" s="25"/>
      <c r="L461" s="25"/>
      <c r="M461" s="25"/>
      <c r="N461" s="25"/>
      <c r="O461" s="25"/>
      <c r="P461" s="77"/>
      <c r="Q461" s="108"/>
      <c r="R461" s="106"/>
    </row>
    <row r="462" spans="1:41" s="103" customFormat="1" ht="13.5" customHeight="1">
      <c r="A462" s="75"/>
      <c r="B462" s="25"/>
      <c r="C462" s="25"/>
      <c r="D462" s="25"/>
      <c r="E462" s="25"/>
      <c r="F462" s="25"/>
      <c r="G462" s="25"/>
      <c r="H462" s="26"/>
      <c r="I462" s="75"/>
      <c r="J462" s="25"/>
      <c r="K462" s="25"/>
      <c r="L462" s="25"/>
      <c r="M462" s="25"/>
      <c r="N462" s="25"/>
      <c r="O462" s="25"/>
      <c r="P462" s="25"/>
      <c r="Q462" s="108"/>
      <c r="R462" s="106"/>
    </row>
    <row r="463" spans="1:41" s="103" customFormat="1" ht="13.5" customHeight="1">
      <c r="A463" s="75"/>
      <c r="B463" s="25"/>
      <c r="C463" s="25"/>
      <c r="D463" s="25"/>
      <c r="E463" s="25"/>
      <c r="F463" s="25"/>
      <c r="G463" s="25"/>
      <c r="H463" s="26"/>
      <c r="I463" s="75"/>
      <c r="J463" s="25"/>
      <c r="K463" s="25"/>
      <c r="L463" s="25"/>
      <c r="M463" s="25"/>
      <c r="N463" s="25"/>
      <c r="O463" s="25"/>
      <c r="P463" s="25"/>
      <c r="Q463" s="108"/>
      <c r="R463" s="106"/>
    </row>
    <row r="464" spans="1:41">
      <c r="I464" s="80"/>
      <c r="J464" s="65"/>
      <c r="K464" s="65"/>
      <c r="L464" s="65"/>
      <c r="M464" s="65"/>
      <c r="N464" s="65"/>
      <c r="O464" s="65"/>
      <c r="P464" s="65"/>
    </row>
    <row r="465" spans="9:16">
      <c r="I465" s="80"/>
      <c r="J465" s="65"/>
      <c r="K465" s="65"/>
      <c r="L465" s="65"/>
      <c r="M465" s="65"/>
      <c r="N465" s="65"/>
      <c r="O465" s="65"/>
      <c r="P465" s="65"/>
    </row>
    <row r="466" spans="9:16">
      <c r="I466" s="80"/>
      <c r="J466" s="65"/>
      <c r="K466" s="65"/>
      <c r="L466" s="65"/>
      <c r="M466" s="65"/>
      <c r="N466" s="65"/>
      <c r="O466" s="65"/>
      <c r="P466" s="65"/>
    </row>
    <row r="467" spans="9:16">
      <c r="I467" s="80"/>
      <c r="J467" s="65"/>
      <c r="K467" s="65"/>
      <c r="L467" s="65"/>
      <c r="M467" s="65"/>
      <c r="N467" s="65"/>
      <c r="O467" s="65"/>
      <c r="P467" s="65"/>
    </row>
    <row r="468" spans="9:16">
      <c r="I468" s="80"/>
      <c r="J468" s="65"/>
      <c r="K468" s="65"/>
      <c r="L468" s="65"/>
      <c r="M468" s="65"/>
      <c r="N468" s="65"/>
      <c r="O468" s="65"/>
      <c r="P468" s="65"/>
    </row>
    <row r="469" spans="9:16">
      <c r="I469" s="80"/>
      <c r="J469" s="65"/>
      <c r="K469" s="65"/>
      <c r="L469" s="65"/>
      <c r="M469" s="65"/>
      <c r="N469" s="65"/>
      <c r="O469" s="65"/>
      <c r="P469" s="65"/>
    </row>
    <row r="470" spans="9:16">
      <c r="I470" s="80"/>
      <c r="J470" s="65"/>
      <c r="K470" s="65"/>
      <c r="L470" s="65"/>
      <c r="M470" s="65"/>
      <c r="N470" s="65"/>
      <c r="O470" s="65"/>
      <c r="P470" s="65"/>
    </row>
    <row r="471" spans="9:16">
      <c r="I471" s="80"/>
      <c r="J471" s="65"/>
      <c r="K471" s="65"/>
      <c r="L471" s="65"/>
      <c r="M471" s="65"/>
      <c r="N471" s="65"/>
      <c r="O471" s="65"/>
      <c r="P471" s="65"/>
    </row>
    <row r="472" spans="9:16">
      <c r="I472" s="80"/>
      <c r="J472" s="65"/>
      <c r="K472" s="65"/>
      <c r="L472" s="65"/>
      <c r="M472" s="65"/>
      <c r="N472" s="65"/>
      <c r="O472" s="65"/>
      <c r="P472" s="65"/>
    </row>
    <row r="473" spans="9:16">
      <c r="I473" s="80"/>
      <c r="J473" s="65"/>
      <c r="K473" s="65"/>
      <c r="L473" s="65"/>
      <c r="M473" s="65"/>
      <c r="N473" s="65"/>
      <c r="O473" s="65"/>
      <c r="P473" s="65"/>
    </row>
    <row r="474" spans="9:16">
      <c r="I474" s="80"/>
      <c r="J474" s="65"/>
      <c r="K474" s="65"/>
      <c r="L474" s="65"/>
      <c r="M474" s="65"/>
      <c r="N474" s="65"/>
      <c r="O474" s="65"/>
      <c r="P474" s="65"/>
    </row>
    <row r="475" spans="9:16">
      <c r="I475" s="80"/>
      <c r="J475" s="65"/>
      <c r="K475" s="65"/>
      <c r="L475" s="65"/>
      <c r="M475" s="65"/>
      <c r="N475" s="65"/>
      <c r="O475" s="65"/>
      <c r="P475" s="65"/>
    </row>
    <row r="476" spans="9:16">
      <c r="I476" s="80"/>
      <c r="J476" s="65"/>
      <c r="K476" s="65"/>
      <c r="L476" s="65"/>
      <c r="M476" s="65"/>
      <c r="N476" s="65"/>
      <c r="O476" s="65"/>
      <c r="P476" s="65"/>
    </row>
    <row r="477" spans="9:16">
      <c r="I477" s="80"/>
      <c r="J477" s="65"/>
      <c r="K477" s="65"/>
      <c r="L477" s="65"/>
      <c r="M477" s="65"/>
      <c r="N477" s="65"/>
      <c r="O477" s="65"/>
      <c r="P477" s="65"/>
    </row>
    <row r="478" spans="9:16">
      <c r="I478" s="80"/>
      <c r="J478" s="65"/>
      <c r="K478" s="65"/>
      <c r="L478" s="65"/>
      <c r="M478" s="65"/>
      <c r="N478" s="65"/>
      <c r="O478" s="65"/>
      <c r="P478" s="65"/>
    </row>
    <row r="479" spans="9:16">
      <c r="I479" s="80"/>
      <c r="J479" s="65"/>
      <c r="K479" s="65"/>
      <c r="L479" s="65"/>
      <c r="M479" s="65"/>
      <c r="N479" s="65"/>
      <c r="O479" s="65"/>
      <c r="P479" s="65"/>
    </row>
    <row r="480" spans="9:16">
      <c r="I480" s="80"/>
      <c r="J480" s="65"/>
      <c r="K480" s="65"/>
      <c r="L480" s="65"/>
      <c r="M480" s="65"/>
      <c r="N480" s="65"/>
      <c r="O480" s="65"/>
      <c r="P480" s="65"/>
    </row>
    <row r="481" spans="9:16">
      <c r="I481" s="80"/>
      <c r="J481" s="65"/>
      <c r="K481" s="65"/>
      <c r="L481" s="65"/>
      <c r="M481" s="65"/>
      <c r="N481" s="65"/>
      <c r="O481" s="65"/>
      <c r="P481" s="65"/>
    </row>
    <row r="482" spans="9:16">
      <c r="I482" s="80"/>
      <c r="J482" s="65"/>
      <c r="K482" s="65"/>
      <c r="L482" s="65"/>
      <c r="M482" s="65"/>
      <c r="N482" s="65"/>
      <c r="O482" s="65"/>
      <c r="P482" s="65"/>
    </row>
    <row r="483" spans="9:16">
      <c r="I483" s="80"/>
      <c r="J483" s="65"/>
      <c r="K483" s="65"/>
      <c r="L483" s="65"/>
      <c r="M483" s="65"/>
      <c r="N483" s="65"/>
      <c r="O483" s="65"/>
      <c r="P483" s="65"/>
    </row>
    <row r="484" spans="9:16">
      <c r="I484" s="80"/>
      <c r="J484" s="65"/>
      <c r="K484" s="65"/>
      <c r="L484" s="65"/>
      <c r="M484" s="65"/>
      <c r="N484" s="65"/>
      <c r="O484" s="65"/>
      <c r="P484" s="65"/>
    </row>
    <row r="485" spans="9:16">
      <c r="I485" s="80"/>
      <c r="J485" s="65"/>
      <c r="K485" s="65"/>
      <c r="L485" s="65"/>
      <c r="M485" s="65"/>
      <c r="N485" s="65"/>
      <c r="O485" s="65"/>
      <c r="P485" s="65"/>
    </row>
    <row r="486" spans="9:16">
      <c r="I486" s="80"/>
      <c r="J486" s="65"/>
      <c r="K486" s="65"/>
      <c r="L486" s="65"/>
      <c r="M486" s="65"/>
      <c r="N486" s="65"/>
      <c r="O486" s="65"/>
      <c r="P486" s="65"/>
    </row>
    <row r="487" spans="9:16">
      <c r="I487" s="80"/>
      <c r="J487" s="65"/>
      <c r="K487" s="65"/>
      <c r="L487" s="65"/>
      <c r="M487" s="65"/>
      <c r="N487" s="65"/>
      <c r="O487" s="65"/>
      <c r="P487" s="65"/>
    </row>
    <row r="488" spans="9:16">
      <c r="I488" s="80"/>
      <c r="J488" s="65"/>
      <c r="K488" s="65"/>
      <c r="L488" s="65"/>
      <c r="M488" s="65"/>
      <c r="N488" s="65"/>
      <c r="O488" s="65"/>
      <c r="P488" s="65"/>
    </row>
    <row r="489" spans="9:16">
      <c r="I489" s="80"/>
      <c r="J489" s="65"/>
      <c r="K489" s="65"/>
      <c r="L489" s="65"/>
      <c r="M489" s="65"/>
      <c r="N489" s="65"/>
      <c r="O489" s="65"/>
      <c r="P489" s="65"/>
    </row>
    <row r="490" spans="9:16">
      <c r="I490" s="80"/>
      <c r="J490" s="65"/>
      <c r="K490" s="65"/>
      <c r="L490" s="65"/>
      <c r="M490" s="65"/>
      <c r="N490" s="65"/>
      <c r="O490" s="65"/>
      <c r="P490" s="65"/>
    </row>
    <row r="491" spans="9:16">
      <c r="I491" s="80"/>
      <c r="J491" s="65"/>
      <c r="K491" s="65"/>
      <c r="L491" s="65"/>
      <c r="M491" s="65"/>
      <c r="N491" s="65"/>
      <c r="O491" s="65"/>
      <c r="P491" s="65"/>
    </row>
    <row r="492" spans="9:16">
      <c r="I492" s="80"/>
      <c r="J492" s="65"/>
      <c r="K492" s="65"/>
      <c r="L492" s="65"/>
      <c r="M492" s="65"/>
      <c r="N492" s="65"/>
      <c r="O492" s="65"/>
      <c r="P492" s="65"/>
    </row>
    <row r="493" spans="9:16">
      <c r="I493" s="80"/>
      <c r="J493" s="65"/>
      <c r="K493" s="65"/>
      <c r="L493" s="65"/>
      <c r="M493" s="65"/>
      <c r="N493" s="65"/>
      <c r="O493" s="65"/>
      <c r="P493" s="65"/>
    </row>
    <row r="494" spans="9:16">
      <c r="I494" s="80"/>
      <c r="J494" s="65"/>
      <c r="K494" s="65"/>
      <c r="L494" s="65"/>
      <c r="M494" s="65"/>
      <c r="N494" s="65"/>
      <c r="O494" s="65"/>
      <c r="P494" s="65"/>
    </row>
    <row r="495" spans="9:16">
      <c r="I495" s="80"/>
      <c r="J495" s="65"/>
      <c r="K495" s="65"/>
      <c r="L495" s="65"/>
      <c r="M495" s="65"/>
      <c r="N495" s="65"/>
      <c r="O495" s="65"/>
      <c r="P495" s="65"/>
    </row>
    <row r="496" spans="9:16">
      <c r="I496" s="80"/>
      <c r="J496" s="65"/>
      <c r="K496" s="65"/>
      <c r="L496" s="65"/>
      <c r="M496" s="65"/>
      <c r="N496" s="65"/>
      <c r="O496" s="65"/>
      <c r="P496" s="65"/>
    </row>
    <row r="497" spans="9:16">
      <c r="I497" s="80"/>
      <c r="J497" s="65"/>
      <c r="K497" s="65"/>
      <c r="L497" s="65"/>
      <c r="M497" s="65"/>
      <c r="N497" s="65"/>
      <c r="O497" s="65"/>
      <c r="P497" s="65"/>
    </row>
    <row r="498" spans="9:16">
      <c r="I498" s="80"/>
      <c r="J498" s="65"/>
      <c r="K498" s="65"/>
      <c r="L498" s="65"/>
      <c r="M498" s="65"/>
      <c r="N498" s="65"/>
      <c r="O498" s="65"/>
      <c r="P498" s="65"/>
    </row>
    <row r="499" spans="9:16">
      <c r="I499" s="80"/>
      <c r="J499" s="65"/>
      <c r="K499" s="65"/>
      <c r="L499" s="65"/>
      <c r="M499" s="65"/>
      <c r="N499" s="65"/>
      <c r="O499" s="65"/>
      <c r="P499" s="65"/>
    </row>
    <row r="500" spans="9:16">
      <c r="I500" s="80"/>
      <c r="J500" s="65"/>
      <c r="K500" s="65"/>
      <c r="L500" s="65"/>
      <c r="M500" s="65"/>
      <c r="N500" s="65"/>
      <c r="O500" s="65"/>
      <c r="P500" s="65"/>
    </row>
    <row r="501" spans="9:16">
      <c r="I501" s="80"/>
      <c r="J501" s="65"/>
      <c r="K501" s="65"/>
      <c r="L501" s="65"/>
      <c r="M501" s="65"/>
      <c r="N501" s="65"/>
      <c r="O501" s="65"/>
      <c r="P501" s="65"/>
    </row>
    <row r="502" spans="9:16">
      <c r="I502" s="80"/>
      <c r="J502" s="65"/>
      <c r="K502" s="65"/>
      <c r="L502" s="65"/>
      <c r="M502" s="65"/>
      <c r="N502" s="65"/>
      <c r="O502" s="65"/>
      <c r="P502" s="65"/>
    </row>
    <row r="503" spans="9:16">
      <c r="I503" s="80"/>
      <c r="J503" s="65"/>
      <c r="K503" s="65"/>
      <c r="L503" s="65"/>
      <c r="M503" s="65"/>
      <c r="N503" s="65"/>
      <c r="O503" s="65"/>
      <c r="P503" s="65"/>
    </row>
    <row r="504" spans="9:16">
      <c r="I504" s="80"/>
      <c r="J504" s="65"/>
      <c r="K504" s="65"/>
      <c r="L504" s="65"/>
      <c r="M504" s="65"/>
      <c r="N504" s="65"/>
      <c r="O504" s="65"/>
      <c r="P504" s="65"/>
    </row>
    <row r="505" spans="9:16">
      <c r="I505" s="80"/>
      <c r="J505" s="65"/>
      <c r="K505" s="65"/>
      <c r="L505" s="65"/>
      <c r="M505" s="65"/>
      <c r="N505" s="65"/>
      <c r="O505" s="65"/>
      <c r="P505" s="65"/>
    </row>
    <row r="506" spans="9:16">
      <c r="I506" s="80"/>
      <c r="J506" s="65"/>
      <c r="K506" s="65"/>
      <c r="L506" s="65"/>
      <c r="M506" s="65"/>
      <c r="N506" s="65"/>
      <c r="O506" s="65"/>
      <c r="P506" s="65"/>
    </row>
    <row r="507" spans="9:16">
      <c r="I507" s="80"/>
      <c r="J507" s="65"/>
      <c r="K507" s="65"/>
      <c r="L507" s="65"/>
      <c r="M507" s="65"/>
      <c r="N507" s="65"/>
      <c r="O507" s="65"/>
      <c r="P507" s="65"/>
    </row>
    <row r="508" spans="9:16">
      <c r="I508" s="80"/>
      <c r="J508" s="65"/>
      <c r="K508" s="65"/>
      <c r="L508" s="65"/>
      <c r="M508" s="65"/>
      <c r="N508" s="65"/>
      <c r="O508" s="65"/>
      <c r="P508" s="65"/>
    </row>
    <row r="509" spans="9:16">
      <c r="I509" s="80"/>
      <c r="J509" s="65"/>
      <c r="K509" s="65"/>
      <c r="L509" s="65"/>
      <c r="M509" s="65"/>
      <c r="N509" s="65"/>
      <c r="O509" s="65"/>
      <c r="P509" s="65"/>
    </row>
    <row r="510" spans="9:16">
      <c r="I510" s="80"/>
      <c r="J510" s="65"/>
      <c r="K510" s="65"/>
      <c r="L510" s="65"/>
      <c r="M510" s="65"/>
      <c r="N510" s="65"/>
      <c r="O510" s="65"/>
      <c r="P510" s="65"/>
    </row>
    <row r="511" spans="9:16">
      <c r="I511" s="80"/>
      <c r="J511" s="65"/>
      <c r="K511" s="65"/>
      <c r="L511" s="65"/>
      <c r="M511" s="65"/>
      <c r="N511" s="65"/>
      <c r="O511" s="65"/>
      <c r="P511" s="65"/>
    </row>
    <row r="512" spans="9:16">
      <c r="I512" s="80"/>
      <c r="J512" s="65"/>
      <c r="K512" s="65"/>
      <c r="L512" s="65"/>
      <c r="M512" s="65"/>
      <c r="N512" s="65"/>
      <c r="O512" s="65"/>
      <c r="P512" s="65"/>
    </row>
    <row r="513" spans="9:16">
      <c r="I513" s="80"/>
      <c r="J513" s="65"/>
      <c r="K513" s="65"/>
      <c r="L513" s="65"/>
      <c r="M513" s="65"/>
      <c r="N513" s="65"/>
      <c r="O513" s="65"/>
      <c r="P513" s="65"/>
    </row>
    <row r="514" spans="9:16">
      <c r="I514" s="80"/>
      <c r="J514" s="65"/>
      <c r="K514" s="65"/>
      <c r="L514" s="65"/>
      <c r="M514" s="65"/>
      <c r="N514" s="65"/>
      <c r="O514" s="65"/>
      <c r="P514" s="65"/>
    </row>
    <row r="515" spans="9:16">
      <c r="I515" s="80"/>
      <c r="J515" s="65"/>
      <c r="K515" s="65"/>
      <c r="L515" s="65"/>
      <c r="M515" s="65"/>
      <c r="N515" s="65"/>
      <c r="O515" s="65"/>
      <c r="P515" s="65"/>
    </row>
    <row r="516" spans="9:16">
      <c r="I516" s="80"/>
      <c r="J516" s="65"/>
      <c r="K516" s="65"/>
      <c r="L516" s="65"/>
      <c r="M516" s="65"/>
      <c r="N516" s="65"/>
      <c r="O516" s="65"/>
      <c r="P516" s="65"/>
    </row>
    <row r="517" spans="9:16">
      <c r="I517" s="80"/>
      <c r="J517" s="65"/>
      <c r="K517" s="65"/>
      <c r="L517" s="65"/>
      <c r="M517" s="65"/>
      <c r="N517" s="65"/>
      <c r="O517" s="65"/>
      <c r="P517" s="65"/>
    </row>
    <row r="518" spans="9:16">
      <c r="I518" s="80"/>
      <c r="J518" s="65"/>
      <c r="K518" s="65"/>
      <c r="L518" s="65"/>
      <c r="M518" s="65"/>
      <c r="N518" s="65"/>
      <c r="O518" s="65"/>
      <c r="P518" s="65"/>
    </row>
    <row r="519" spans="9:16">
      <c r="I519" s="80"/>
      <c r="J519" s="65"/>
      <c r="K519" s="65"/>
      <c r="L519" s="65"/>
      <c r="M519" s="65"/>
      <c r="N519" s="65"/>
      <c r="O519" s="65"/>
      <c r="P519" s="65"/>
    </row>
    <row r="520" spans="9:16">
      <c r="I520" s="80"/>
      <c r="J520" s="65"/>
      <c r="K520" s="65"/>
      <c r="L520" s="65"/>
      <c r="M520" s="65"/>
      <c r="N520" s="65"/>
      <c r="O520" s="65"/>
      <c r="P520" s="65"/>
    </row>
    <row r="521" spans="9:16">
      <c r="I521" s="80"/>
      <c r="J521" s="65"/>
      <c r="K521" s="65"/>
      <c r="L521" s="65"/>
      <c r="M521" s="65"/>
      <c r="N521" s="65"/>
      <c r="O521" s="65"/>
      <c r="P521" s="65"/>
    </row>
    <row r="522" spans="9:16">
      <c r="I522" s="80"/>
      <c r="J522" s="65"/>
      <c r="K522" s="65"/>
      <c r="L522" s="65"/>
      <c r="M522" s="65"/>
      <c r="N522" s="65"/>
      <c r="O522" s="65"/>
      <c r="P522" s="65"/>
    </row>
    <row r="523" spans="9:16">
      <c r="I523" s="80"/>
      <c r="J523" s="65"/>
      <c r="K523" s="65"/>
      <c r="L523" s="65"/>
      <c r="M523" s="65"/>
      <c r="N523" s="65"/>
      <c r="O523" s="65"/>
      <c r="P523" s="65"/>
    </row>
    <row r="524" spans="9:16">
      <c r="I524" s="80"/>
      <c r="J524" s="65"/>
      <c r="K524" s="65"/>
      <c r="L524" s="65"/>
      <c r="M524" s="65"/>
      <c r="N524" s="65"/>
      <c r="O524" s="65"/>
      <c r="P524" s="65"/>
    </row>
    <row r="525" spans="9:16">
      <c r="I525" s="80"/>
      <c r="J525" s="65"/>
      <c r="K525" s="65"/>
      <c r="L525" s="65"/>
      <c r="M525" s="65"/>
      <c r="N525" s="65"/>
      <c r="O525" s="65"/>
      <c r="P525" s="65"/>
    </row>
    <row r="526" spans="9:16">
      <c r="I526" s="80"/>
      <c r="J526" s="65"/>
      <c r="K526" s="65"/>
      <c r="L526" s="65"/>
      <c r="M526" s="65"/>
      <c r="N526" s="65"/>
      <c r="O526" s="65"/>
      <c r="P526" s="65"/>
    </row>
    <row r="527" spans="9:16">
      <c r="I527" s="80"/>
      <c r="J527" s="65"/>
      <c r="K527" s="65"/>
      <c r="L527" s="65"/>
      <c r="M527" s="65"/>
      <c r="N527" s="65"/>
      <c r="O527" s="65"/>
      <c r="P527" s="65"/>
    </row>
    <row r="528" spans="9:16">
      <c r="I528" s="80"/>
      <c r="J528" s="65"/>
      <c r="K528" s="65"/>
      <c r="L528" s="65"/>
      <c r="M528" s="65"/>
      <c r="N528" s="65"/>
      <c r="O528" s="65"/>
      <c r="P528" s="65"/>
    </row>
    <row r="529" spans="9:16">
      <c r="I529" s="80"/>
      <c r="J529" s="65"/>
      <c r="K529" s="65"/>
      <c r="L529" s="65"/>
      <c r="M529" s="65"/>
      <c r="N529" s="65"/>
      <c r="O529" s="65"/>
      <c r="P529" s="65"/>
    </row>
    <row r="530" spans="9:16">
      <c r="I530" s="80"/>
      <c r="J530" s="65"/>
      <c r="K530" s="65"/>
      <c r="L530" s="65"/>
      <c r="M530" s="65"/>
      <c r="N530" s="65"/>
      <c r="O530" s="65"/>
      <c r="P530" s="65"/>
    </row>
    <row r="531" spans="9:16">
      <c r="I531" s="80"/>
      <c r="J531" s="65"/>
      <c r="K531" s="65"/>
      <c r="L531" s="65"/>
      <c r="M531" s="65"/>
      <c r="N531" s="65"/>
      <c r="O531" s="65"/>
      <c r="P531" s="65"/>
    </row>
    <row r="532" spans="9:16">
      <c r="I532" s="80"/>
      <c r="J532" s="65"/>
      <c r="K532" s="65"/>
      <c r="L532" s="65"/>
      <c r="M532" s="65"/>
      <c r="N532" s="65"/>
      <c r="O532" s="65"/>
      <c r="P532" s="65"/>
    </row>
  </sheetData>
  <mergeCells count="42">
    <mergeCell ref="D438:G438"/>
    <mergeCell ref="A62:H62"/>
    <mergeCell ref="I62:P62"/>
    <mergeCell ref="D316:G316"/>
    <mergeCell ref="A338:H338"/>
    <mergeCell ref="D347:G347"/>
    <mergeCell ref="A369:H369"/>
    <mergeCell ref="D378:G378"/>
    <mergeCell ref="D408:G408"/>
    <mergeCell ref="D223:G223"/>
    <mergeCell ref="A245:H245"/>
    <mergeCell ref="D254:G254"/>
    <mergeCell ref="A276:H276"/>
    <mergeCell ref="D285:G285"/>
    <mergeCell ref="A307:H307"/>
    <mergeCell ref="D192:G192"/>
    <mergeCell ref="L192:O192"/>
    <mergeCell ref="A214:H214"/>
    <mergeCell ref="I214:P214"/>
    <mergeCell ref="D131:G131"/>
    <mergeCell ref="L131:O131"/>
    <mergeCell ref="A153:H153"/>
    <mergeCell ref="I153:P153"/>
    <mergeCell ref="D162:G162"/>
    <mergeCell ref="L162:O162"/>
    <mergeCell ref="D100:G100"/>
    <mergeCell ref="L100:O100"/>
    <mergeCell ref="A122:H122"/>
    <mergeCell ref="I122:P122"/>
    <mergeCell ref="D39:G39"/>
    <mergeCell ref="L39:O39"/>
    <mergeCell ref="A61:H61"/>
    <mergeCell ref="I61:P61"/>
    <mergeCell ref="D70:G70"/>
    <mergeCell ref="L70:O70"/>
    <mergeCell ref="A30:H30"/>
    <mergeCell ref="I30:P30"/>
    <mergeCell ref="A28:H28"/>
    <mergeCell ref="I28:P28"/>
    <mergeCell ref="Q2:X2"/>
    <mergeCell ref="D7:G7"/>
    <mergeCell ref="L7:O7"/>
  </mergeCells>
  <conditionalFormatting sqref="Q1:R7 Q9:R1048576">
    <cfRule type="cellIs" dxfId="879" priority="1" stopIfTrue="1" operator="notEqual">
      <formula>100</formula>
    </cfRule>
  </conditionalFormatting>
  <pageMargins left="0.7" right="0.7" top="0.75" bottom="0.75" header="0.3" footer="0.3"/>
  <pageSetup scale="97" firstPageNumber="100" orientation="landscape" useFirstPageNumber="1" r:id="rId1"/>
  <headerFooter>
    <oddHeader>&amp;R&amp;"Arial,Regular"&amp;8SREB-State Data Exchange</oddHeader>
    <oddFooter>&amp;C&amp;"Arial,Regular"&amp;10&amp;P</oddFooter>
  </headerFooter>
  <rowBreaks count="14" manualBreakCount="14">
    <brk id="32" max="15" man="1"/>
    <brk id="63" max="15" man="1"/>
    <brk id="93" max="15" man="1"/>
    <brk id="124" max="15" man="1"/>
    <brk id="155" max="15" man="1"/>
    <brk id="185" max="15" man="1"/>
    <brk id="216" max="15" man="1"/>
    <brk id="247" max="15" man="1"/>
    <brk id="278" max="15" man="1"/>
    <brk id="309" max="15" man="1"/>
    <brk id="340" max="15" man="1"/>
    <brk id="371" max="15" man="1"/>
    <brk id="401" max="15" man="1"/>
    <brk id="431" max="15" man="1"/>
  </rowBreaks>
  <colBreaks count="1" manualBreakCount="1">
    <brk id="8" max="46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O532"/>
  <sheetViews>
    <sheetView showZeros="0" view="pageBreakPreview" zoomScaleNormal="100" zoomScaleSheetLayoutView="100" workbookViewId="0"/>
  </sheetViews>
  <sheetFormatPr defaultRowHeight="12.75"/>
  <cols>
    <col min="1" max="1" width="13.42578125" style="28" customWidth="1"/>
    <col min="2" max="3" width="9.42578125" style="28" bestFit="1" customWidth="1"/>
    <col min="4" max="4" width="9.85546875" style="28" bestFit="1" customWidth="1"/>
    <col min="5" max="5" width="5.7109375" style="28" bestFit="1" customWidth="1"/>
    <col min="6" max="6" width="11.42578125" style="28" customWidth="1"/>
    <col min="7" max="7" width="7.85546875" style="28" bestFit="1" customWidth="1"/>
    <col min="8" max="8" width="12.28515625" style="65" bestFit="1" customWidth="1"/>
    <col min="9" max="9" width="13" style="88" customWidth="1"/>
    <col min="10" max="11" width="9" style="28" customWidth="1"/>
    <col min="12" max="12" width="10" style="28" bestFit="1" customWidth="1"/>
    <col min="13" max="13" width="6.42578125" style="28" bestFit="1" customWidth="1"/>
    <col min="14" max="14" width="11.28515625" style="28" customWidth="1"/>
    <col min="15" max="15" width="7.85546875" style="28" bestFit="1" customWidth="1"/>
    <col min="16" max="16" width="12.28515625" style="28" bestFit="1" customWidth="1"/>
    <col min="17" max="17" width="11.5703125" style="92" bestFit="1" customWidth="1"/>
    <col min="18" max="18" width="11.5703125" style="94" bestFit="1" customWidth="1"/>
    <col min="19" max="16384" width="9.140625" style="28"/>
  </cols>
  <sheetData>
    <row r="1" spans="1:41" ht="18">
      <c r="A1" s="16" t="s">
        <v>200</v>
      </c>
      <c r="B1" s="34"/>
      <c r="C1" s="34"/>
      <c r="D1" s="34"/>
      <c r="E1" s="34"/>
      <c r="F1" s="34"/>
      <c r="G1" s="34"/>
      <c r="H1" s="35"/>
      <c r="I1" s="16" t="s">
        <v>215</v>
      </c>
      <c r="J1" s="19"/>
      <c r="K1" s="19"/>
      <c r="L1" s="34"/>
      <c r="M1" s="19"/>
      <c r="N1" s="19"/>
      <c r="O1" s="19"/>
      <c r="P1" s="19"/>
      <c r="Q1" s="89"/>
      <c r="R1" s="90"/>
    </row>
    <row r="2" spans="1:41" ht="15">
      <c r="A2" s="18"/>
      <c r="B2" s="19"/>
      <c r="C2" s="19"/>
      <c r="D2" s="19"/>
      <c r="E2" s="19"/>
      <c r="F2" s="19"/>
      <c r="G2" s="19"/>
      <c r="H2" s="36"/>
      <c r="I2" s="18"/>
      <c r="J2" s="19"/>
      <c r="K2" s="19"/>
      <c r="L2" s="19"/>
      <c r="M2" s="19"/>
      <c r="N2" s="19"/>
      <c r="O2" s="19"/>
      <c r="P2" s="19"/>
      <c r="Q2" s="686"/>
      <c r="R2" s="685"/>
      <c r="S2" s="685"/>
      <c r="T2" s="685"/>
      <c r="U2" s="685"/>
      <c r="V2" s="685"/>
      <c r="W2" s="685"/>
      <c r="X2" s="685"/>
    </row>
    <row r="3" spans="1:41" ht="15.75">
      <c r="A3" s="37" t="s">
        <v>162</v>
      </c>
      <c r="B3" s="19"/>
      <c r="C3" s="19"/>
      <c r="D3" s="19"/>
      <c r="E3" s="19"/>
      <c r="F3" s="19"/>
      <c r="G3" s="19"/>
      <c r="H3" s="36"/>
      <c r="I3" s="37" t="s">
        <v>163</v>
      </c>
      <c r="J3" s="19"/>
      <c r="K3" s="19"/>
      <c r="L3" s="19"/>
      <c r="M3" s="19"/>
      <c r="N3" s="19"/>
      <c r="O3" s="19"/>
      <c r="P3" s="19"/>
      <c r="R3" s="93" t="s">
        <v>39</v>
      </c>
    </row>
    <row r="4" spans="1:41" ht="15.75">
      <c r="A4" s="37" t="s">
        <v>915</v>
      </c>
      <c r="B4" s="19"/>
      <c r="C4" s="19"/>
      <c r="D4" s="19"/>
      <c r="E4" s="19"/>
      <c r="F4" s="19"/>
      <c r="G4" s="19"/>
      <c r="H4" s="36"/>
      <c r="I4" s="37" t="s">
        <v>915</v>
      </c>
      <c r="J4" s="19"/>
      <c r="K4" s="19"/>
      <c r="L4" s="19"/>
      <c r="M4" s="19"/>
      <c r="N4" s="19"/>
      <c r="O4" s="19"/>
      <c r="P4" s="19"/>
      <c r="R4" s="93" t="s">
        <v>39</v>
      </c>
    </row>
    <row r="5" spans="1:41">
      <c r="A5" s="39"/>
      <c r="B5" s="40"/>
      <c r="C5" s="40"/>
      <c r="D5" s="40"/>
      <c r="E5" s="40"/>
      <c r="F5" s="40"/>
      <c r="G5" s="40"/>
      <c r="H5" s="40"/>
      <c r="I5" s="41"/>
      <c r="L5" s="42"/>
      <c r="P5" s="39"/>
    </row>
    <row r="6" spans="1:41" s="48" customFormat="1" ht="12">
      <c r="A6" s="43"/>
      <c r="B6" s="44" t="s">
        <v>164</v>
      </c>
      <c r="C6" s="44"/>
      <c r="D6" s="44"/>
      <c r="E6" s="44"/>
      <c r="F6" s="44"/>
      <c r="G6" s="44"/>
      <c r="H6" s="45"/>
      <c r="I6" s="43"/>
      <c r="J6" s="44" t="s">
        <v>164</v>
      </c>
      <c r="K6" s="44"/>
      <c r="L6" s="44"/>
      <c r="M6" s="44"/>
      <c r="N6" s="44"/>
      <c r="O6" s="44"/>
      <c r="P6" s="45"/>
      <c r="Q6" s="95"/>
      <c r="R6" s="96"/>
    </row>
    <row r="7" spans="1:41" s="48" customFormat="1" ht="12">
      <c r="A7" s="43"/>
      <c r="B7" s="44" t="s">
        <v>165</v>
      </c>
      <c r="C7" s="44"/>
      <c r="D7" s="670" t="s">
        <v>166</v>
      </c>
      <c r="E7" s="668"/>
      <c r="F7" s="668"/>
      <c r="G7" s="668"/>
      <c r="H7" s="49" t="s">
        <v>39</v>
      </c>
      <c r="I7" s="43"/>
      <c r="J7" s="44" t="s">
        <v>165</v>
      </c>
      <c r="K7" s="44"/>
      <c r="L7" s="670" t="s">
        <v>166</v>
      </c>
      <c r="M7" s="668"/>
      <c r="N7" s="668"/>
      <c r="O7" s="668"/>
      <c r="P7" s="49" t="s">
        <v>39</v>
      </c>
      <c r="Q7" s="95"/>
      <c r="R7" s="96"/>
    </row>
    <row r="8" spans="1:41" s="48" customFormat="1" ht="40.5" customHeight="1">
      <c r="A8" s="43"/>
      <c r="B8" s="50" t="s">
        <v>167</v>
      </c>
      <c r="C8" s="51" t="s">
        <v>168</v>
      </c>
      <c r="D8" s="52" t="s">
        <v>169</v>
      </c>
      <c r="E8" s="53" t="s">
        <v>7</v>
      </c>
      <c r="F8" s="50" t="s">
        <v>170</v>
      </c>
      <c r="G8" s="54" t="s">
        <v>246</v>
      </c>
      <c r="H8" s="55" t="s">
        <v>172</v>
      </c>
      <c r="I8" s="43"/>
      <c r="J8" s="50" t="s">
        <v>167</v>
      </c>
      <c r="K8" s="51" t="s">
        <v>168</v>
      </c>
      <c r="L8" s="52" t="s">
        <v>169</v>
      </c>
      <c r="M8" s="53" t="s">
        <v>7</v>
      </c>
      <c r="N8" s="50" t="s">
        <v>170</v>
      </c>
      <c r="O8" s="54" t="s">
        <v>246</v>
      </c>
      <c r="P8" s="55" t="s">
        <v>172</v>
      </c>
      <c r="Q8" s="56" t="s">
        <v>173</v>
      </c>
      <c r="R8" s="56" t="s">
        <v>173</v>
      </c>
      <c r="S8" s="57"/>
    </row>
    <row r="9" spans="1:41" ht="15.75" customHeight="1">
      <c r="A9" s="58" t="s">
        <v>141</v>
      </c>
      <c r="B9" s="221">
        <f>('Pivot Table for Data Exchange'!$J$6)*100</f>
        <v>88.449718906893551</v>
      </c>
      <c r="C9" s="221">
        <f>('Pivot Table for Data Exchange'!$J$9)*100</f>
        <v>0.34362504885307998</v>
      </c>
      <c r="D9" s="227">
        <f>SUM(E9:G9)</f>
        <v>11.206656044253373</v>
      </c>
      <c r="E9" s="221">
        <f>('Pivot Table for Data Exchange'!$J$12)*100</f>
        <v>11.118269548747858</v>
      </c>
      <c r="F9" s="221">
        <f>('Pivot Table for Data Exchange'!$J$15)*100</f>
        <v>8.3426028921023368E-2</v>
      </c>
      <c r="G9" s="381">
        <f>('Pivot Table for Data Exchange'!$J$18)*100</f>
        <v>4.9604665844932803E-3</v>
      </c>
      <c r="H9" s="221">
        <f>('Pivot Table for Data Exchange'!$J$21)*100</f>
        <v>0</v>
      </c>
      <c r="I9" s="229" t="s">
        <v>141</v>
      </c>
      <c r="J9" s="221">
        <f>('Pivot Table for Data Exchange'!$J$24)*100</f>
        <v>70.075377086792372</v>
      </c>
      <c r="K9" s="221">
        <f>('Pivot Table for Data Exchange'!$J$27)*100</f>
        <v>1.9058862244375485</v>
      </c>
      <c r="L9" s="227">
        <f>SUM(M9:O9)</f>
        <v>28.018736688770066</v>
      </c>
      <c r="M9" s="221">
        <f>('Pivot Table for Data Exchange'!$J$30)*100</f>
        <v>27.783780176436</v>
      </c>
      <c r="N9" s="221">
        <f>('Pivot Table for Data Exchange'!$J$33)*100</f>
        <v>0.12035480504477636</v>
      </c>
      <c r="O9" s="60">
        <f>('Pivot Table for Data Exchange'!$J$36)*100</f>
        <v>0.11460170728928992</v>
      </c>
      <c r="P9" s="221">
        <f>('Pivot Table for Data Exchange'!$J$39)*100</f>
        <v>0</v>
      </c>
      <c r="Q9" s="97">
        <f>SUM(B9,C9,D9,H9)</f>
        <v>100.00000000000001</v>
      </c>
      <c r="R9" s="97">
        <f>SUM(J9,K9,L9,P9)</f>
        <v>99.999999999999986</v>
      </c>
      <c r="S9" s="63"/>
      <c r="T9" s="48"/>
      <c r="U9" s="48"/>
      <c r="V9" s="48"/>
      <c r="W9" s="48"/>
      <c r="X9" s="48"/>
      <c r="Y9" s="48"/>
      <c r="Z9" s="48"/>
      <c r="AA9" s="48"/>
      <c r="AB9" s="48"/>
      <c r="AC9" s="48"/>
      <c r="AD9" s="48"/>
      <c r="AE9" s="48"/>
      <c r="AF9" s="48"/>
      <c r="AG9" s="63"/>
      <c r="AH9" s="63"/>
      <c r="AI9" s="63"/>
      <c r="AJ9" s="63"/>
      <c r="AK9" s="63"/>
      <c r="AL9" s="63"/>
      <c r="AM9" s="63"/>
      <c r="AN9" s="63"/>
      <c r="AO9" s="63"/>
    </row>
    <row r="10" spans="1:41" ht="15.75" customHeight="1">
      <c r="A10" s="65" t="s">
        <v>142</v>
      </c>
      <c r="B10" s="221">
        <f>('Pivot Table for Data Exchange'!$J$42)*100</f>
        <v>81.499671602692104</v>
      </c>
      <c r="C10" s="221">
        <f>('Pivot Table for Data Exchange'!$J$45)*100</f>
        <v>3.319266352864795</v>
      </c>
      <c r="D10" s="227">
        <f t="shared" ref="D10:D26" si="0">SUM(E10:G10)</f>
        <v>14.880503014083336</v>
      </c>
      <c r="E10" s="221">
        <f>('Pivot Table for Data Exchange'!$J$48)*100</f>
        <v>14.473686693869539</v>
      </c>
      <c r="F10" s="221">
        <f>('Pivot Table for Data Exchange'!$J$51)*100</f>
        <v>0.36477580278043054</v>
      </c>
      <c r="G10" s="68">
        <f>('Pivot Table for Data Exchange'!$J$54)*100</f>
        <v>4.2040517433367432E-2</v>
      </c>
      <c r="H10" s="221">
        <f>('Pivot Table for Data Exchange'!$J$57)*100</f>
        <v>0.30055903035976489</v>
      </c>
      <c r="I10" s="87" t="s">
        <v>142</v>
      </c>
      <c r="J10" s="221">
        <f>('Pivot Table for Data Exchange'!$J$60)*100</f>
        <v>61.016891060294945</v>
      </c>
      <c r="K10" s="221">
        <f>('Pivot Table for Data Exchange'!$J$63)*100</f>
        <v>5.7188437678188073</v>
      </c>
      <c r="L10" s="227">
        <f t="shared" ref="L10:L26" si="1">SUM(M10:O10)</f>
        <v>33.264265171886244</v>
      </c>
      <c r="M10" s="221">
        <f>('Pivot Table for Data Exchange'!$J$66)*100</f>
        <v>32.38123132433266</v>
      </c>
      <c r="N10" s="221">
        <f>('Pivot Table for Data Exchange'!$J$69)*100</f>
        <v>0.56926705697967528</v>
      </c>
      <c r="O10" s="223">
        <f>('Pivot Table for Data Exchange'!$J$72)*100</f>
        <v>0.31376679057390966</v>
      </c>
      <c r="P10" s="61">
        <f>('Pivot Table for Data Exchange'!$J$75)*100</f>
        <v>0</v>
      </c>
      <c r="Q10" s="97">
        <f>SUM(B10,C10,D10,H10)</f>
        <v>100</v>
      </c>
      <c r="R10" s="97">
        <f t="shared" ref="R10:R74" si="2">SUM(J10,K10,L10,P10)</f>
        <v>100</v>
      </c>
      <c r="S10" s="63"/>
      <c r="T10" s="48"/>
      <c r="U10" s="48"/>
      <c r="V10" s="48"/>
      <c r="W10" s="48"/>
      <c r="X10" s="48"/>
      <c r="Y10" s="48"/>
      <c r="Z10" s="48"/>
      <c r="AA10" s="48"/>
      <c r="AB10" s="48"/>
      <c r="AC10" s="48"/>
      <c r="AD10" s="48"/>
      <c r="AE10" s="48"/>
      <c r="AF10" s="48"/>
      <c r="AG10" s="63"/>
      <c r="AH10" s="63"/>
      <c r="AI10" s="63"/>
      <c r="AJ10" s="63"/>
      <c r="AK10" s="63"/>
      <c r="AL10" s="63"/>
      <c r="AM10" s="63"/>
      <c r="AN10" s="63"/>
      <c r="AO10" s="63"/>
    </row>
    <row r="11" spans="1:41" ht="15.75" customHeight="1">
      <c r="A11" s="65" t="s">
        <v>143</v>
      </c>
      <c r="B11" s="221">
        <f>('Pivot Table for Data Exchange'!$J$78)*100</f>
        <v>97.566073746087483</v>
      </c>
      <c r="C11" s="221">
        <f>('Pivot Table for Data Exchange'!$J$81)*100</f>
        <v>0</v>
      </c>
      <c r="D11" s="227">
        <f t="shared" si="0"/>
        <v>2.4339262539125124</v>
      </c>
      <c r="E11" s="221">
        <f>('Pivot Table for Data Exchange'!$J$84)*100</f>
        <v>2.4339262539125124</v>
      </c>
      <c r="F11" s="221">
        <f>('Pivot Table for Data Exchange'!$J$87)*100</f>
        <v>0</v>
      </c>
      <c r="G11" s="223">
        <f>('Pivot Table for Data Exchange'!$J$90)*100</f>
        <v>0</v>
      </c>
      <c r="H11" s="221">
        <f>('Pivot Table for Data Exchange'!$J$93)*100</f>
        <v>0</v>
      </c>
      <c r="I11" s="87" t="s">
        <v>143</v>
      </c>
      <c r="J11" s="221">
        <f>('Pivot Table for Data Exchange'!$J$96)*100</f>
        <v>95.660451213436772</v>
      </c>
      <c r="K11" s="221">
        <f>('Pivot Table for Data Exchange'!$J$99)*100</f>
        <v>0</v>
      </c>
      <c r="L11" s="227">
        <f t="shared" si="1"/>
        <v>4.3395487865632338</v>
      </c>
      <c r="M11" s="221">
        <f>('Pivot Table for Data Exchange'!$J$102)*100</f>
        <v>4.3395487865632338</v>
      </c>
      <c r="N11" s="221">
        <f>('Pivot Table for Data Exchange'!$J$105)*100</f>
        <v>0</v>
      </c>
      <c r="O11" s="223">
        <f>('Pivot Table for Data Exchange'!$J$108)*100</f>
        <v>0</v>
      </c>
      <c r="P11" s="221">
        <f>('Pivot Table for Data Exchange'!$J$111)*100</f>
        <v>0</v>
      </c>
      <c r="Q11" s="97">
        <f t="shared" ref="Q11:Q74" si="3">SUM(B11,C11,D11,H11)</f>
        <v>100</v>
      </c>
      <c r="R11" s="97">
        <f t="shared" si="2"/>
        <v>100</v>
      </c>
      <c r="S11" s="63"/>
      <c r="T11" s="48"/>
      <c r="U11" s="48"/>
      <c r="V11" s="48"/>
      <c r="W11" s="48"/>
      <c r="X11" s="48"/>
      <c r="Y11" s="48"/>
      <c r="Z11" s="48"/>
      <c r="AA11" s="48"/>
      <c r="AB11" s="48"/>
      <c r="AC11" s="48"/>
      <c r="AD11" s="48"/>
      <c r="AE11" s="48"/>
      <c r="AF11" s="48"/>
      <c r="AG11" s="63"/>
      <c r="AH11" s="63"/>
      <c r="AI11" s="63"/>
      <c r="AJ11" s="63"/>
      <c r="AK11" s="63"/>
      <c r="AL11" s="63"/>
      <c r="AM11" s="63"/>
      <c r="AN11" s="63"/>
      <c r="AO11" s="63"/>
    </row>
    <row r="12" spans="1:41" ht="15.75" customHeight="1">
      <c r="A12" s="65" t="s">
        <v>247</v>
      </c>
      <c r="B12" s="221">
        <f>('Pivot Table for Data Exchange'!$J$114)*100</f>
        <v>80.221541412704482</v>
      </c>
      <c r="C12" s="221">
        <f>('Pivot Table for Data Exchange'!$J$117)*100</f>
        <v>8.3206997080024827</v>
      </c>
      <c r="D12" s="227">
        <f t="shared" si="0"/>
        <v>11.357222553680076</v>
      </c>
      <c r="E12" s="221">
        <f>('Pivot Table for Data Exchange'!$J$120)*100</f>
        <v>10.877425351584296</v>
      </c>
      <c r="F12" s="221">
        <f>('Pivot Table for Data Exchange'!$J$123)*100</f>
        <v>0.47937830073905829</v>
      </c>
      <c r="G12" s="235">
        <f>('Pivot Table for Data Exchange'!$J$126)*100</f>
        <v>4.1890135672064776E-4</v>
      </c>
      <c r="H12" s="221">
        <f>('Pivot Table for Data Exchange'!$J$129)*100</f>
        <v>0.10053632561295546</v>
      </c>
      <c r="I12" s="87" t="s">
        <v>247</v>
      </c>
      <c r="J12" s="221">
        <f>('Pivot Table for Data Exchange'!$J$132)*100</f>
        <v>75.876008030517383</v>
      </c>
      <c r="K12" s="221">
        <f>('Pivot Table for Data Exchange'!$J$135)*100</f>
        <v>8.6931593269560175</v>
      </c>
      <c r="L12" s="227">
        <f t="shared" si="1"/>
        <v>15.201046949415195</v>
      </c>
      <c r="M12" s="221">
        <f>('Pivot Table for Data Exchange'!$J$138)*100</f>
        <v>14.657158680822436</v>
      </c>
      <c r="N12" s="221">
        <f>('Pivot Table for Data Exchange'!$J$141)*100</f>
        <v>0.52933251205731413</v>
      </c>
      <c r="O12" s="68">
        <f>('Pivot Table for Data Exchange'!$J$144)*100</f>
        <v>1.455575653544593E-2</v>
      </c>
      <c r="P12" s="221">
        <f>('Pivot Table for Data Exchange'!$J$147)*100</f>
        <v>0.22978569311139946</v>
      </c>
      <c r="Q12" s="97">
        <f t="shared" si="3"/>
        <v>99.999999999999986</v>
      </c>
      <c r="R12" s="97">
        <f t="shared" si="2"/>
        <v>100</v>
      </c>
      <c r="S12" s="63"/>
      <c r="T12" s="48"/>
      <c r="U12" s="48"/>
      <c r="V12" s="48"/>
      <c r="W12" s="48"/>
      <c r="X12" s="48"/>
      <c r="Y12" s="48"/>
      <c r="Z12" s="48"/>
      <c r="AA12" s="48"/>
      <c r="AB12" s="48"/>
      <c r="AC12" s="48"/>
      <c r="AD12" s="48"/>
      <c r="AE12" s="48"/>
      <c r="AF12" s="48"/>
      <c r="AG12" s="63"/>
      <c r="AH12" s="63"/>
      <c r="AI12" s="63"/>
      <c r="AJ12" s="63"/>
      <c r="AK12" s="63"/>
      <c r="AL12" s="63"/>
      <c r="AM12" s="63"/>
      <c r="AN12" s="63"/>
      <c r="AO12" s="63"/>
    </row>
    <row r="13" spans="1:41" ht="9.75" customHeight="1">
      <c r="A13" s="65"/>
      <c r="B13" s="221"/>
      <c r="C13" s="221"/>
      <c r="D13" s="227"/>
      <c r="E13" s="221"/>
      <c r="F13" s="221"/>
      <c r="G13" s="223"/>
      <c r="H13" s="221"/>
      <c r="I13" s="87"/>
      <c r="J13" s="221"/>
      <c r="K13" s="221"/>
      <c r="L13" s="227"/>
      <c r="M13" s="221"/>
      <c r="N13" s="221"/>
      <c r="O13" s="223"/>
      <c r="P13" s="221"/>
      <c r="Q13" s="97">
        <f t="shared" si="3"/>
        <v>0</v>
      </c>
      <c r="R13" s="97">
        <f t="shared" si="2"/>
        <v>0</v>
      </c>
      <c r="S13" s="63"/>
      <c r="T13" s="48"/>
      <c r="U13" s="48"/>
      <c r="V13" s="48"/>
      <c r="W13" s="48"/>
      <c r="X13" s="48"/>
      <c r="Y13" s="48"/>
      <c r="Z13" s="48"/>
      <c r="AA13" s="48"/>
      <c r="AB13" s="48"/>
      <c r="AC13" s="48"/>
      <c r="AD13" s="48"/>
      <c r="AE13" s="48"/>
      <c r="AF13" s="48"/>
      <c r="AG13" s="63"/>
      <c r="AH13" s="63"/>
      <c r="AI13" s="63"/>
      <c r="AJ13" s="63"/>
      <c r="AK13" s="63"/>
      <c r="AL13" s="63"/>
      <c r="AM13" s="63"/>
      <c r="AN13" s="63"/>
      <c r="AO13" s="63"/>
    </row>
    <row r="14" spans="1:41" ht="15.75" customHeight="1">
      <c r="A14" s="65" t="s">
        <v>145</v>
      </c>
      <c r="B14" s="221">
        <f>('Pivot Table for Data Exchange'!$J$150)*100</f>
        <v>0</v>
      </c>
      <c r="C14" s="221">
        <f>('Pivot Table for Data Exchange'!$J$153)*100</f>
        <v>0</v>
      </c>
      <c r="D14" s="227">
        <f t="shared" si="0"/>
        <v>0</v>
      </c>
      <c r="E14" s="221">
        <f>('Pivot Table for Data Exchange'!$J$156)*100</f>
        <v>0</v>
      </c>
      <c r="F14" s="221">
        <f>('Pivot Table for Data Exchange'!$J$159)*100</f>
        <v>0</v>
      </c>
      <c r="G14" s="223">
        <f>('Pivot Table for Data Exchange'!$J$162)*100</f>
        <v>0</v>
      </c>
      <c r="H14" s="221">
        <f>('Pivot Table for Data Exchange'!$J$165)*100</f>
        <v>0</v>
      </c>
      <c r="I14" s="87" t="s">
        <v>145</v>
      </c>
      <c r="J14" s="221">
        <f>('Pivot Table for Data Exchange'!$J$168)*100</f>
        <v>0</v>
      </c>
      <c r="K14" s="221">
        <f>('Pivot Table for Data Exchange'!$J$171)*100</f>
        <v>0</v>
      </c>
      <c r="L14" s="227">
        <f t="shared" si="1"/>
        <v>0</v>
      </c>
      <c r="M14" s="221">
        <f>('Pivot Table for Data Exchange'!$J$174)*100</f>
        <v>0</v>
      </c>
      <c r="N14" s="221">
        <f>('Pivot Table for Data Exchange'!$J$177)*100</f>
        <v>0</v>
      </c>
      <c r="O14" s="223">
        <f>('Pivot Table for Data Exchange'!$J$180)*100</f>
        <v>0</v>
      </c>
      <c r="P14" s="221">
        <f>('Pivot Table for Data Exchange'!$J$183)*100</f>
        <v>0</v>
      </c>
      <c r="Q14" s="97">
        <f t="shared" si="3"/>
        <v>0</v>
      </c>
      <c r="R14" s="97">
        <f t="shared" si="2"/>
        <v>0</v>
      </c>
      <c r="S14" s="63"/>
      <c r="T14" s="48"/>
      <c r="U14" s="48"/>
      <c r="V14" s="48"/>
      <c r="W14" s="48"/>
      <c r="X14" s="48"/>
      <c r="Y14" s="48"/>
      <c r="Z14" s="48"/>
      <c r="AA14" s="48"/>
      <c r="AB14" s="48"/>
      <c r="AC14" s="48"/>
      <c r="AD14" s="48"/>
      <c r="AE14" s="48"/>
      <c r="AF14" s="48"/>
      <c r="AG14" s="63"/>
      <c r="AH14" s="63"/>
      <c r="AI14" s="63"/>
      <c r="AJ14" s="63"/>
      <c r="AK14" s="63"/>
      <c r="AL14" s="63"/>
      <c r="AM14" s="63"/>
      <c r="AN14" s="63"/>
      <c r="AO14" s="63"/>
    </row>
    <row r="15" spans="1:41" ht="15.75" customHeight="1">
      <c r="A15" s="65" t="s">
        <v>146</v>
      </c>
      <c r="B15" s="221">
        <f>('Pivot Table for Data Exchange'!$J$186)*100</f>
        <v>82.965233949657005</v>
      </c>
      <c r="C15" s="221">
        <f>('Pivot Table for Data Exchange'!$J$189)*100</f>
        <v>4.2202170633329974</v>
      </c>
      <c r="D15" s="227">
        <f t="shared" si="0"/>
        <v>12.814548987009996</v>
      </c>
      <c r="E15" s="221">
        <f>('Pivot Table for Data Exchange'!$J$192)*100</f>
        <v>11.435720201529582</v>
      </c>
      <c r="F15" s="221">
        <f>('Pivot Table for Data Exchange'!$J$195)*100</f>
        <v>1.3333641482541201</v>
      </c>
      <c r="G15" s="68">
        <f>('Pivot Table for Data Exchange'!$J$198)*100</f>
        <v>4.5464637226293417E-2</v>
      </c>
      <c r="H15" s="221">
        <f>('Pivot Table for Data Exchange'!$J$201)*100</f>
        <v>0</v>
      </c>
      <c r="I15" s="87" t="s">
        <v>146</v>
      </c>
      <c r="J15" s="221">
        <f>('Pivot Table for Data Exchange'!$J$204)*100</f>
        <v>66.330295820801723</v>
      </c>
      <c r="K15" s="221">
        <f>('Pivot Table for Data Exchange'!$J$207)*100</f>
        <v>3.7174365189807124</v>
      </c>
      <c r="L15" s="227">
        <f t="shared" si="1"/>
        <v>29.952267660217561</v>
      </c>
      <c r="M15" s="221">
        <f>('Pivot Table for Data Exchange'!$J$210)*100</f>
        <v>28.865346919842587</v>
      </c>
      <c r="N15" s="221">
        <f>('Pivot Table for Data Exchange'!$J$213)*100</f>
        <v>1.0869207403749757</v>
      </c>
      <c r="O15" s="68">
        <f>('Pivot Table for Data Exchange'!$J$216)*100</f>
        <v>0</v>
      </c>
      <c r="P15" s="221">
        <f>('Pivot Table for Data Exchange'!$J$219)*100</f>
        <v>0</v>
      </c>
      <c r="Q15" s="97">
        <f t="shared" si="3"/>
        <v>100</v>
      </c>
      <c r="R15" s="97">
        <f t="shared" si="2"/>
        <v>100</v>
      </c>
      <c r="S15" s="63"/>
      <c r="T15" s="48"/>
      <c r="U15" s="48"/>
      <c r="V15" s="48"/>
      <c r="W15" s="48"/>
      <c r="X15" s="48"/>
      <c r="Y15" s="48"/>
      <c r="Z15" s="48"/>
      <c r="AA15" s="48"/>
      <c r="AB15" s="48"/>
      <c r="AC15" s="48"/>
      <c r="AD15" s="48"/>
      <c r="AE15" s="48"/>
      <c r="AF15" s="48"/>
      <c r="AG15" s="63"/>
      <c r="AH15" s="63"/>
      <c r="AI15" s="63"/>
      <c r="AJ15" s="63"/>
      <c r="AK15" s="63"/>
      <c r="AL15" s="63"/>
      <c r="AM15" s="63"/>
      <c r="AN15" s="63"/>
      <c r="AO15" s="63"/>
    </row>
    <row r="16" spans="1:41" ht="15.75" customHeight="1">
      <c r="A16" s="65" t="s">
        <v>147</v>
      </c>
      <c r="B16" s="221">
        <f>('Pivot Table for Data Exchange'!$J$222)*100</f>
        <v>0</v>
      </c>
      <c r="C16" s="221">
        <f>('Pivot Table for Data Exchange'!$J$225)*100</f>
        <v>0</v>
      </c>
      <c r="D16" s="227">
        <f t="shared" si="0"/>
        <v>0</v>
      </c>
      <c r="E16" s="221">
        <f>('Pivot Table for Data Exchange'!$J$228)*100</f>
        <v>0</v>
      </c>
      <c r="F16" s="221">
        <f>('Pivot Table for Data Exchange'!$J$231)*100</f>
        <v>0</v>
      </c>
      <c r="G16" s="223">
        <f>('Pivot Table for Data Exchange'!$J$234)*100</f>
        <v>0</v>
      </c>
      <c r="H16" s="221">
        <f>('Pivot Table for Data Exchange'!$J$237)*100</f>
        <v>0</v>
      </c>
      <c r="I16" s="87" t="s">
        <v>147</v>
      </c>
      <c r="J16" s="221">
        <f>('Pivot Table for Data Exchange'!$J$240)*100</f>
        <v>0</v>
      </c>
      <c r="K16" s="221">
        <f>('Pivot Table for Data Exchange'!$J$243)*100</f>
        <v>0</v>
      </c>
      <c r="L16" s="227">
        <f t="shared" si="1"/>
        <v>0</v>
      </c>
      <c r="M16" s="221">
        <f>('Pivot Table for Data Exchange'!$J$246)*100</f>
        <v>0</v>
      </c>
      <c r="N16" s="221">
        <f>('Pivot Table for Data Exchange'!$J$249)*100</f>
        <v>0</v>
      </c>
      <c r="O16" s="223">
        <f>('Pivot Table for Data Exchange'!$J$252)*100</f>
        <v>0</v>
      </c>
      <c r="P16" s="221">
        <f>('Pivot Table for Data Exchange'!$J$255)*100</f>
        <v>0</v>
      </c>
      <c r="Q16" s="97">
        <f t="shared" si="3"/>
        <v>0</v>
      </c>
      <c r="R16" s="97">
        <f t="shared" si="2"/>
        <v>0</v>
      </c>
      <c r="S16" s="63"/>
      <c r="T16" s="48"/>
      <c r="U16" s="48"/>
      <c r="V16" s="48"/>
      <c r="W16" s="48"/>
      <c r="X16" s="48"/>
      <c r="Y16" s="48"/>
      <c r="Z16" s="48"/>
      <c r="AA16" s="48"/>
      <c r="AB16" s="48"/>
      <c r="AC16" s="48"/>
      <c r="AD16" s="48"/>
      <c r="AE16" s="48"/>
      <c r="AF16" s="48"/>
      <c r="AG16" s="63"/>
      <c r="AH16" s="63"/>
      <c r="AI16" s="63"/>
      <c r="AJ16" s="63"/>
      <c r="AK16" s="63"/>
      <c r="AL16" s="63"/>
      <c r="AM16" s="63"/>
      <c r="AN16" s="63"/>
      <c r="AO16" s="63"/>
    </row>
    <row r="17" spans="1:41" ht="15.75" customHeight="1">
      <c r="A17" s="65" t="s">
        <v>177</v>
      </c>
      <c r="B17" s="221">
        <f>('Pivot Table for Data Exchange'!$J$258)*100</f>
        <v>75.810989296239171</v>
      </c>
      <c r="C17" s="221">
        <f>('Pivot Table for Data Exchange'!$J$261)*100</f>
        <v>1.8483455742010353</v>
      </c>
      <c r="D17" s="227">
        <f t="shared" si="0"/>
        <v>22.340665129559785</v>
      </c>
      <c r="E17" s="221">
        <f>('Pivot Table for Data Exchange'!$J$264)*100</f>
        <v>22.037410992859069</v>
      </c>
      <c r="F17" s="221">
        <f>('Pivot Table for Data Exchange'!$J$267)*100</f>
        <v>0.30325413670071716</v>
      </c>
      <c r="G17" s="223">
        <f>('Pivot Table for Data Exchange'!$J$270)*100</f>
        <v>0</v>
      </c>
      <c r="H17" s="221">
        <f>('Pivot Table for Data Exchange'!$J$273)*100</f>
        <v>0</v>
      </c>
      <c r="I17" s="87" t="s">
        <v>177</v>
      </c>
      <c r="J17" s="221">
        <f>('Pivot Table for Data Exchange'!$J$276)*100</f>
        <v>51.006040346691925</v>
      </c>
      <c r="K17" s="221">
        <f>('Pivot Table for Data Exchange'!$J$279)*100</f>
        <v>9.2995726278217159</v>
      </c>
      <c r="L17" s="227">
        <f t="shared" si="1"/>
        <v>39.694387025486357</v>
      </c>
      <c r="M17" s="221">
        <f>('Pivot Table for Data Exchange'!$J$282)*100</f>
        <v>39.300508479307013</v>
      </c>
      <c r="N17" s="221">
        <f>('Pivot Table for Data Exchange'!$J$285)*100</f>
        <v>0.39387854617934526</v>
      </c>
      <c r="O17" s="223">
        <f>('Pivot Table for Data Exchange'!$J$288)*100</f>
        <v>0</v>
      </c>
      <c r="P17" s="221">
        <f>('Pivot Table for Data Exchange'!$J$291)*100</f>
        <v>0</v>
      </c>
      <c r="Q17" s="97">
        <f t="shared" si="3"/>
        <v>99.999999999999986</v>
      </c>
      <c r="R17" s="97">
        <f>SUM(J17,K17,L17,P17)</f>
        <v>100</v>
      </c>
      <c r="S17" s="63"/>
      <c r="T17" s="48"/>
      <c r="U17" s="48"/>
      <c r="V17" s="48"/>
      <c r="W17" s="48"/>
      <c r="X17" s="48"/>
      <c r="Y17" s="48"/>
      <c r="Z17" s="48"/>
      <c r="AA17" s="48"/>
      <c r="AB17" s="48"/>
      <c r="AC17" s="48"/>
      <c r="AD17" s="48"/>
      <c r="AE17" s="48"/>
      <c r="AF17" s="48"/>
      <c r="AG17" s="63"/>
      <c r="AH17" s="63"/>
      <c r="AI17" s="63"/>
      <c r="AJ17" s="63"/>
      <c r="AK17" s="63"/>
      <c r="AL17" s="63"/>
      <c r="AM17" s="63"/>
      <c r="AN17" s="63"/>
      <c r="AO17" s="63"/>
    </row>
    <row r="18" spans="1:41" ht="11.25" customHeight="1">
      <c r="A18" s="65"/>
      <c r="B18" s="221"/>
      <c r="C18" s="221"/>
      <c r="D18" s="227"/>
      <c r="E18" s="221"/>
      <c r="F18" s="221"/>
      <c r="G18" s="223"/>
      <c r="H18" s="221"/>
      <c r="I18" s="87"/>
      <c r="J18" s="221"/>
      <c r="K18" s="221"/>
      <c r="L18" s="227"/>
      <c r="M18" s="221"/>
      <c r="N18" s="221"/>
      <c r="O18" s="223"/>
      <c r="P18" s="221"/>
      <c r="Q18" s="97">
        <f t="shared" si="3"/>
        <v>0</v>
      </c>
      <c r="R18" s="97">
        <f t="shared" si="2"/>
        <v>0</v>
      </c>
      <c r="S18" s="63"/>
      <c r="T18" s="48"/>
      <c r="U18" s="48"/>
      <c r="V18" s="48"/>
      <c r="W18" s="48"/>
      <c r="X18" s="48"/>
      <c r="Y18" s="48"/>
      <c r="Z18" s="48"/>
      <c r="AA18" s="48"/>
      <c r="AB18" s="48"/>
      <c r="AC18" s="48"/>
      <c r="AD18" s="48"/>
      <c r="AE18" s="48"/>
      <c r="AF18" s="48"/>
      <c r="AG18" s="63"/>
      <c r="AH18" s="63"/>
      <c r="AI18" s="63"/>
      <c r="AJ18" s="63"/>
      <c r="AK18" s="63"/>
      <c r="AL18" s="63"/>
      <c r="AM18" s="63"/>
      <c r="AN18" s="63"/>
      <c r="AO18" s="63"/>
    </row>
    <row r="19" spans="1:41" ht="15.75" customHeight="1">
      <c r="A19" s="65" t="s">
        <v>148</v>
      </c>
      <c r="B19" s="221">
        <f>('Pivot Table for Data Exchange'!$J$294)*100</f>
        <v>83.48151107086268</v>
      </c>
      <c r="C19" s="221">
        <f>('Pivot Table for Data Exchange'!$J$297)*100</f>
        <v>5.2469703039638969</v>
      </c>
      <c r="D19" s="227">
        <f t="shared" si="0"/>
        <v>11.196729209557045</v>
      </c>
      <c r="E19" s="221">
        <f>('Pivot Table for Data Exchange'!$J$300)*100</f>
        <v>10.180288872668411</v>
      </c>
      <c r="F19" s="221">
        <f>('Pivot Table for Data Exchange'!$J$303)*100</f>
        <v>1.0145271192798417</v>
      </c>
      <c r="G19" s="232">
        <f>('Pivot Table for Data Exchange'!$J$306)*100</f>
        <v>1.913217608791061E-3</v>
      </c>
      <c r="H19" s="221">
        <f>('Pivot Table for Data Exchange'!$J$309)*100</f>
        <v>7.4789415616377836E-2</v>
      </c>
      <c r="I19" s="87" t="s">
        <v>148</v>
      </c>
      <c r="J19" s="221">
        <f>('Pivot Table for Data Exchange'!$J$312)*100</f>
        <v>65.963271055359186</v>
      </c>
      <c r="K19" s="221">
        <f>('Pivot Table for Data Exchange'!$J$315)*100</f>
        <v>7.8921291321961062</v>
      </c>
      <c r="L19" s="227">
        <f t="shared" si="1"/>
        <v>26.083093827001129</v>
      </c>
      <c r="M19" s="221">
        <f>('Pivot Table for Data Exchange'!$J$318)*100</f>
        <v>25.379191993591228</v>
      </c>
      <c r="N19" s="221">
        <f>('Pivot Table for Data Exchange'!$J$321)*100</f>
        <v>0.6856778377229118</v>
      </c>
      <c r="O19" s="68">
        <f>('Pivot Table for Data Exchange'!$J$324)*100</f>
        <v>1.8223995686987689E-2</v>
      </c>
      <c r="P19" s="221">
        <f>('Pivot Table for Data Exchange'!$J$327)*100</f>
        <v>6.150598544358344E-2</v>
      </c>
      <c r="Q19" s="97">
        <f t="shared" si="3"/>
        <v>100</v>
      </c>
      <c r="R19" s="97">
        <f t="shared" si="2"/>
        <v>100.00000000000001</v>
      </c>
      <c r="S19" s="63"/>
      <c r="T19" s="48"/>
      <c r="U19" s="48"/>
      <c r="V19" s="48"/>
      <c r="W19" s="48"/>
      <c r="X19" s="48"/>
      <c r="Y19" s="48"/>
      <c r="Z19" s="48"/>
      <c r="AA19" s="48"/>
      <c r="AB19" s="48"/>
      <c r="AC19" s="48"/>
      <c r="AD19" s="48"/>
      <c r="AE19" s="48"/>
      <c r="AF19" s="48"/>
      <c r="AG19" s="63"/>
      <c r="AH19" s="63"/>
      <c r="AI19" s="63"/>
      <c r="AJ19" s="63"/>
      <c r="AK19" s="63"/>
      <c r="AL19" s="63"/>
      <c r="AM19" s="63"/>
      <c r="AN19" s="63"/>
      <c r="AO19" s="63"/>
    </row>
    <row r="20" spans="1:41" ht="15.75" customHeight="1">
      <c r="A20" s="65" t="s">
        <v>149</v>
      </c>
      <c r="B20" s="221">
        <f>('Pivot Table for Data Exchange'!$J$330)*100</f>
        <v>88.404984057534648</v>
      </c>
      <c r="C20" s="221">
        <f>('Pivot Table for Data Exchange'!$J$333)*100</f>
        <v>0.89000738912923594</v>
      </c>
      <c r="D20" s="227">
        <f t="shared" si="0"/>
        <v>10.705008553336123</v>
      </c>
      <c r="E20" s="221">
        <f>('Pivot Table for Data Exchange'!$J$336)*100</f>
        <v>10.629744042098043</v>
      </c>
      <c r="F20" s="67">
        <f>('Pivot Table for Data Exchange'!$J$339)*100</f>
        <v>4.7497217717189205E-2</v>
      </c>
      <c r="G20" s="68">
        <f>('Pivot Table for Data Exchange'!$J$342)*100</f>
        <v>2.7767293520890801E-2</v>
      </c>
      <c r="H20" s="221">
        <f>('Pivot Table for Data Exchange'!$J$345)*100</f>
        <v>0</v>
      </c>
      <c r="I20" s="87" t="s">
        <v>149</v>
      </c>
      <c r="J20" s="221">
        <f>('Pivot Table for Data Exchange'!$J$348)*100</f>
        <v>73.685746051521434</v>
      </c>
      <c r="K20" s="221">
        <f>('Pivot Table for Data Exchange'!$J$351)*100</f>
        <v>5.5117054746453658</v>
      </c>
      <c r="L20" s="227">
        <f t="shared" si="1"/>
        <v>20.802548473833198</v>
      </c>
      <c r="M20" s="221">
        <f>('Pivot Table for Data Exchange'!$J$354)*100</f>
        <v>20.534716910711424</v>
      </c>
      <c r="N20" s="67">
        <f>('Pivot Table for Data Exchange'!$J$357)*100</f>
        <v>3.3906056567918563E-2</v>
      </c>
      <c r="O20" s="223">
        <f>('Pivot Table for Data Exchange'!$J$360)*100</f>
        <v>0.23392550655385674</v>
      </c>
      <c r="P20" s="221">
        <f>('Pivot Table for Data Exchange'!$J$363)*100</f>
        <v>0</v>
      </c>
      <c r="Q20" s="97">
        <f t="shared" si="3"/>
        <v>100.00000000000001</v>
      </c>
      <c r="R20" s="97">
        <f t="shared" si="2"/>
        <v>100</v>
      </c>
      <c r="S20" s="63"/>
      <c r="T20" s="48"/>
      <c r="U20" s="48"/>
      <c r="V20" s="48"/>
      <c r="W20" s="48"/>
      <c r="X20" s="48"/>
      <c r="Y20" s="48"/>
      <c r="Z20" s="48"/>
      <c r="AA20" s="48"/>
      <c r="AB20" s="48"/>
      <c r="AC20" s="48"/>
      <c r="AD20" s="48"/>
      <c r="AE20" s="48"/>
      <c r="AF20" s="48"/>
      <c r="AG20" s="63"/>
      <c r="AH20" s="63"/>
      <c r="AI20" s="63"/>
      <c r="AJ20" s="63"/>
      <c r="AK20" s="63"/>
      <c r="AL20" s="63"/>
      <c r="AM20" s="63"/>
      <c r="AN20" s="63"/>
      <c r="AO20" s="63"/>
    </row>
    <row r="21" spans="1:41" ht="15.75" customHeight="1">
      <c r="A21" s="65" t="s">
        <v>150</v>
      </c>
      <c r="B21" s="221">
        <f>('Pivot Table for Data Exchange'!$J$366)*100</f>
        <v>83.927740059885082</v>
      </c>
      <c r="C21" s="221">
        <f>('Pivot Table for Data Exchange'!$J$369)*100</f>
        <v>0.92776598918941511</v>
      </c>
      <c r="D21" s="227">
        <f t="shared" si="0"/>
        <v>15.073788221052352</v>
      </c>
      <c r="E21" s="221">
        <f>('Pivot Table for Data Exchange'!$J$372)*100</f>
        <v>12.588599852396468</v>
      </c>
      <c r="F21" s="221">
        <f>('Pivot Table for Data Exchange'!$J$375)*100</f>
        <v>2.0626568094029718</v>
      </c>
      <c r="G21" s="223">
        <f>('Pivot Table for Data Exchange'!$J$378)*100</f>
        <v>0.42253155925291097</v>
      </c>
      <c r="H21" s="221">
        <f>('Pivot Table for Data Exchange'!$J$381)*100</f>
        <v>7.0705729873151518E-2</v>
      </c>
      <c r="I21" s="87" t="s">
        <v>150</v>
      </c>
      <c r="J21" s="221">
        <f>('Pivot Table for Data Exchange'!$J$384)*100</f>
        <v>74.448635400133767</v>
      </c>
      <c r="K21" s="221">
        <f>('Pivot Table for Data Exchange'!$J$387)*100</f>
        <v>4.7786679190612071</v>
      </c>
      <c r="L21" s="227">
        <f t="shared" si="1"/>
        <v>20.461764576383835</v>
      </c>
      <c r="M21" s="221">
        <f>('Pivot Table for Data Exchange'!$J$390)*100</f>
        <v>13.92883575530503</v>
      </c>
      <c r="N21" s="221">
        <f>('Pivot Table for Data Exchange'!$J$393)*100</f>
        <v>5.201980069315006</v>
      </c>
      <c r="O21" s="223">
        <f>('Pivot Table for Data Exchange'!$J$396)*100</f>
        <v>1.3309487517638006</v>
      </c>
      <c r="P21" s="221">
        <f>('Pivot Table for Data Exchange'!$J$399)*100</f>
        <v>0.31093210442119035</v>
      </c>
      <c r="Q21" s="97">
        <f t="shared" si="3"/>
        <v>100</v>
      </c>
      <c r="R21" s="97">
        <f t="shared" si="2"/>
        <v>99.999999999999986</v>
      </c>
      <c r="S21" s="63"/>
      <c r="T21" s="48"/>
      <c r="U21" s="48"/>
      <c r="V21" s="48"/>
      <c r="W21" s="48"/>
      <c r="X21" s="48"/>
      <c r="Y21" s="48"/>
      <c r="Z21" s="48"/>
      <c r="AA21" s="48"/>
      <c r="AB21" s="48"/>
      <c r="AC21" s="48"/>
      <c r="AD21" s="48"/>
      <c r="AE21" s="48"/>
      <c r="AF21" s="48"/>
      <c r="AG21" s="63"/>
      <c r="AH21" s="63"/>
      <c r="AI21" s="63"/>
      <c r="AJ21" s="63"/>
      <c r="AK21" s="63"/>
      <c r="AL21" s="63"/>
      <c r="AM21" s="63"/>
      <c r="AN21" s="63"/>
      <c r="AO21" s="63"/>
    </row>
    <row r="22" spans="1:41" ht="15.75" customHeight="1">
      <c r="A22" s="65" t="s">
        <v>151</v>
      </c>
      <c r="B22" s="221">
        <f>('Pivot Table for Data Exchange'!$J$402)*100</f>
        <v>93.11498958009004</v>
      </c>
      <c r="C22" s="221">
        <f>('Pivot Table for Data Exchange'!$J$405)*100</f>
        <v>1.9722759719359637</v>
      </c>
      <c r="D22" s="227">
        <f>SUM(E22:G22)</f>
        <v>4.9127344479739916</v>
      </c>
      <c r="E22" s="221">
        <f>('Pivot Table for Data Exchange'!$J$408)*100</f>
        <v>4.7629780885816508</v>
      </c>
      <c r="F22" s="221">
        <f>('Pivot Table for Data Exchange'!$J$411)*100</f>
        <v>0.10184960564795413</v>
      </c>
      <c r="G22" s="68">
        <f>('Pivot Table for Data Exchange'!$J$414)*100</f>
        <v>4.7906753744386528E-2</v>
      </c>
      <c r="H22" s="221">
        <f>('Pivot Table for Data Exchange'!$J$417)*100</f>
        <v>0</v>
      </c>
      <c r="I22" s="87" t="s">
        <v>151</v>
      </c>
      <c r="J22" s="221">
        <f>('Pivot Table for Data Exchange'!$J$420)*100</f>
        <v>67.592904786337314</v>
      </c>
      <c r="K22" s="221">
        <f>('Pivot Table for Data Exchange'!$J$423)*100</f>
        <v>13.825771457890493</v>
      </c>
      <c r="L22" s="227">
        <f>SUM(M22:O22)</f>
        <v>18.581323755772189</v>
      </c>
      <c r="M22" s="221">
        <f>('Pivot Table for Data Exchange'!$J$426)*100</f>
        <v>16.604485816902439</v>
      </c>
      <c r="N22" s="221">
        <f>('Pivot Table for Data Exchange'!$J$429)*100</f>
        <v>0.69596129883456714</v>
      </c>
      <c r="O22" s="223">
        <f>('Pivot Table for Data Exchange'!$J$432)*100</f>
        <v>1.280876640035183</v>
      </c>
      <c r="P22" s="221">
        <f>('Pivot Table for Data Exchange'!$J$435)*100</f>
        <v>0</v>
      </c>
      <c r="Q22" s="97">
        <f t="shared" si="3"/>
        <v>99.999999999999986</v>
      </c>
      <c r="R22" s="97">
        <f t="shared" si="2"/>
        <v>100</v>
      </c>
      <c r="S22" s="63"/>
      <c r="T22" s="48"/>
      <c r="U22" s="48"/>
      <c r="V22" s="48"/>
      <c r="W22" s="48"/>
      <c r="X22" s="48"/>
      <c r="Y22" s="48"/>
      <c r="Z22" s="48"/>
      <c r="AA22" s="48"/>
      <c r="AB22" s="48"/>
      <c r="AC22" s="48"/>
      <c r="AD22" s="48"/>
      <c r="AE22" s="48"/>
      <c r="AF22" s="48"/>
      <c r="AG22" s="63"/>
      <c r="AH22" s="63"/>
      <c r="AI22" s="63"/>
      <c r="AJ22" s="63"/>
      <c r="AK22" s="63"/>
      <c r="AL22" s="63"/>
      <c r="AM22" s="63"/>
      <c r="AN22" s="63"/>
      <c r="AO22" s="63"/>
    </row>
    <row r="23" spans="1:41" ht="9.75" customHeight="1">
      <c r="A23" s="65"/>
      <c r="B23" s="221"/>
      <c r="C23" s="221"/>
      <c r="D23" s="227"/>
      <c r="E23" s="221"/>
      <c r="F23" s="221"/>
      <c r="G23" s="223"/>
      <c r="H23" s="221"/>
      <c r="I23" s="87"/>
      <c r="J23" s="221"/>
      <c r="K23" s="221"/>
      <c r="L23" s="227"/>
      <c r="M23" s="221"/>
      <c r="N23" s="221"/>
      <c r="O23" s="223"/>
      <c r="P23" s="221"/>
      <c r="Q23" s="97">
        <f t="shared" si="3"/>
        <v>0</v>
      </c>
      <c r="R23" s="97">
        <f t="shared" si="2"/>
        <v>0</v>
      </c>
      <c r="S23" s="63"/>
      <c r="T23" s="48"/>
      <c r="U23" s="48"/>
      <c r="V23" s="48"/>
      <c r="W23" s="48"/>
      <c r="X23" s="48"/>
      <c r="Y23" s="48"/>
      <c r="Z23" s="48"/>
      <c r="AA23" s="48"/>
      <c r="AB23" s="48"/>
      <c r="AC23" s="48"/>
      <c r="AD23" s="48"/>
      <c r="AE23" s="48"/>
      <c r="AF23" s="48"/>
      <c r="AG23" s="63"/>
      <c r="AH23" s="63"/>
      <c r="AI23" s="63"/>
      <c r="AJ23" s="63"/>
      <c r="AK23" s="63"/>
      <c r="AL23" s="63"/>
      <c r="AM23" s="63"/>
      <c r="AN23" s="63"/>
      <c r="AO23" s="63"/>
    </row>
    <row r="24" spans="1:41" ht="15.75" customHeight="1">
      <c r="A24" s="65" t="s">
        <v>152</v>
      </c>
      <c r="B24" s="221">
        <f>('Pivot Table for Data Exchange'!$J$438)*100</f>
        <v>80.904419942095203</v>
      </c>
      <c r="C24" s="221">
        <f>('Pivot Table for Data Exchange'!$J$441)*100</f>
        <v>2.8959362164998481</v>
      </c>
      <c r="D24" s="227">
        <f>SUM(E24:G24)</f>
        <v>15.552170202547375</v>
      </c>
      <c r="E24" s="221">
        <f>('Pivot Table for Data Exchange'!$J$444)*100</f>
        <v>10.877596934475509</v>
      </c>
      <c r="F24" s="221">
        <f>('Pivot Table for Data Exchange'!$J$447)*100</f>
        <v>0.32053610193737936</v>
      </c>
      <c r="G24" s="223">
        <f>('Pivot Table for Data Exchange'!$J$450)*100</f>
        <v>4.3540371661344857</v>
      </c>
      <c r="H24" s="221">
        <f>('Pivot Table for Data Exchange'!$J$453)*100</f>
        <v>0.6474736388575727</v>
      </c>
      <c r="I24" s="87" t="s">
        <v>152</v>
      </c>
      <c r="J24" s="221">
        <f>('Pivot Table for Data Exchange'!$J$456)*100</f>
        <v>60.172226612408885</v>
      </c>
      <c r="K24" s="221">
        <f>('Pivot Table for Data Exchange'!$J$459)*100</f>
        <v>3.8087782397731216</v>
      </c>
      <c r="L24" s="227">
        <f>SUM(M24:O24)</f>
        <v>31.500926862772612</v>
      </c>
      <c r="M24" s="221">
        <f>('Pivot Table for Data Exchange'!$J$462)*100</f>
        <v>27.661130107900121</v>
      </c>
      <c r="N24" s="221">
        <f>('Pivot Table for Data Exchange'!$J$465)*100</f>
        <v>0.42953258051889548</v>
      </c>
      <c r="O24" s="223">
        <f>('Pivot Table for Data Exchange'!$J$468)*100</f>
        <v>3.4102641743535966</v>
      </c>
      <c r="P24" s="221">
        <f>('Pivot Table for Data Exchange'!$J$471)*100</f>
        <v>4.5180682850453833</v>
      </c>
      <c r="Q24" s="97">
        <f t="shared" si="3"/>
        <v>100</v>
      </c>
      <c r="R24" s="97">
        <f t="shared" si="2"/>
        <v>100</v>
      </c>
      <c r="S24" s="63"/>
      <c r="T24" s="48"/>
      <c r="U24" s="48"/>
      <c r="V24" s="48"/>
      <c r="W24" s="48"/>
      <c r="X24" s="48"/>
      <c r="Y24" s="48"/>
      <c r="Z24" s="48"/>
      <c r="AA24" s="48"/>
      <c r="AB24" s="48"/>
      <c r="AC24" s="48"/>
      <c r="AD24" s="48"/>
      <c r="AE24" s="48"/>
      <c r="AF24" s="48"/>
      <c r="AG24" s="63"/>
      <c r="AH24" s="63"/>
      <c r="AI24" s="63"/>
      <c r="AJ24" s="63"/>
      <c r="AK24" s="63"/>
      <c r="AL24" s="63"/>
      <c r="AM24" s="63"/>
      <c r="AN24" s="63"/>
      <c r="AO24" s="63"/>
    </row>
    <row r="25" spans="1:41" ht="15.75" customHeight="1">
      <c r="A25" s="65" t="s">
        <v>153</v>
      </c>
      <c r="B25" s="221">
        <f>('Pivot Table for Data Exchange'!$J$474)*100</f>
        <v>85.844343779832727</v>
      </c>
      <c r="C25" s="221">
        <f>('Pivot Table for Data Exchange'!$J$477)*100</f>
        <v>1.5138882577338424</v>
      </c>
      <c r="D25" s="227">
        <f>SUM(E25:G25)</f>
        <v>12.641767962433423</v>
      </c>
      <c r="E25" s="221">
        <f>('Pivot Table for Data Exchange'!$J$480)*100</f>
        <v>12.24925157326704</v>
      </c>
      <c r="F25" s="221">
        <f>('Pivot Table for Data Exchange'!$J$483)*100</f>
        <v>0.21021512861736746</v>
      </c>
      <c r="G25" s="223">
        <f>('Pivot Table for Data Exchange'!$J$486)*100</f>
        <v>0.18230126054901652</v>
      </c>
      <c r="H25" s="221">
        <f>('Pivot Table for Data Exchange'!$J$489)*100</f>
        <v>0</v>
      </c>
      <c r="I25" s="87" t="s">
        <v>153</v>
      </c>
      <c r="J25" s="221">
        <f>('Pivot Table for Data Exchange'!$J$492)*100</f>
        <v>68.801366228027376</v>
      </c>
      <c r="K25" s="221">
        <f>('Pivot Table for Data Exchange'!$J$495)*100</f>
        <v>3.7883983898842772</v>
      </c>
      <c r="L25" s="227">
        <f>SUM(M25:O25)</f>
        <v>27.410235382088345</v>
      </c>
      <c r="M25" s="221">
        <f>('Pivot Table for Data Exchange'!$J$498)*100</f>
        <v>26.49622768944015</v>
      </c>
      <c r="N25" s="221">
        <f>('Pivot Table for Data Exchange'!$J$501)*100</f>
        <v>0.28391688208334542</v>
      </c>
      <c r="O25" s="223">
        <f>('Pivot Table for Data Exchange'!$J$504)*100</f>
        <v>0.63009081056484939</v>
      </c>
      <c r="P25" s="221">
        <f>('Pivot Table for Data Exchange'!$J$507)*100</f>
        <v>0</v>
      </c>
      <c r="Q25" s="97">
        <f t="shared" si="3"/>
        <v>99.999999999999986</v>
      </c>
      <c r="R25" s="97">
        <f t="shared" si="2"/>
        <v>100</v>
      </c>
      <c r="S25" s="63"/>
      <c r="T25" s="48"/>
      <c r="U25" s="48"/>
      <c r="V25" s="48"/>
      <c r="W25" s="48"/>
      <c r="X25" s="48"/>
      <c r="Y25" s="48"/>
      <c r="Z25" s="48"/>
      <c r="AA25" s="48"/>
      <c r="AB25" s="48"/>
      <c r="AC25" s="48"/>
      <c r="AD25" s="48"/>
      <c r="AE25" s="48"/>
      <c r="AF25" s="48"/>
      <c r="AG25" s="63"/>
      <c r="AH25" s="63"/>
      <c r="AI25" s="63"/>
      <c r="AJ25" s="63"/>
      <c r="AK25" s="63"/>
      <c r="AL25" s="63"/>
      <c r="AM25" s="63"/>
      <c r="AN25" s="63"/>
      <c r="AO25" s="63"/>
    </row>
    <row r="26" spans="1:41" ht="15.75" customHeight="1">
      <c r="A26" s="65" t="s">
        <v>154</v>
      </c>
      <c r="B26" s="221">
        <f>('Pivot Table for Data Exchange'!$J$510)*100</f>
        <v>92.991402558387165</v>
      </c>
      <c r="C26" s="221">
        <f>('Pivot Table for Data Exchange'!$J$513)*100</f>
        <v>2.2083029799154663</v>
      </c>
      <c r="D26" s="227">
        <f t="shared" si="0"/>
        <v>4.8002944616973506</v>
      </c>
      <c r="E26" s="221">
        <f>('Pivot Table for Data Exchange'!$J$516)*100</f>
        <v>4.0622694591481787</v>
      </c>
      <c r="F26" s="221">
        <f>('Pivot Table for Data Exchange'!$J$519)*100</f>
        <v>0.73802500254917203</v>
      </c>
      <c r="G26" s="223">
        <f>('Pivot Table for Data Exchange'!$J$522)*100</f>
        <v>0</v>
      </c>
      <c r="H26" s="221">
        <f>('Pivot Table for Data Exchange'!$J$525)*100</f>
        <v>0</v>
      </c>
      <c r="I26" s="87" t="s">
        <v>154</v>
      </c>
      <c r="J26" s="221">
        <f>('Pivot Table for Data Exchange'!$J$528)*100</f>
        <v>80.928292676478307</v>
      </c>
      <c r="K26" s="221">
        <f>('Pivot Table for Data Exchange'!$J$531)*100</f>
        <v>9.5177348585365014</v>
      </c>
      <c r="L26" s="227">
        <f t="shared" si="1"/>
        <v>9.5539724649851934</v>
      </c>
      <c r="M26" s="221">
        <f>('Pivot Table for Data Exchange'!$J$534)*100</f>
        <v>6.9961192712402811</v>
      </c>
      <c r="N26" s="221">
        <f>('Pivot Table for Data Exchange'!$J$537)*100</f>
        <v>2.5578531937449132</v>
      </c>
      <c r="O26" s="223">
        <f>('Pivot Table for Data Exchange'!$J$540)*100</f>
        <v>0</v>
      </c>
      <c r="P26" s="221">
        <f>('Pivot Table for Data Exchange'!$J$543)*100</f>
        <v>0</v>
      </c>
      <c r="Q26" s="97">
        <f t="shared" si="3"/>
        <v>99.999999999999986</v>
      </c>
      <c r="R26" s="97">
        <f t="shared" si="2"/>
        <v>100</v>
      </c>
      <c r="S26" s="63"/>
      <c r="T26" s="48"/>
      <c r="U26" s="48"/>
      <c r="V26" s="48"/>
      <c r="W26" s="48"/>
      <c r="X26" s="48"/>
      <c r="Y26" s="48"/>
      <c r="Z26" s="48"/>
      <c r="AA26" s="48"/>
      <c r="AB26" s="48"/>
      <c r="AC26" s="48"/>
      <c r="AD26" s="48"/>
      <c r="AE26" s="48"/>
      <c r="AF26" s="48"/>
      <c r="AG26" s="63"/>
      <c r="AH26" s="63"/>
      <c r="AI26" s="63"/>
      <c r="AJ26" s="63"/>
      <c r="AK26" s="63"/>
      <c r="AL26" s="63"/>
      <c r="AM26" s="63"/>
      <c r="AN26" s="63"/>
      <c r="AO26" s="63"/>
    </row>
    <row r="27" spans="1:41" ht="15.75" customHeight="1">
      <c r="A27" s="39" t="s">
        <v>155</v>
      </c>
      <c r="B27" s="224">
        <f>('Pivot Table for Data Exchange'!$J$546)*100</f>
        <v>85.560376844815352</v>
      </c>
      <c r="C27" s="224">
        <f>('Pivot Table for Data Exchange'!$J$549)*100</f>
        <v>3.7026381153725931</v>
      </c>
      <c r="D27" s="228">
        <f>SUM(E27:G27)</f>
        <v>10.736985039812048</v>
      </c>
      <c r="E27" s="224">
        <f>('Pivot Table for Data Exchange'!$J$552)*100</f>
        <v>10.350729187323333</v>
      </c>
      <c r="F27" s="224">
        <f>('Pivot Table for Data Exchange'!$J$555)*100</f>
        <v>0.27359229370502447</v>
      </c>
      <c r="G27" s="225">
        <f>('Pivot Table for Data Exchange'!$J$558)*100</f>
        <v>0.11266355878369066</v>
      </c>
      <c r="H27" s="224">
        <f>('Pivot Table for Data Exchange'!$J$561)*100</f>
        <v>0</v>
      </c>
      <c r="I27" s="230" t="s">
        <v>155</v>
      </c>
      <c r="J27" s="224">
        <f>('Pivot Table for Data Exchange'!$J$564)*100</f>
        <v>54.394077474375848</v>
      </c>
      <c r="K27" s="224">
        <f>('Pivot Table for Data Exchange'!$J$567)*100</f>
        <v>14.859756303371924</v>
      </c>
      <c r="L27" s="228">
        <f>SUM(M27:O27)</f>
        <v>30.746166222252224</v>
      </c>
      <c r="M27" s="224">
        <f>('Pivot Table for Data Exchange'!$J$570)*100</f>
        <v>30.006975619086194</v>
      </c>
      <c r="N27" s="224">
        <f>('Pivot Table for Data Exchange'!$J$573)*100</f>
        <v>0.51529573249625904</v>
      </c>
      <c r="O27" s="225">
        <f>('Pivot Table for Data Exchange'!$J$576)*100</f>
        <v>0.22389487066977196</v>
      </c>
      <c r="P27" s="224">
        <f>('Pivot Table for Data Exchange'!$J$579)*100</f>
        <v>0</v>
      </c>
      <c r="Q27" s="97">
        <f t="shared" si="3"/>
        <v>100</v>
      </c>
      <c r="R27" s="97">
        <f t="shared" si="2"/>
        <v>100</v>
      </c>
      <c r="S27" s="63"/>
      <c r="T27" s="48"/>
      <c r="U27" s="48"/>
      <c r="V27" s="48"/>
      <c r="W27" s="48"/>
      <c r="X27" s="48"/>
      <c r="Y27" s="48"/>
      <c r="Z27" s="48"/>
      <c r="AA27" s="48"/>
      <c r="AB27" s="48"/>
      <c r="AC27" s="48"/>
      <c r="AD27" s="48"/>
      <c r="AE27" s="48"/>
      <c r="AF27" s="48"/>
      <c r="AG27" s="63"/>
      <c r="AH27" s="63"/>
      <c r="AI27" s="63"/>
      <c r="AJ27" s="63"/>
      <c r="AK27" s="63"/>
      <c r="AL27" s="63"/>
      <c r="AM27" s="63"/>
      <c r="AN27" s="63"/>
      <c r="AO27" s="63"/>
    </row>
    <row r="28" spans="1:41" s="25" customFormat="1" ht="24" customHeight="1">
      <c r="A28" s="681" t="s">
        <v>284</v>
      </c>
      <c r="B28" s="682"/>
      <c r="C28" s="682"/>
      <c r="D28" s="682"/>
      <c r="E28" s="682"/>
      <c r="F28" s="682"/>
      <c r="G28" s="682"/>
      <c r="H28" s="682"/>
      <c r="I28" s="681" t="s">
        <v>284</v>
      </c>
      <c r="J28" s="682"/>
      <c r="K28" s="682"/>
      <c r="L28" s="682"/>
      <c r="M28" s="682"/>
      <c r="N28" s="682"/>
      <c r="O28" s="682"/>
      <c r="P28" s="682"/>
      <c r="Q28" s="97"/>
      <c r="R28" s="97"/>
    </row>
    <row r="29" spans="1:41" s="25" customFormat="1" ht="13.5" customHeight="1">
      <c r="A29" s="691" t="s">
        <v>244</v>
      </c>
      <c r="B29" s="69"/>
      <c r="C29" s="69"/>
      <c r="D29" s="70"/>
      <c r="E29" s="69"/>
      <c r="F29" s="70"/>
      <c r="G29" s="70"/>
      <c r="H29" s="69"/>
      <c r="I29" s="691" t="s">
        <v>244</v>
      </c>
      <c r="J29" s="69"/>
      <c r="K29" s="69"/>
      <c r="L29" s="70"/>
      <c r="M29" s="69"/>
      <c r="N29" s="70"/>
      <c r="O29" s="70"/>
      <c r="P29" s="69"/>
      <c r="Q29" s="97"/>
      <c r="R29" s="97"/>
      <c r="S29" s="71"/>
      <c r="T29" s="48"/>
      <c r="U29" s="48"/>
      <c r="V29" s="48"/>
      <c r="W29" s="48"/>
      <c r="X29" s="48"/>
      <c r="Y29" s="48"/>
      <c r="Z29" s="48"/>
      <c r="AA29" s="48"/>
      <c r="AB29" s="48"/>
      <c r="AC29" s="48"/>
      <c r="AD29" s="48"/>
      <c r="AE29" s="48"/>
      <c r="AF29" s="48"/>
      <c r="AG29" s="71"/>
      <c r="AH29" s="71"/>
      <c r="AI29" s="71"/>
      <c r="AJ29" s="71"/>
      <c r="AK29" s="71"/>
      <c r="AL29" s="71"/>
      <c r="AM29" s="71"/>
      <c r="AN29" s="71"/>
      <c r="AO29" s="71"/>
    </row>
    <row r="30" spans="1:41" s="25" customFormat="1" ht="23.25" customHeight="1">
      <c r="A30" s="666" t="s">
        <v>245</v>
      </c>
      <c r="B30" s="685"/>
      <c r="C30" s="685"/>
      <c r="D30" s="685"/>
      <c r="E30" s="685"/>
      <c r="F30" s="685"/>
      <c r="G30" s="685"/>
      <c r="H30" s="685"/>
      <c r="I30" s="666" t="s">
        <v>245</v>
      </c>
      <c r="J30" s="685"/>
      <c r="K30" s="685"/>
      <c r="L30" s="685"/>
      <c r="M30" s="685"/>
      <c r="N30" s="685"/>
      <c r="O30" s="685"/>
      <c r="P30" s="685"/>
      <c r="Q30" s="97"/>
      <c r="R30" s="97"/>
      <c r="S30" s="71"/>
      <c r="T30" s="71"/>
      <c r="U30" s="71"/>
      <c r="V30" s="71"/>
      <c r="W30" s="71"/>
      <c r="X30" s="71"/>
      <c r="Y30" s="71"/>
      <c r="Z30" s="71"/>
      <c r="AA30" s="71"/>
      <c r="AB30" s="71"/>
      <c r="AC30" s="71"/>
      <c r="AD30" s="71"/>
      <c r="AE30" s="71"/>
      <c r="AF30" s="71"/>
      <c r="AG30" s="71"/>
      <c r="AH30" s="71"/>
      <c r="AI30" s="71"/>
      <c r="AJ30" s="71"/>
      <c r="AK30" s="71"/>
      <c r="AL30" s="71"/>
      <c r="AM30" s="71"/>
      <c r="AN30" s="71"/>
      <c r="AO30" s="71"/>
    </row>
    <row r="31" spans="1:41" s="25" customFormat="1" ht="13.5" customHeight="1">
      <c r="A31" s="30"/>
      <c r="B31" s="110"/>
      <c r="C31" s="110"/>
      <c r="D31" s="72"/>
      <c r="E31" s="110"/>
      <c r="F31" s="110"/>
      <c r="G31" s="110"/>
      <c r="H31" s="110"/>
      <c r="I31" s="30"/>
      <c r="J31" s="110"/>
      <c r="K31" s="110"/>
      <c r="L31" s="72"/>
      <c r="M31" s="110"/>
      <c r="N31" s="110"/>
      <c r="O31" s="110"/>
      <c r="P31" s="110"/>
      <c r="Q31" s="97"/>
      <c r="R31" s="97"/>
    </row>
    <row r="32" spans="1:41">
      <c r="H32" s="27" t="s">
        <v>899</v>
      </c>
      <c r="I32" s="28"/>
      <c r="P32" s="27" t="s">
        <v>899</v>
      </c>
      <c r="Q32" s="97"/>
      <c r="R32" s="97"/>
    </row>
    <row r="33" spans="1:41" ht="18">
      <c r="A33" s="16" t="s">
        <v>201</v>
      </c>
      <c r="B33" s="34"/>
      <c r="C33" s="34"/>
      <c r="D33" s="34"/>
      <c r="E33" s="34"/>
      <c r="F33" s="34"/>
      <c r="G33" s="34"/>
      <c r="H33" s="35"/>
      <c r="I33" s="16" t="s">
        <v>216</v>
      </c>
      <c r="J33" s="19"/>
      <c r="K33" s="19"/>
      <c r="L33" s="34"/>
      <c r="M33" s="19"/>
      <c r="N33" s="19"/>
      <c r="O33" s="19"/>
      <c r="P33" s="19"/>
      <c r="Q33" s="97"/>
      <c r="R33" s="97"/>
    </row>
    <row r="34" spans="1:41">
      <c r="A34" s="18"/>
      <c r="B34" s="19"/>
      <c r="C34" s="19"/>
      <c r="D34" s="19"/>
      <c r="E34" s="19"/>
      <c r="F34" s="19"/>
      <c r="G34" s="19"/>
      <c r="H34" s="36"/>
      <c r="I34" s="18"/>
      <c r="J34" s="19"/>
      <c r="K34" s="19"/>
      <c r="L34" s="19"/>
      <c r="M34" s="19"/>
      <c r="N34" s="19"/>
      <c r="O34" s="19"/>
      <c r="P34" s="19"/>
      <c r="Q34" s="97"/>
      <c r="R34" s="97"/>
    </row>
    <row r="35" spans="1:41" ht="15.75">
      <c r="A35" s="37" t="s">
        <v>162</v>
      </c>
      <c r="B35" s="19"/>
      <c r="C35" s="19"/>
      <c r="D35" s="19"/>
      <c r="E35" s="19"/>
      <c r="F35" s="19"/>
      <c r="G35" s="19"/>
      <c r="H35" s="36"/>
      <c r="I35" s="37" t="s">
        <v>163</v>
      </c>
      <c r="J35" s="19"/>
      <c r="K35" s="19"/>
      <c r="L35" s="19"/>
      <c r="M35" s="19"/>
      <c r="N35" s="19"/>
      <c r="O35" s="19"/>
      <c r="P35" s="19"/>
      <c r="Q35" s="97"/>
      <c r="R35" s="97"/>
    </row>
    <row r="36" spans="1:41" ht="15.75">
      <c r="A36" s="37" t="s">
        <v>265</v>
      </c>
      <c r="B36" s="19"/>
      <c r="C36" s="19"/>
      <c r="D36" s="19"/>
      <c r="E36" s="19"/>
      <c r="F36" s="19"/>
      <c r="G36" s="19"/>
      <c r="H36" s="36"/>
      <c r="I36" s="37" t="s">
        <v>265</v>
      </c>
      <c r="J36" s="19"/>
      <c r="K36" s="19"/>
      <c r="L36" s="19"/>
      <c r="M36" s="19"/>
      <c r="N36" s="19"/>
      <c r="O36" s="19"/>
      <c r="P36" s="19"/>
      <c r="Q36" s="97"/>
      <c r="R36" s="97"/>
    </row>
    <row r="37" spans="1:41">
      <c r="A37" s="39"/>
      <c r="B37" s="40"/>
      <c r="C37" s="40"/>
      <c r="D37" s="40"/>
      <c r="E37" s="40"/>
      <c r="F37" s="40"/>
      <c r="G37" s="40"/>
      <c r="H37" s="40"/>
      <c r="I37" s="41"/>
      <c r="L37" s="42"/>
      <c r="P37" s="39"/>
      <c r="Q37" s="97"/>
      <c r="R37" s="97"/>
    </row>
    <row r="38" spans="1:41" s="48" customFormat="1">
      <c r="A38" s="43"/>
      <c r="B38" s="44" t="s">
        <v>164</v>
      </c>
      <c r="C38" s="44"/>
      <c r="D38" s="44"/>
      <c r="E38" s="44"/>
      <c r="F38" s="44"/>
      <c r="G38" s="44"/>
      <c r="H38" s="45"/>
      <c r="I38" s="43"/>
      <c r="J38" s="44" t="s">
        <v>164</v>
      </c>
      <c r="K38" s="44"/>
      <c r="L38" s="44"/>
      <c r="M38" s="44"/>
      <c r="N38" s="44"/>
      <c r="O38" s="44"/>
      <c r="P38" s="45"/>
      <c r="Q38" s="97"/>
      <c r="R38" s="97"/>
    </row>
    <row r="39" spans="1:41" s="48" customFormat="1">
      <c r="A39" s="43"/>
      <c r="B39" s="44" t="s">
        <v>165</v>
      </c>
      <c r="C39" s="44"/>
      <c r="D39" s="670" t="s">
        <v>166</v>
      </c>
      <c r="E39" s="668"/>
      <c r="F39" s="668"/>
      <c r="G39" s="668"/>
      <c r="H39" s="49" t="s">
        <v>39</v>
      </c>
      <c r="I39" s="43"/>
      <c r="J39" s="44" t="s">
        <v>165</v>
      </c>
      <c r="K39" s="44"/>
      <c r="L39" s="670" t="s">
        <v>166</v>
      </c>
      <c r="M39" s="668"/>
      <c r="N39" s="668"/>
      <c r="O39" s="668"/>
      <c r="P39" s="49" t="s">
        <v>39</v>
      </c>
      <c r="Q39" s="97"/>
      <c r="R39" s="97"/>
    </row>
    <row r="40" spans="1:41" s="48" customFormat="1" ht="40.5" customHeight="1">
      <c r="A40" s="43"/>
      <c r="B40" s="50" t="s">
        <v>167</v>
      </c>
      <c r="C40" s="51" t="s">
        <v>168</v>
      </c>
      <c r="D40" s="52" t="s">
        <v>169</v>
      </c>
      <c r="E40" s="53" t="s">
        <v>7</v>
      </c>
      <c r="F40" s="50" t="s">
        <v>170</v>
      </c>
      <c r="G40" s="54" t="s">
        <v>171</v>
      </c>
      <c r="H40" s="55" t="s">
        <v>172</v>
      </c>
      <c r="I40" s="43"/>
      <c r="J40" s="50" t="s">
        <v>167</v>
      </c>
      <c r="K40" s="51" t="s">
        <v>168</v>
      </c>
      <c r="L40" s="52" t="s">
        <v>169</v>
      </c>
      <c r="M40" s="53" t="s">
        <v>7</v>
      </c>
      <c r="N40" s="50" t="s">
        <v>170</v>
      </c>
      <c r="O40" s="54" t="s">
        <v>171</v>
      </c>
      <c r="P40" s="55" t="s">
        <v>172</v>
      </c>
      <c r="Q40" s="97"/>
      <c r="R40" s="97"/>
      <c r="T40" s="73"/>
    </row>
    <row r="41" spans="1:41" ht="15.75" customHeight="1">
      <c r="A41" s="62" t="s">
        <v>141</v>
      </c>
      <c r="B41" s="221">
        <f>('Pivot Table for Data Exchange'!$C$6)*100</f>
        <v>94.531626632384743</v>
      </c>
      <c r="C41" s="67">
        <f>('Pivot Table for Data Exchange'!$C$9)*100</f>
        <v>1.5714125220957664E-2</v>
      </c>
      <c r="D41" s="227">
        <f>SUM(E41:G41)</f>
        <v>5.4526592423942919</v>
      </c>
      <c r="E41" s="221">
        <f>('Pivot Table for Data Exchange'!$C$12)*100</f>
        <v>5.4299768625504665</v>
      </c>
      <c r="F41" s="67">
        <f>('Pivot Table for Data Exchange'!$C$15)*100</f>
        <v>2.2682379843825769E-2</v>
      </c>
      <c r="G41" s="60">
        <f>('Pivot Table for Data Exchange'!$C$18)*100</f>
        <v>0</v>
      </c>
      <c r="H41" s="221">
        <f>('Pivot Table for Data Exchange'!$C$21)*100</f>
        <v>0</v>
      </c>
      <c r="I41" s="229" t="s">
        <v>141</v>
      </c>
      <c r="J41" s="221">
        <f>('Pivot Table for Data Exchange'!$C$24)*100</f>
        <v>82.884505326605733</v>
      </c>
      <c r="K41" s="221">
        <f>('Pivot Table for Data Exchange'!$C$27)*100</f>
        <v>2.9722932494657641</v>
      </c>
      <c r="L41" s="227">
        <f>SUM(M41:O41)</f>
        <v>14.143201423928511</v>
      </c>
      <c r="M41" s="221">
        <f>('Pivot Table for Data Exchange'!$C$30)*100</f>
        <v>13.993562919053446</v>
      </c>
      <c r="N41" s="221">
        <f>('Pivot Table for Data Exchange'!$C$33)*100</f>
        <v>0.14963850487506497</v>
      </c>
      <c r="O41" s="60">
        <f>('Pivot Table for Data Exchange'!$C$36)*100</f>
        <v>0</v>
      </c>
      <c r="P41" s="221">
        <f>('Pivot Table for Data Exchange'!$C$39)*100</f>
        <v>0</v>
      </c>
      <c r="Q41" s="97">
        <f t="shared" si="3"/>
        <v>99.999999999999986</v>
      </c>
      <c r="R41" s="97">
        <f t="shared" si="2"/>
        <v>100.00000000000001</v>
      </c>
      <c r="S41" s="63"/>
      <c r="T41" s="63"/>
      <c r="U41" s="63"/>
      <c r="V41" s="63"/>
      <c r="W41" s="63"/>
      <c r="X41" s="63"/>
      <c r="Y41" s="63"/>
      <c r="Z41" s="63"/>
      <c r="AA41" s="63"/>
      <c r="AB41" s="63"/>
      <c r="AC41" s="63"/>
      <c r="AD41" s="63"/>
      <c r="AE41" s="63"/>
      <c r="AF41" s="63"/>
      <c r="AG41" s="63"/>
      <c r="AH41" s="63"/>
      <c r="AI41" s="63"/>
      <c r="AJ41" s="63"/>
      <c r="AK41" s="63"/>
      <c r="AL41" s="63"/>
      <c r="AM41" s="63"/>
      <c r="AN41" s="63"/>
      <c r="AO41" s="63"/>
    </row>
    <row r="42" spans="1:41" ht="15.75" customHeight="1">
      <c r="A42" s="65" t="s">
        <v>142</v>
      </c>
      <c r="B42" s="221">
        <f>('Pivot Table for Data Exchange'!$C$42)*100</f>
        <v>91.245171816728828</v>
      </c>
      <c r="C42" s="221">
        <f>('Pivot Table for Data Exchange'!$C$45)*100</f>
        <v>1.4825852424080981</v>
      </c>
      <c r="D42" s="227">
        <f t="shared" ref="D42:D44" si="4">SUM(E42:G42)</f>
        <v>6.2746403835908362</v>
      </c>
      <c r="E42" s="221">
        <f>('Pivot Table for Data Exchange'!$C$48)*100</f>
        <v>6.1244672349493872</v>
      </c>
      <c r="F42" s="221">
        <f>('Pivot Table for Data Exchange'!$C$51)*100</f>
        <v>0.14567794352690464</v>
      </c>
      <c r="G42" s="232">
        <f>('Pivot Table for Data Exchange'!$C$54)*100</f>
        <v>4.4952051145444863E-3</v>
      </c>
      <c r="H42" s="221">
        <f>('Pivot Table for Data Exchange'!$C$57)*100</f>
        <v>0.99760255727224301</v>
      </c>
      <c r="I42" s="87" t="s">
        <v>142</v>
      </c>
      <c r="J42" s="221">
        <f>('Pivot Table for Data Exchange'!$C$60)*100</f>
        <v>75.24099180370122</v>
      </c>
      <c r="K42" s="221">
        <f>('Pivot Table for Data Exchange'!$C$63)*100</f>
        <v>4.1329449971648025</v>
      </c>
      <c r="L42" s="227">
        <f t="shared" ref="L42:L44" si="5">SUM(M42:O42)</f>
        <v>20.626063199133977</v>
      </c>
      <c r="M42" s="221">
        <f>('Pivot Table for Data Exchange'!$C$66)*100</f>
        <v>19.725243569256147</v>
      </c>
      <c r="N42" s="221">
        <f>('Pivot Table for Data Exchange'!$C$69)*100</f>
        <v>0</v>
      </c>
      <c r="O42" s="223">
        <f>('Pivot Table for Data Exchange'!$C$72)*100</f>
        <v>0.90081962987782882</v>
      </c>
      <c r="P42" s="67">
        <f>('Pivot Table for Data Exchange'!$C$75)*100</f>
        <v>0</v>
      </c>
      <c r="Q42" s="97">
        <f t="shared" si="3"/>
        <v>100</v>
      </c>
      <c r="R42" s="97">
        <f t="shared" si="2"/>
        <v>100</v>
      </c>
      <c r="S42" s="63"/>
      <c r="T42" s="63"/>
      <c r="U42" s="63"/>
      <c r="V42" s="63"/>
      <c r="W42" s="63"/>
      <c r="X42" s="63"/>
      <c r="Y42" s="63"/>
      <c r="Z42" s="63"/>
      <c r="AA42" s="63"/>
      <c r="AB42" s="63"/>
      <c r="AC42" s="63"/>
      <c r="AD42" s="63"/>
      <c r="AE42" s="63"/>
      <c r="AF42" s="63"/>
      <c r="AG42" s="63"/>
      <c r="AH42" s="63"/>
      <c r="AI42" s="63"/>
      <c r="AJ42" s="63"/>
      <c r="AK42" s="63"/>
      <c r="AL42" s="63"/>
      <c r="AM42" s="63"/>
      <c r="AN42" s="63"/>
      <c r="AO42" s="63"/>
    </row>
    <row r="43" spans="1:41" ht="15.75" customHeight="1">
      <c r="A43" s="65" t="s">
        <v>143</v>
      </c>
      <c r="B43" s="221">
        <f>('Pivot Table for Data Exchange'!$C$78)*100</f>
        <v>97.439417010288281</v>
      </c>
      <c r="C43" s="221">
        <f>('Pivot Table for Data Exchange'!$C$81)*100</f>
        <v>0</v>
      </c>
      <c r="D43" s="227">
        <f t="shared" si="4"/>
        <v>2.5605829897117283</v>
      </c>
      <c r="E43" s="221">
        <f>('Pivot Table for Data Exchange'!$C$84)*100</f>
        <v>2.5605829897117283</v>
      </c>
      <c r="F43" s="221">
        <f>('Pivot Table for Data Exchange'!$C$87)*100</f>
        <v>0</v>
      </c>
      <c r="G43" s="223">
        <f>('Pivot Table for Data Exchange'!$C$90)*100</f>
        <v>0</v>
      </c>
      <c r="H43" s="221">
        <f>('Pivot Table for Data Exchange'!$C$93)*100</f>
        <v>0</v>
      </c>
      <c r="I43" s="87" t="s">
        <v>143</v>
      </c>
      <c r="J43" s="221">
        <f>('Pivot Table for Data Exchange'!$C$96)*100</f>
        <v>95.355411954765756</v>
      </c>
      <c r="K43" s="221">
        <f>('Pivot Table for Data Exchange'!$C$99)*100</f>
        <v>0</v>
      </c>
      <c r="L43" s="227">
        <f t="shared" si="5"/>
        <v>4.6445880452342481</v>
      </c>
      <c r="M43" s="221">
        <f>('Pivot Table for Data Exchange'!$C$102)*100</f>
        <v>4.6445880452342481</v>
      </c>
      <c r="N43" s="221">
        <f>('Pivot Table for Data Exchange'!$C$105)*100</f>
        <v>0</v>
      </c>
      <c r="O43" s="223">
        <f>('Pivot Table for Data Exchange'!$C$108)*100</f>
        <v>0</v>
      </c>
      <c r="P43" s="221">
        <f>('Pivot Table for Data Exchange'!$C$111)*100</f>
        <v>0</v>
      </c>
      <c r="Q43" s="97">
        <f t="shared" si="3"/>
        <v>100.00000000000001</v>
      </c>
      <c r="R43" s="97">
        <f t="shared" si="2"/>
        <v>100</v>
      </c>
      <c r="S43" s="63"/>
      <c r="T43" s="74"/>
      <c r="U43" s="63"/>
      <c r="V43" s="63"/>
      <c r="W43" s="63"/>
      <c r="X43" s="63"/>
      <c r="Y43" s="63"/>
      <c r="Z43" s="63"/>
      <c r="AA43" s="63"/>
      <c r="AB43" s="63"/>
      <c r="AC43" s="63"/>
      <c r="AD43" s="63"/>
      <c r="AE43" s="63"/>
      <c r="AF43" s="63"/>
      <c r="AG43" s="63"/>
      <c r="AH43" s="63"/>
      <c r="AI43" s="63"/>
      <c r="AJ43" s="63"/>
      <c r="AK43" s="63"/>
      <c r="AL43" s="63"/>
      <c r="AM43" s="63"/>
      <c r="AN43" s="63"/>
      <c r="AO43" s="63"/>
    </row>
    <row r="44" spans="1:41" ht="15.75" customHeight="1">
      <c r="A44" s="65" t="s">
        <v>174</v>
      </c>
      <c r="B44" s="221">
        <f>('Pivot Table for Data Exchange'!$C$114)*100</f>
        <v>79.147252444894988</v>
      </c>
      <c r="C44" s="221">
        <f>('Pivot Table for Data Exchange'!$C$117)*100</f>
        <v>9.9227248325397284</v>
      </c>
      <c r="D44" s="227">
        <f t="shared" si="4"/>
        <v>10.805515515557829</v>
      </c>
      <c r="E44" s="221">
        <f>('Pivot Table for Data Exchange'!$C$120)*100</f>
        <v>10.608993954867675</v>
      </c>
      <c r="F44" s="221">
        <f>('Pivot Table for Data Exchange'!$C$123)*100</f>
        <v>0.19600278066095653</v>
      </c>
      <c r="G44" s="232">
        <f>('Pivot Table for Data Exchange'!$C$126)*100</f>
        <v>5.1878002919770864E-4</v>
      </c>
      <c r="H44" s="221">
        <f>('Pivot Table for Data Exchange'!$C$129)*100</f>
        <v>0.12450720700745008</v>
      </c>
      <c r="I44" s="87" t="s">
        <v>174</v>
      </c>
      <c r="J44" s="221">
        <f>('Pivot Table for Data Exchange'!$C$132)*100</f>
        <v>78.681841746790241</v>
      </c>
      <c r="K44" s="221">
        <f>('Pivot Table for Data Exchange'!$C$135)*100</f>
        <v>7.5069178392506863</v>
      </c>
      <c r="L44" s="227">
        <f t="shared" si="5"/>
        <v>13.550869186337399</v>
      </c>
      <c r="M44" s="221">
        <f>('Pivot Table for Data Exchange'!$C$138)*100</f>
        <v>13.469811168004812</v>
      </c>
      <c r="N44" s="221">
        <f>('Pivot Table for Data Exchange'!$C$141)*100</f>
        <v>6.4564823535386701E-2</v>
      </c>
      <c r="O44" s="68">
        <f>('Pivot Table for Data Exchange'!$C$144)*100</f>
        <v>1.6493194797201589E-2</v>
      </c>
      <c r="P44" s="221">
        <f>('Pivot Table for Data Exchange'!$C$147)*100</f>
        <v>0.2603712276216763</v>
      </c>
      <c r="Q44" s="97">
        <f t="shared" si="3"/>
        <v>100</v>
      </c>
      <c r="R44" s="97">
        <f t="shared" si="2"/>
        <v>100</v>
      </c>
      <c r="S44" s="63"/>
      <c r="U44" s="63"/>
      <c r="V44" s="63"/>
      <c r="W44" s="63"/>
      <c r="X44" s="63"/>
      <c r="Y44" s="63"/>
      <c r="Z44" s="63"/>
      <c r="AA44" s="63"/>
      <c r="AB44" s="63"/>
      <c r="AC44" s="63"/>
      <c r="AD44" s="63"/>
      <c r="AE44" s="63"/>
      <c r="AF44" s="63"/>
      <c r="AG44" s="63"/>
      <c r="AH44" s="63"/>
      <c r="AI44" s="63"/>
      <c r="AJ44" s="63"/>
      <c r="AK44" s="63"/>
      <c r="AL44" s="63"/>
      <c r="AM44" s="63"/>
      <c r="AN44" s="63"/>
      <c r="AO44" s="63"/>
    </row>
    <row r="45" spans="1:41" ht="10.5" customHeight="1">
      <c r="A45" s="65"/>
      <c r="B45" s="221"/>
      <c r="C45" s="221"/>
      <c r="D45" s="227"/>
      <c r="E45" s="221"/>
      <c r="F45" s="221"/>
      <c r="G45" s="223"/>
      <c r="H45" s="221"/>
      <c r="I45" s="87"/>
      <c r="J45" s="221"/>
      <c r="K45" s="221"/>
      <c r="L45" s="227"/>
      <c r="M45" s="221"/>
      <c r="N45" s="221"/>
      <c r="O45" s="223"/>
      <c r="P45" s="221"/>
      <c r="Q45" s="97">
        <f t="shared" si="3"/>
        <v>0</v>
      </c>
      <c r="R45" s="97">
        <f t="shared" si="2"/>
        <v>0</v>
      </c>
      <c r="S45" s="63"/>
      <c r="U45" s="63"/>
      <c r="V45" s="63"/>
      <c r="W45" s="63"/>
      <c r="X45" s="63"/>
      <c r="Y45" s="63"/>
      <c r="Z45" s="63"/>
      <c r="AA45" s="63"/>
      <c r="AB45" s="63"/>
      <c r="AC45" s="63"/>
      <c r="AD45" s="63"/>
      <c r="AE45" s="63"/>
      <c r="AF45" s="63"/>
      <c r="AG45" s="63"/>
      <c r="AH45" s="63"/>
      <c r="AI45" s="63"/>
      <c r="AJ45" s="63"/>
      <c r="AK45" s="63"/>
      <c r="AL45" s="63"/>
      <c r="AM45" s="63"/>
      <c r="AN45" s="63"/>
      <c r="AO45" s="63"/>
    </row>
    <row r="46" spans="1:41" ht="15.75" customHeight="1">
      <c r="A46" s="65" t="s">
        <v>145</v>
      </c>
      <c r="B46" s="221">
        <f>('Pivot Table for Data Exchange'!$C$150)*100</f>
        <v>0</v>
      </c>
      <c r="C46" s="221">
        <f>('Pivot Table for Data Exchange'!$C$153)*100</f>
        <v>0</v>
      </c>
      <c r="D46" s="227">
        <f t="shared" ref="D46:D49" si="6">SUM(E46:G46)</f>
        <v>0</v>
      </c>
      <c r="E46" s="221">
        <f>('Pivot Table for Data Exchange'!$C$156)*100</f>
        <v>0</v>
      </c>
      <c r="F46" s="221">
        <f>('Pivot Table for Data Exchange'!$C$159)*100</f>
        <v>0</v>
      </c>
      <c r="G46" s="223">
        <f>('Pivot Table for Data Exchange'!$C$162)*100</f>
        <v>0</v>
      </c>
      <c r="H46" s="221">
        <f>('Pivot Table for Data Exchange'!$C$165)*100</f>
        <v>0</v>
      </c>
      <c r="I46" s="87" t="s">
        <v>145</v>
      </c>
      <c r="J46" s="221">
        <f>('Pivot Table for Data Exchange'!$C$168)*100</f>
        <v>0</v>
      </c>
      <c r="K46" s="221">
        <f>('Pivot Table for Data Exchange'!$C$171)*100</f>
        <v>0</v>
      </c>
      <c r="L46" s="227">
        <f t="shared" ref="L46:L49" si="7">SUM(M46:O46)</f>
        <v>0</v>
      </c>
      <c r="M46" s="221">
        <f>('Pivot Table for Data Exchange'!$C$174)*100</f>
        <v>0</v>
      </c>
      <c r="N46" s="221">
        <f>('Pivot Table for Data Exchange'!$C$177)*100</f>
        <v>0</v>
      </c>
      <c r="O46" s="223">
        <f>('Pivot Table for Data Exchange'!$C$180)*100</f>
        <v>0</v>
      </c>
      <c r="P46" s="221">
        <f>('Pivot Table for Data Exchange'!$C$183)*100</f>
        <v>0</v>
      </c>
      <c r="Q46" s="97">
        <f t="shared" si="3"/>
        <v>0</v>
      </c>
      <c r="R46" s="97">
        <f t="shared" si="2"/>
        <v>0</v>
      </c>
      <c r="S46" s="63"/>
      <c r="T46" s="63"/>
      <c r="U46" s="63"/>
      <c r="V46" s="63"/>
      <c r="W46" s="63"/>
      <c r="X46" s="63"/>
      <c r="Y46" s="63"/>
      <c r="Z46" s="63"/>
      <c r="AA46" s="63"/>
      <c r="AB46" s="63"/>
      <c r="AC46" s="63"/>
      <c r="AD46" s="63"/>
      <c r="AE46" s="63"/>
      <c r="AF46" s="63"/>
      <c r="AG46" s="63"/>
      <c r="AH46" s="63"/>
      <c r="AI46" s="63"/>
      <c r="AJ46" s="63"/>
      <c r="AK46" s="63"/>
      <c r="AL46" s="63"/>
      <c r="AM46" s="63"/>
      <c r="AN46" s="63"/>
      <c r="AO46" s="63"/>
    </row>
    <row r="47" spans="1:41" ht="15.75" customHeight="1">
      <c r="A47" s="65" t="s">
        <v>146</v>
      </c>
      <c r="B47" s="221">
        <f>('Pivot Table for Data Exchange'!$C$186)*100</f>
        <v>91.84121318640797</v>
      </c>
      <c r="C47" s="221">
        <f>('Pivot Table for Data Exchange'!$C$189)*100</f>
        <v>1.6542631169166915</v>
      </c>
      <c r="D47" s="227">
        <f t="shared" si="6"/>
        <v>6.5045236966753412</v>
      </c>
      <c r="E47" s="221">
        <f>('Pivot Table for Data Exchange'!$C$192)*100</f>
        <v>6.2057162210774504</v>
      </c>
      <c r="F47" s="221">
        <f>('Pivot Table for Data Exchange'!$C$195)*100</f>
        <v>0.2988074755978905</v>
      </c>
      <c r="G47" s="235">
        <f>('Pivot Table for Data Exchange'!$C$198)*100</f>
        <v>0</v>
      </c>
      <c r="H47" s="221">
        <f>('Pivot Table for Data Exchange'!$C$201)*100</f>
        <v>0</v>
      </c>
      <c r="I47" s="87" t="s">
        <v>146</v>
      </c>
      <c r="J47" s="221">
        <f>('Pivot Table for Data Exchange'!$C$204)*100</f>
        <v>83.692590784483073</v>
      </c>
      <c r="K47" s="221">
        <f>('Pivot Table for Data Exchange'!$C$207)*100</f>
        <v>4.2578892685918861</v>
      </c>
      <c r="L47" s="227">
        <f t="shared" si="7"/>
        <v>12.049519946925033</v>
      </c>
      <c r="M47" s="221">
        <f>('Pivot Table for Data Exchange'!$C$210)*100</f>
        <v>11.477461914954874</v>
      </c>
      <c r="N47" s="221">
        <f>('Pivot Table for Data Exchange'!$C$213)*100</f>
        <v>0.57205803197015792</v>
      </c>
      <c r="O47" s="232">
        <f>('Pivot Table for Data Exchange'!$C$216)*100</f>
        <v>0</v>
      </c>
      <c r="P47" s="221">
        <f>('Pivot Table for Data Exchange'!$C$219)*100</f>
        <v>0</v>
      </c>
      <c r="Q47" s="97">
        <f t="shared" si="3"/>
        <v>100</v>
      </c>
      <c r="R47" s="97">
        <f t="shared" si="2"/>
        <v>99.999999999999986</v>
      </c>
      <c r="S47" s="63"/>
      <c r="T47" s="63"/>
      <c r="U47" s="63"/>
      <c r="V47" s="63"/>
      <c r="W47" s="63"/>
      <c r="X47" s="63"/>
      <c r="Y47" s="63"/>
      <c r="Z47" s="63"/>
      <c r="AA47" s="63"/>
      <c r="AB47" s="63"/>
      <c r="AC47" s="63"/>
      <c r="AD47" s="63"/>
      <c r="AE47" s="63"/>
      <c r="AF47" s="63"/>
      <c r="AG47" s="63"/>
      <c r="AH47" s="63"/>
      <c r="AI47" s="63"/>
      <c r="AJ47" s="63"/>
      <c r="AK47" s="63"/>
      <c r="AL47" s="63"/>
      <c r="AM47" s="63"/>
      <c r="AN47" s="63"/>
      <c r="AO47" s="63"/>
    </row>
    <row r="48" spans="1:41" ht="15.75" customHeight="1">
      <c r="A48" s="65" t="s">
        <v>147</v>
      </c>
      <c r="B48" s="221">
        <f>('Pivot Table for Data Exchange'!$C$222)*100</f>
        <v>0</v>
      </c>
      <c r="C48" s="221">
        <f>('Pivot Table for Data Exchange'!$C$225)*100</f>
        <v>0</v>
      </c>
      <c r="D48" s="227">
        <f t="shared" si="6"/>
        <v>0</v>
      </c>
      <c r="E48" s="221">
        <f>('Pivot Table for Data Exchange'!$C$228)*100</f>
        <v>0</v>
      </c>
      <c r="F48" s="221">
        <f>('Pivot Table for Data Exchange'!$C$231)*100</f>
        <v>0</v>
      </c>
      <c r="G48" s="223">
        <f>('Pivot Table for Data Exchange'!$C$234)*100</f>
        <v>0</v>
      </c>
      <c r="H48" s="221">
        <f>('Pivot Table for Data Exchange'!$C$237)*100</f>
        <v>0</v>
      </c>
      <c r="I48" s="87" t="s">
        <v>147</v>
      </c>
      <c r="J48" s="221">
        <f>('Pivot Table for Data Exchange'!$C$240)*100</f>
        <v>0</v>
      </c>
      <c r="K48" s="221">
        <f>('Pivot Table for Data Exchange'!$C$243)*100</f>
        <v>0</v>
      </c>
      <c r="L48" s="227">
        <f t="shared" si="7"/>
        <v>0</v>
      </c>
      <c r="M48" s="221">
        <f>('Pivot Table for Data Exchange'!$C$246)*100</f>
        <v>0</v>
      </c>
      <c r="N48" s="221">
        <f>('Pivot Table for Data Exchange'!$C$249)*100</f>
        <v>0</v>
      </c>
      <c r="O48" s="223">
        <f>('Pivot Table for Data Exchange'!$C$252)*100</f>
        <v>0</v>
      </c>
      <c r="P48" s="221">
        <f>('Pivot Table for Data Exchange'!$C$255)*100</f>
        <v>0</v>
      </c>
      <c r="Q48" s="97">
        <f t="shared" si="3"/>
        <v>0</v>
      </c>
      <c r="R48" s="97">
        <f t="shared" si="2"/>
        <v>0</v>
      </c>
      <c r="S48" s="63"/>
      <c r="T48" s="74"/>
      <c r="U48" s="63"/>
      <c r="V48" s="63"/>
      <c r="W48" s="63"/>
      <c r="X48" s="63"/>
      <c r="Y48" s="63"/>
      <c r="Z48" s="63"/>
      <c r="AA48" s="63"/>
      <c r="AB48" s="63"/>
      <c r="AC48" s="63"/>
      <c r="AD48" s="63"/>
      <c r="AE48" s="63"/>
      <c r="AF48" s="63"/>
      <c r="AG48" s="63"/>
      <c r="AH48" s="63"/>
      <c r="AI48" s="63"/>
      <c r="AJ48" s="63"/>
      <c r="AK48" s="63"/>
      <c r="AL48" s="63"/>
      <c r="AM48" s="63"/>
      <c r="AN48" s="63"/>
      <c r="AO48" s="63"/>
    </row>
    <row r="49" spans="1:41" ht="15.75" customHeight="1">
      <c r="A49" s="65" t="s">
        <v>177</v>
      </c>
      <c r="B49" s="221">
        <f>('Pivot Table for Data Exchange'!$C$258)*100</f>
        <v>95.008476579477787</v>
      </c>
      <c r="C49" s="221">
        <f>('Pivot Table for Data Exchange'!$C$261)*100</f>
        <v>2.687215488121351</v>
      </c>
      <c r="D49" s="227">
        <f t="shared" si="6"/>
        <v>2.3043079324008673</v>
      </c>
      <c r="E49" s="221">
        <f>('Pivot Table for Data Exchange'!$C$264)*100</f>
        <v>2.1579058400709643</v>
      </c>
      <c r="F49" s="221">
        <f>('Pivot Table for Data Exchange'!$C$267)*100</f>
        <v>0.14640209232990287</v>
      </c>
      <c r="G49" s="223">
        <f>('Pivot Table for Data Exchange'!$C$270)*100</f>
        <v>0</v>
      </c>
      <c r="H49" s="221">
        <f>('Pivot Table for Data Exchange'!$C$273)*100</f>
        <v>0</v>
      </c>
      <c r="I49" s="87" t="s">
        <v>177</v>
      </c>
      <c r="J49" s="221">
        <f>('Pivot Table for Data Exchange'!$C$276)*100</f>
        <v>75.78836495356515</v>
      </c>
      <c r="K49" s="221">
        <f>('Pivot Table for Data Exchange'!$C$279)*100</f>
        <v>19.376758166240641</v>
      </c>
      <c r="L49" s="227">
        <f t="shared" si="7"/>
        <v>4.8348768801942166</v>
      </c>
      <c r="M49" s="221">
        <f>('Pivot Table for Data Exchange'!$C$282)*100</f>
        <v>4.2587763805217653</v>
      </c>
      <c r="N49" s="221">
        <f>('Pivot Table for Data Exchange'!$C$285)*100</f>
        <v>0.57610049967245125</v>
      </c>
      <c r="O49" s="223">
        <f>('Pivot Table for Data Exchange'!$C$288)*100</f>
        <v>0</v>
      </c>
      <c r="P49" s="221">
        <f>('Pivot Table for Data Exchange'!$C$291)*100</f>
        <v>0</v>
      </c>
      <c r="Q49" s="97">
        <f t="shared" si="3"/>
        <v>100</v>
      </c>
      <c r="R49" s="97">
        <f t="shared" si="2"/>
        <v>100.00000000000001</v>
      </c>
      <c r="S49" s="63"/>
      <c r="U49" s="63"/>
      <c r="V49" s="63"/>
      <c r="W49" s="63"/>
      <c r="X49" s="63"/>
      <c r="Y49" s="63"/>
      <c r="Z49" s="63"/>
      <c r="AA49" s="63"/>
      <c r="AB49" s="63"/>
      <c r="AC49" s="63"/>
      <c r="AD49" s="63"/>
      <c r="AE49" s="63"/>
      <c r="AF49" s="63"/>
      <c r="AG49" s="63"/>
      <c r="AH49" s="63"/>
      <c r="AI49" s="63"/>
      <c r="AJ49" s="63"/>
      <c r="AK49" s="63"/>
      <c r="AL49" s="63"/>
      <c r="AM49" s="63"/>
      <c r="AN49" s="63"/>
      <c r="AO49" s="63"/>
    </row>
    <row r="50" spans="1:41" ht="12" customHeight="1">
      <c r="A50" s="65"/>
      <c r="B50" s="221"/>
      <c r="C50" s="221"/>
      <c r="D50" s="227"/>
      <c r="E50" s="221"/>
      <c r="F50" s="221"/>
      <c r="G50" s="223"/>
      <c r="H50" s="221"/>
      <c r="I50" s="87"/>
      <c r="J50" s="221"/>
      <c r="K50" s="221"/>
      <c r="L50" s="227"/>
      <c r="M50" s="221"/>
      <c r="N50" s="221"/>
      <c r="O50" s="223"/>
      <c r="P50" s="221"/>
      <c r="Q50" s="97">
        <f t="shared" si="3"/>
        <v>0</v>
      </c>
      <c r="R50" s="97">
        <f t="shared" si="2"/>
        <v>0</v>
      </c>
      <c r="S50" s="63"/>
      <c r="U50" s="63"/>
      <c r="V50" s="63"/>
      <c r="W50" s="63"/>
      <c r="X50" s="63"/>
      <c r="Y50" s="63"/>
      <c r="Z50" s="63"/>
      <c r="AA50" s="63"/>
      <c r="AB50" s="63"/>
      <c r="AC50" s="63"/>
      <c r="AD50" s="63"/>
      <c r="AE50" s="63"/>
      <c r="AF50" s="63"/>
      <c r="AG50" s="63"/>
      <c r="AH50" s="63"/>
      <c r="AI50" s="63"/>
      <c r="AJ50" s="63"/>
      <c r="AK50" s="63"/>
      <c r="AL50" s="63"/>
      <c r="AM50" s="63"/>
      <c r="AN50" s="63"/>
      <c r="AO50" s="63"/>
    </row>
    <row r="51" spans="1:41" ht="15.75" customHeight="1">
      <c r="A51" s="65" t="s">
        <v>148</v>
      </c>
      <c r="B51" s="221">
        <f>('Pivot Table for Data Exchange'!$C$294)*100</f>
        <v>84.62976159067766</v>
      </c>
      <c r="C51" s="221">
        <f>('Pivot Table for Data Exchange'!$C$297)*100</f>
        <v>6.5034285672016425</v>
      </c>
      <c r="D51" s="227">
        <f t="shared" ref="D51:D53" si="8">SUM(E51:G51)</f>
        <v>8.8668098421207073</v>
      </c>
      <c r="E51" s="221">
        <f>('Pivot Table for Data Exchange'!$C$300)*100</f>
        <v>8.0017161328819455</v>
      </c>
      <c r="F51" s="221">
        <f>('Pivot Table for Data Exchange'!$C$303)*100</f>
        <v>0.86509370923876194</v>
      </c>
      <c r="G51" s="232">
        <f>('Pivot Table for Data Exchange'!$C$306)*100</f>
        <v>0</v>
      </c>
      <c r="H51" s="234">
        <f>('Pivot Table for Data Exchange'!$C$309)*100</f>
        <v>0</v>
      </c>
      <c r="I51" s="87" t="s">
        <v>148</v>
      </c>
      <c r="J51" s="221">
        <f>('Pivot Table for Data Exchange'!$C$312)*100</f>
        <v>66.233538499307343</v>
      </c>
      <c r="K51" s="221">
        <f>('Pivot Table for Data Exchange'!$C$315)*100</f>
        <v>7.464885054447894</v>
      </c>
      <c r="L51" s="227">
        <f t="shared" ref="L51:L53" si="9">SUM(M51:O51)</f>
        <v>26.301576446244763</v>
      </c>
      <c r="M51" s="221">
        <f>('Pivot Table for Data Exchange'!$C$318)*100</f>
        <v>25.885983832219829</v>
      </c>
      <c r="N51" s="221">
        <f>('Pivot Table for Data Exchange'!$C$321)*100</f>
        <v>0.41559261402493552</v>
      </c>
      <c r="O51" s="68">
        <f>('Pivot Table for Data Exchange'!$C$324)*100</f>
        <v>0</v>
      </c>
      <c r="P51" s="67">
        <f>('Pivot Table for Data Exchange'!$C$327)*100</f>
        <v>0</v>
      </c>
      <c r="Q51" s="97">
        <f t="shared" si="3"/>
        <v>100</v>
      </c>
      <c r="R51" s="97">
        <f t="shared" si="2"/>
        <v>100</v>
      </c>
      <c r="S51" s="63"/>
      <c r="T51" s="63"/>
      <c r="U51" s="63"/>
      <c r="V51" s="63"/>
      <c r="W51" s="63"/>
      <c r="X51" s="63"/>
      <c r="Y51" s="63"/>
      <c r="Z51" s="63"/>
      <c r="AA51" s="63"/>
      <c r="AB51" s="63"/>
      <c r="AC51" s="63"/>
      <c r="AD51" s="63"/>
      <c r="AE51" s="63"/>
      <c r="AF51" s="63"/>
      <c r="AG51" s="63"/>
      <c r="AH51" s="63"/>
      <c r="AI51" s="63"/>
      <c r="AJ51" s="63"/>
      <c r="AK51" s="63"/>
      <c r="AL51" s="63"/>
      <c r="AM51" s="63"/>
      <c r="AN51" s="63"/>
      <c r="AO51" s="63"/>
    </row>
    <row r="52" spans="1:41" ht="15.75" customHeight="1">
      <c r="A52" s="65" t="s">
        <v>149</v>
      </c>
      <c r="B52" s="221">
        <f>('Pivot Table for Data Exchange'!$C$330)*100</f>
        <v>90.106973395387826</v>
      </c>
      <c r="C52" s="221">
        <f>('Pivot Table for Data Exchange'!$C$333)*100</f>
        <v>0.23425586100609047</v>
      </c>
      <c r="D52" s="227">
        <f t="shared" si="8"/>
        <v>9.6587707436060821</v>
      </c>
      <c r="E52" s="221">
        <f>('Pivot Table for Data Exchange'!$C$336)*100</f>
        <v>9.6042654444048186</v>
      </c>
      <c r="F52" s="67">
        <f>('Pivot Table for Data Exchange'!$C$339)*100</f>
        <v>1.0478328971860065E-2</v>
      </c>
      <c r="G52" s="68">
        <f>('Pivot Table for Data Exchange'!$C$342)*100</f>
        <v>4.4026970229403453E-2</v>
      </c>
      <c r="H52" s="221">
        <f>('Pivot Table for Data Exchange'!$C$345)*100</f>
        <v>0</v>
      </c>
      <c r="I52" s="87" t="s">
        <v>149</v>
      </c>
      <c r="J52" s="221">
        <f>('Pivot Table for Data Exchange'!$C$348)*100</f>
        <v>81.150489438325735</v>
      </c>
      <c r="K52" s="221">
        <f>('Pivot Table for Data Exchange'!$C$351)*100</f>
        <v>4.9151479431425154</v>
      </c>
      <c r="L52" s="227">
        <f t="shared" si="9"/>
        <v>13.934362618531749</v>
      </c>
      <c r="M52" s="221">
        <f>('Pivot Table for Data Exchange'!$C$354)*100</f>
        <v>13.556613132929646</v>
      </c>
      <c r="N52" s="61">
        <f>('Pivot Table for Data Exchange'!$C$357)*100</f>
        <v>4.4046303151827606E-3</v>
      </c>
      <c r="O52" s="223">
        <f>('Pivot Table for Data Exchange'!$C$360)*100</f>
        <v>0.37334485528691974</v>
      </c>
      <c r="P52" s="221">
        <f>('Pivot Table for Data Exchange'!$C$363)*100</f>
        <v>0</v>
      </c>
      <c r="Q52" s="97">
        <f t="shared" si="3"/>
        <v>100</v>
      </c>
      <c r="R52" s="97">
        <f t="shared" si="2"/>
        <v>100</v>
      </c>
      <c r="S52" s="63"/>
      <c r="T52" s="63"/>
      <c r="U52" s="63"/>
      <c r="V52" s="63"/>
      <c r="W52" s="63"/>
      <c r="X52" s="63"/>
      <c r="Y52" s="63"/>
      <c r="Z52" s="63"/>
      <c r="AA52" s="63"/>
      <c r="AB52" s="63"/>
      <c r="AC52" s="63"/>
      <c r="AD52" s="63"/>
      <c r="AE52" s="63"/>
      <c r="AF52" s="63"/>
      <c r="AG52" s="63"/>
      <c r="AH52" s="63"/>
      <c r="AI52" s="63"/>
      <c r="AJ52" s="63"/>
      <c r="AK52" s="63"/>
      <c r="AL52" s="63"/>
      <c r="AM52" s="63"/>
      <c r="AN52" s="63"/>
      <c r="AO52" s="63"/>
    </row>
    <row r="53" spans="1:41" ht="15.75" customHeight="1">
      <c r="A53" s="65" t="s">
        <v>150</v>
      </c>
      <c r="B53" s="221">
        <f>('Pivot Table for Data Exchange'!$C$366)*100</f>
        <v>86.921735959984957</v>
      </c>
      <c r="C53" s="221">
        <f>('Pivot Table for Data Exchange'!$C$369)*100</f>
        <v>0.95586420104747039</v>
      </c>
      <c r="D53" s="227">
        <f t="shared" si="8"/>
        <v>11.983623305646388</v>
      </c>
      <c r="E53" s="221">
        <f>('Pivot Table for Data Exchange'!$C$372)*100</f>
        <v>10.082529120664182</v>
      </c>
      <c r="F53" s="221">
        <f>('Pivot Table for Data Exchange'!$C$375)*100</f>
        <v>1.6600012912977924</v>
      </c>
      <c r="G53" s="223">
        <f>('Pivot Table for Data Exchange'!$C$378)*100</f>
        <v>0.24109289368441442</v>
      </c>
      <c r="H53" s="221">
        <f>('Pivot Table for Data Exchange'!$C$381)*100</f>
        <v>0.13877653332117995</v>
      </c>
      <c r="I53" s="87" t="s">
        <v>150</v>
      </c>
      <c r="J53" s="221">
        <f>('Pivot Table for Data Exchange'!$C$384)*100</f>
        <v>76.424939438591124</v>
      </c>
      <c r="K53" s="221">
        <f>('Pivot Table for Data Exchange'!$C$387)*100</f>
        <v>5.7901715225625843</v>
      </c>
      <c r="L53" s="227">
        <f t="shared" si="9"/>
        <v>17.393974699960722</v>
      </c>
      <c r="M53" s="221">
        <f>('Pivot Table for Data Exchange'!$C$390)*100</f>
        <v>11.378427749382523</v>
      </c>
      <c r="N53" s="221">
        <f>('Pivot Table for Data Exchange'!$C$393)*100</f>
        <v>4.9838283245511601</v>
      </c>
      <c r="O53" s="223">
        <f>('Pivot Table for Data Exchange'!$C$396)*100</f>
        <v>1.0317186260270399</v>
      </c>
      <c r="P53" s="221">
        <f>('Pivot Table for Data Exchange'!$C$399)*100</f>
        <v>0.3909143388855647</v>
      </c>
      <c r="Q53" s="97">
        <f t="shared" si="3"/>
        <v>100</v>
      </c>
      <c r="R53" s="97">
        <f t="shared" si="2"/>
        <v>100</v>
      </c>
      <c r="S53" s="63"/>
      <c r="T53" s="74"/>
      <c r="U53" s="63"/>
      <c r="V53" s="63"/>
      <c r="W53" s="63"/>
      <c r="X53" s="63"/>
      <c r="Y53" s="63"/>
      <c r="Z53" s="63"/>
      <c r="AA53" s="63"/>
      <c r="AB53" s="63"/>
      <c r="AC53" s="63"/>
      <c r="AD53" s="63"/>
      <c r="AE53" s="63"/>
      <c r="AF53" s="63"/>
      <c r="AG53" s="63"/>
      <c r="AH53" s="63"/>
      <c r="AI53" s="63"/>
      <c r="AJ53" s="63"/>
      <c r="AK53" s="63"/>
      <c r="AL53" s="63"/>
      <c r="AM53" s="63"/>
      <c r="AN53" s="63"/>
      <c r="AO53" s="63"/>
    </row>
    <row r="54" spans="1:41" ht="15.75" customHeight="1">
      <c r="A54" s="65" t="s">
        <v>151</v>
      </c>
      <c r="B54" s="221">
        <f>('Pivot Table for Data Exchange'!$C$402)*100</f>
        <v>92.551853699967296</v>
      </c>
      <c r="C54" s="221">
        <f>('Pivot Table for Data Exchange'!$C$405)*100</f>
        <v>2.1414836831494459</v>
      </c>
      <c r="D54" s="227">
        <f>SUM(E54:G54)</f>
        <v>5.3066626168832576</v>
      </c>
      <c r="E54" s="221">
        <f>('Pivot Table for Data Exchange'!$C$408)*100</f>
        <v>5.1032895651384358</v>
      </c>
      <c r="F54" s="221">
        <f>('Pivot Table for Data Exchange'!$C$411)*100</f>
        <v>0.127680671364094</v>
      </c>
      <c r="G54" s="223">
        <f>('Pivot Table for Data Exchange'!$C$414)*100</f>
        <v>7.5692380380727856E-2</v>
      </c>
      <c r="H54" s="221">
        <f>('Pivot Table for Data Exchange'!$C$417)*100</f>
        <v>0</v>
      </c>
      <c r="I54" s="87" t="s">
        <v>151</v>
      </c>
      <c r="J54" s="221">
        <f>('Pivot Table for Data Exchange'!$C$420)*100</f>
        <v>68.349828632649761</v>
      </c>
      <c r="K54" s="221">
        <f>('Pivot Table for Data Exchange'!$C$423)*100</f>
        <v>12.404499758161403</v>
      </c>
      <c r="L54" s="227">
        <f>SUM(M54:O54)</f>
        <v>19.245671609188825</v>
      </c>
      <c r="M54" s="221">
        <f>('Pivot Table for Data Exchange'!$C$426)*100</f>
        <v>16.44034387888307</v>
      </c>
      <c r="N54" s="221">
        <f>('Pivot Table for Data Exchange'!$C$429)*100</f>
        <v>0.98763762696526358</v>
      </c>
      <c r="O54" s="223">
        <f>('Pivot Table for Data Exchange'!$C$432)*100</f>
        <v>1.8176901033404931</v>
      </c>
      <c r="P54" s="221">
        <f>('Pivot Table for Data Exchange'!$C$435)*100</f>
        <v>0</v>
      </c>
      <c r="Q54" s="97">
        <f t="shared" si="3"/>
        <v>100</v>
      </c>
      <c r="R54" s="97">
        <f t="shared" si="2"/>
        <v>100</v>
      </c>
      <c r="S54" s="63"/>
      <c r="T54" s="63"/>
      <c r="U54" s="63"/>
      <c r="V54" s="63"/>
      <c r="W54" s="63"/>
      <c r="X54" s="63"/>
      <c r="Y54" s="63"/>
      <c r="Z54" s="63"/>
      <c r="AA54" s="63"/>
      <c r="AB54" s="63"/>
      <c r="AC54" s="63"/>
      <c r="AD54" s="63"/>
      <c r="AE54" s="63"/>
      <c r="AF54" s="63"/>
      <c r="AG54" s="63"/>
      <c r="AH54" s="63"/>
      <c r="AI54" s="63"/>
      <c r="AJ54" s="63"/>
      <c r="AK54" s="63"/>
      <c r="AL54" s="63"/>
      <c r="AM54" s="63"/>
      <c r="AN54" s="63"/>
      <c r="AO54" s="63"/>
    </row>
    <row r="55" spans="1:41" ht="14.25" customHeight="1">
      <c r="A55" s="65"/>
      <c r="B55" s="221"/>
      <c r="C55" s="221"/>
      <c r="D55" s="227"/>
      <c r="E55" s="221"/>
      <c r="F55" s="221"/>
      <c r="G55" s="223"/>
      <c r="H55" s="221"/>
      <c r="I55" s="87"/>
      <c r="J55" s="221"/>
      <c r="K55" s="221"/>
      <c r="L55" s="227"/>
      <c r="M55" s="221"/>
      <c r="N55" s="221"/>
      <c r="O55" s="223"/>
      <c r="P55" s="221"/>
      <c r="Q55" s="97">
        <f t="shared" si="3"/>
        <v>0</v>
      </c>
      <c r="R55" s="97">
        <f t="shared" si="2"/>
        <v>0</v>
      </c>
      <c r="S55" s="63"/>
      <c r="T55" s="63"/>
      <c r="U55" s="63"/>
      <c r="V55" s="63"/>
      <c r="W55" s="63"/>
      <c r="X55" s="63"/>
      <c r="Y55" s="63"/>
      <c r="Z55" s="63"/>
      <c r="AA55" s="63"/>
      <c r="AB55" s="63"/>
      <c r="AC55" s="63"/>
      <c r="AD55" s="63"/>
      <c r="AE55" s="63"/>
      <c r="AF55" s="63"/>
      <c r="AG55" s="63"/>
      <c r="AH55" s="63"/>
      <c r="AI55" s="63"/>
      <c r="AJ55" s="63"/>
      <c r="AK55" s="63"/>
      <c r="AL55" s="63"/>
      <c r="AM55" s="63"/>
      <c r="AN55" s="63"/>
      <c r="AO55" s="63"/>
    </row>
    <row r="56" spans="1:41" ht="15.75" customHeight="1">
      <c r="A56" s="65" t="s">
        <v>152</v>
      </c>
      <c r="B56" s="221">
        <f>('Pivot Table for Data Exchange'!$C$438)*100</f>
        <v>88.222595322577092</v>
      </c>
      <c r="C56" s="221">
        <f>('Pivot Table for Data Exchange'!$C$441)*100</f>
        <v>2.0160442057136447</v>
      </c>
      <c r="D56" s="227">
        <f>SUM(E56:G56)</f>
        <v>9.0748535926158187</v>
      </c>
      <c r="E56" s="221">
        <f>('Pivot Table for Data Exchange'!$C$444)*100</f>
        <v>6.9411024581213772</v>
      </c>
      <c r="F56" s="234">
        <f>('Pivot Table for Data Exchange'!$C$447)*100</f>
        <v>3.0052832880203393E-4</v>
      </c>
      <c r="G56" s="223">
        <f>('Pivot Table for Data Exchange'!$C$450)*100</f>
        <v>2.1334506061656393</v>
      </c>
      <c r="H56" s="221">
        <f>('Pivot Table for Data Exchange'!$C$453)*100</f>
        <v>0.68650687909344632</v>
      </c>
      <c r="I56" s="87" t="s">
        <v>152</v>
      </c>
      <c r="J56" s="221">
        <f>('Pivot Table for Data Exchange'!$C$456)*100</f>
        <v>71.146677684013852</v>
      </c>
      <c r="K56" s="221">
        <f>('Pivot Table for Data Exchange'!$C$459)*100</f>
        <v>2.0503365326805145</v>
      </c>
      <c r="L56" s="227">
        <f>SUM(M56:O56)</f>
        <v>21.535624982656927</v>
      </c>
      <c r="M56" s="221">
        <f>('Pivot Table for Data Exchange'!$C$462)*100</f>
        <v>18.638021563990538</v>
      </c>
      <c r="N56" s="221">
        <f>('Pivot Table for Data Exchange'!$C$465)*100</f>
        <v>0.1732765611077367</v>
      </c>
      <c r="O56" s="223">
        <f>('Pivot Table for Data Exchange'!$C$468)*100</f>
        <v>2.7243268575586503</v>
      </c>
      <c r="P56" s="221">
        <f>('Pivot Table for Data Exchange'!$C$471)*100</f>
        <v>5.2673608006487083</v>
      </c>
      <c r="Q56" s="97">
        <f t="shared" si="3"/>
        <v>100</v>
      </c>
      <c r="R56" s="97">
        <f t="shared" si="2"/>
        <v>100</v>
      </c>
      <c r="S56" s="63"/>
      <c r="T56" s="63"/>
      <c r="U56" s="63"/>
      <c r="V56" s="63"/>
      <c r="W56" s="63"/>
      <c r="X56" s="63"/>
      <c r="Y56" s="63"/>
      <c r="Z56" s="63"/>
      <c r="AA56" s="63"/>
      <c r="AB56" s="63"/>
      <c r="AC56" s="63"/>
      <c r="AD56" s="63"/>
      <c r="AE56" s="63"/>
      <c r="AF56" s="63"/>
      <c r="AG56" s="63"/>
      <c r="AH56" s="63"/>
      <c r="AI56" s="63"/>
      <c r="AJ56" s="63"/>
      <c r="AK56" s="63"/>
      <c r="AL56" s="63"/>
      <c r="AM56" s="63"/>
      <c r="AN56" s="63"/>
      <c r="AO56" s="63"/>
    </row>
    <row r="57" spans="1:41" ht="15.75" customHeight="1">
      <c r="A57" s="65" t="s">
        <v>153</v>
      </c>
      <c r="B57" s="221">
        <f>('Pivot Table for Data Exchange'!$C$474)*100</f>
        <v>88.898242300907356</v>
      </c>
      <c r="C57" s="221">
        <f>('Pivot Table for Data Exchange'!$C$477)*100</f>
        <v>0.59293782735147671</v>
      </c>
      <c r="D57" s="227">
        <f>SUM(E57:G57)</f>
        <v>10.50881987174116</v>
      </c>
      <c r="E57" s="221">
        <f>('Pivot Table for Data Exchange'!$C$480)*100</f>
        <v>10.205448176909053</v>
      </c>
      <c r="F57" s="221">
        <f>('Pivot Table for Data Exchange'!$C$483)*100</f>
        <v>9.8595339404581608E-2</v>
      </c>
      <c r="G57" s="223">
        <f>('Pivot Table for Data Exchange'!$C$486)*100</f>
        <v>0.20477635542752393</v>
      </c>
      <c r="H57" s="221">
        <f>('Pivot Table for Data Exchange'!$C$489)*100</f>
        <v>0</v>
      </c>
      <c r="I57" s="87" t="s">
        <v>153</v>
      </c>
      <c r="J57" s="221">
        <f>('Pivot Table for Data Exchange'!$C$492)*100</f>
        <v>84.74920379642181</v>
      </c>
      <c r="K57" s="221">
        <f>('Pivot Table for Data Exchange'!$C$495)*100</f>
        <v>2.6331541252717776</v>
      </c>
      <c r="L57" s="227">
        <f>SUM(M57:O57)</f>
        <v>12.617642078306407</v>
      </c>
      <c r="M57" s="221">
        <f>('Pivot Table for Data Exchange'!$C$498)*100</f>
        <v>11.923086326850511</v>
      </c>
      <c r="N57" s="221">
        <f>('Pivot Table for Data Exchange'!$C$501)*100</f>
        <v>0.23752538931796799</v>
      </c>
      <c r="O57" s="223">
        <f>('Pivot Table for Data Exchange'!$C$504)*100</f>
        <v>0.45703036213792775</v>
      </c>
      <c r="P57" s="221">
        <f>('Pivot Table for Data Exchange'!$C$507)*100</f>
        <v>0</v>
      </c>
      <c r="Q57" s="97">
        <f t="shared" si="3"/>
        <v>100</v>
      </c>
      <c r="R57" s="97">
        <f t="shared" si="2"/>
        <v>99.999999999999986</v>
      </c>
      <c r="S57" s="63"/>
      <c r="T57" s="63"/>
      <c r="U57" s="63"/>
      <c r="V57" s="63"/>
      <c r="W57" s="63"/>
      <c r="X57" s="63"/>
      <c r="Y57" s="63"/>
      <c r="Z57" s="63"/>
      <c r="AA57" s="63"/>
      <c r="AB57" s="63"/>
      <c r="AC57" s="63"/>
      <c r="AD57" s="63"/>
      <c r="AE57" s="63"/>
      <c r="AF57" s="63"/>
      <c r="AG57" s="63"/>
      <c r="AH57" s="63"/>
      <c r="AI57" s="63"/>
      <c r="AJ57" s="63"/>
      <c r="AK57" s="63"/>
      <c r="AL57" s="63"/>
      <c r="AM57" s="63"/>
      <c r="AN57" s="63"/>
      <c r="AO57" s="63"/>
    </row>
    <row r="58" spans="1:41" ht="15.75" customHeight="1">
      <c r="A58" s="65" t="s">
        <v>154</v>
      </c>
      <c r="B58" s="221">
        <f>('Pivot Table for Data Exchange'!$C$510)*100</f>
        <v>91.908081854737262</v>
      </c>
      <c r="C58" s="221">
        <f>('Pivot Table for Data Exchange'!$C$513)*100</f>
        <v>2.3199140346164175</v>
      </c>
      <c r="D58" s="227">
        <f t="shared" ref="D58" si="10">SUM(E58:G58)</f>
        <v>5.7720041106463178</v>
      </c>
      <c r="E58" s="221">
        <f>('Pivot Table for Data Exchange'!$C$516)*100</f>
        <v>4.3840213548929059</v>
      </c>
      <c r="F58" s="221">
        <f>('Pivot Table for Data Exchange'!$C$519)*100</f>
        <v>1.3879827557534123</v>
      </c>
      <c r="G58" s="223">
        <f>('Pivot Table for Data Exchange'!$C$522)*100</f>
        <v>0</v>
      </c>
      <c r="H58" s="221">
        <f>('Pivot Table for Data Exchange'!$C$525)*100</f>
        <v>0</v>
      </c>
      <c r="I58" s="87" t="s">
        <v>154</v>
      </c>
      <c r="J58" s="221">
        <f>('Pivot Table for Data Exchange'!$C$528)*100</f>
        <v>78.941095370265458</v>
      </c>
      <c r="K58" s="221">
        <f>('Pivot Table for Data Exchange'!$C$531)*100</f>
        <v>10.496498312945388</v>
      </c>
      <c r="L58" s="227">
        <f t="shared" ref="L58" si="11">SUM(M58:O58)</f>
        <v>10.562406316789156</v>
      </c>
      <c r="M58" s="221">
        <f>('Pivot Table for Data Exchange'!$C$534)*100</f>
        <v>7.1386498546477686</v>
      </c>
      <c r="N58" s="221">
        <f>('Pivot Table for Data Exchange'!$C$537)*100</f>
        <v>3.4237564621413878</v>
      </c>
      <c r="O58" s="223">
        <f>('Pivot Table for Data Exchange'!$C$540)*100</f>
        <v>0</v>
      </c>
      <c r="P58" s="221">
        <f>('Pivot Table for Data Exchange'!$C$543)*100</f>
        <v>0</v>
      </c>
      <c r="Q58" s="97">
        <f t="shared" si="3"/>
        <v>100</v>
      </c>
      <c r="R58" s="97">
        <f t="shared" si="2"/>
        <v>100</v>
      </c>
      <c r="S58" s="63"/>
      <c r="T58" s="63"/>
      <c r="U58" s="63"/>
      <c r="V58" s="63"/>
      <c r="W58" s="63"/>
      <c r="X58" s="63"/>
      <c r="Y58" s="63"/>
      <c r="Z58" s="63"/>
      <c r="AA58" s="63"/>
      <c r="AB58" s="63"/>
      <c r="AC58" s="63"/>
      <c r="AD58" s="63"/>
      <c r="AE58" s="63"/>
      <c r="AF58" s="63"/>
      <c r="AG58" s="63"/>
      <c r="AH58" s="63"/>
      <c r="AI58" s="63"/>
      <c r="AJ58" s="63"/>
      <c r="AK58" s="63"/>
      <c r="AL58" s="63"/>
      <c r="AM58" s="63"/>
      <c r="AN58" s="63"/>
      <c r="AO58" s="63"/>
    </row>
    <row r="59" spans="1:41" ht="15.75" customHeight="1">
      <c r="A59" s="39" t="s">
        <v>155</v>
      </c>
      <c r="B59" s="224">
        <f>('Pivot Table for Data Exchange'!$C$546)*100</f>
        <v>91.952435612310779</v>
      </c>
      <c r="C59" s="224">
        <f>('Pivot Table for Data Exchange'!$C$549)*100</f>
        <v>0.12001697874070355</v>
      </c>
      <c r="D59" s="228">
        <f>SUM(E59:G59)</f>
        <v>7.927547408948513</v>
      </c>
      <c r="E59" s="224">
        <f>('Pivot Table for Data Exchange'!$C$552)*100</f>
        <v>7.6767522777817634</v>
      </c>
      <c r="F59" s="383">
        <f>('Pivot Table for Data Exchange'!$C$555)*100</f>
        <v>2.9892149125953561E-4</v>
      </c>
      <c r="G59" s="225">
        <f>('Pivot Table for Data Exchange'!$C$558)*100</f>
        <v>0.2504962096754908</v>
      </c>
      <c r="H59" s="224">
        <f>('Pivot Table for Data Exchange'!$C$561)*100</f>
        <v>0</v>
      </c>
      <c r="I59" s="230" t="s">
        <v>155</v>
      </c>
      <c r="J59" s="224">
        <f>('Pivot Table for Data Exchange'!$C$564)*100</f>
        <v>65.996532799524928</v>
      </c>
      <c r="K59" s="224">
        <f>('Pivot Table for Data Exchange'!$C$567)*100</f>
        <v>5.1500378327123659</v>
      </c>
      <c r="L59" s="228">
        <f>SUM(M59:O59)</f>
        <v>28.853429367762701</v>
      </c>
      <c r="M59" s="224">
        <f>('Pivot Table for Data Exchange'!$C$570)*100</f>
        <v>27.921499516315958</v>
      </c>
      <c r="N59" s="224">
        <f>('Pivot Table for Data Exchange'!$C$573)*100</f>
        <v>0.55072935722700589</v>
      </c>
      <c r="O59" s="225">
        <f>('Pivot Table for Data Exchange'!$C$576)*100</f>
        <v>0.38120049421973623</v>
      </c>
      <c r="P59" s="224">
        <f>('Pivot Table for Data Exchange'!$C$579)*100</f>
        <v>0</v>
      </c>
      <c r="Q59" s="97">
        <f t="shared" si="3"/>
        <v>100</v>
      </c>
      <c r="R59" s="97">
        <f t="shared" si="2"/>
        <v>100</v>
      </c>
      <c r="S59" s="63"/>
      <c r="T59" s="63"/>
      <c r="U59" s="63"/>
      <c r="V59" s="63"/>
      <c r="W59" s="63"/>
      <c r="X59" s="63"/>
      <c r="Y59" s="63"/>
      <c r="Z59" s="63"/>
      <c r="AA59" s="63"/>
      <c r="AB59" s="63"/>
      <c r="AC59" s="63"/>
      <c r="AD59" s="63"/>
      <c r="AE59" s="63"/>
      <c r="AF59" s="63"/>
      <c r="AG59" s="63"/>
      <c r="AH59" s="63"/>
      <c r="AI59" s="63"/>
      <c r="AJ59" s="63"/>
      <c r="AK59" s="63"/>
      <c r="AL59" s="63"/>
      <c r="AM59" s="63"/>
      <c r="AN59" s="63"/>
      <c r="AO59" s="63"/>
    </row>
    <row r="60" spans="1:41" s="25" customFormat="1" ht="13.5" customHeight="1">
      <c r="A60" s="691" t="s">
        <v>175</v>
      </c>
      <c r="B60" s="69"/>
      <c r="C60" s="69"/>
      <c r="D60" s="70"/>
      <c r="E60" s="69"/>
      <c r="F60" s="70"/>
      <c r="G60" s="70"/>
      <c r="H60" s="69"/>
      <c r="I60" s="691" t="s">
        <v>175</v>
      </c>
      <c r="J60" s="69"/>
      <c r="K60" s="69"/>
      <c r="L60" s="70"/>
      <c r="M60" s="69"/>
      <c r="N60" s="70"/>
      <c r="O60" s="70"/>
      <c r="P60" s="69"/>
      <c r="Q60" s="97"/>
      <c r="R60" s="97"/>
      <c r="S60" s="71"/>
      <c r="T60" s="71"/>
      <c r="U60" s="71"/>
      <c r="V60" s="71"/>
      <c r="W60" s="71"/>
      <c r="X60" s="71"/>
      <c r="Y60" s="71"/>
      <c r="Z60" s="71"/>
      <c r="AA60" s="71"/>
      <c r="AB60" s="71"/>
      <c r="AC60" s="71"/>
      <c r="AD60" s="71"/>
      <c r="AE60" s="71"/>
      <c r="AF60" s="71"/>
      <c r="AG60" s="71"/>
      <c r="AH60" s="71"/>
      <c r="AI60" s="71"/>
      <c r="AJ60" s="71"/>
      <c r="AK60" s="71"/>
      <c r="AL60" s="71"/>
      <c r="AM60" s="71"/>
      <c r="AN60" s="71"/>
      <c r="AO60" s="71"/>
    </row>
    <row r="61" spans="1:41" s="25" customFormat="1" ht="24" customHeight="1">
      <c r="A61" s="666" t="s">
        <v>178</v>
      </c>
      <c r="B61" s="685"/>
      <c r="C61" s="685"/>
      <c r="D61" s="685"/>
      <c r="E61" s="685"/>
      <c r="F61" s="685"/>
      <c r="G61" s="685"/>
      <c r="H61" s="685"/>
      <c r="I61" s="666" t="s">
        <v>178</v>
      </c>
      <c r="J61" s="685"/>
      <c r="K61" s="685"/>
      <c r="L61" s="685"/>
      <c r="M61" s="685"/>
      <c r="N61" s="685"/>
      <c r="O61" s="685"/>
      <c r="P61" s="685"/>
      <c r="Q61" s="97"/>
      <c r="R61" s="97"/>
    </row>
    <row r="62" spans="1:41" s="25" customFormat="1" ht="13.5" customHeight="1">
      <c r="A62" s="75"/>
      <c r="B62" s="76"/>
      <c r="H62" s="26"/>
      <c r="I62" s="75"/>
      <c r="P62" s="77"/>
      <c r="Q62" s="97"/>
      <c r="R62" s="97"/>
    </row>
    <row r="63" spans="1:41" s="25" customFormat="1" ht="13.5" customHeight="1">
      <c r="H63" s="27" t="s">
        <v>899</v>
      </c>
      <c r="P63" s="27" t="s">
        <v>899</v>
      </c>
      <c r="Q63" s="97"/>
      <c r="R63" s="97"/>
    </row>
    <row r="64" spans="1:41" ht="18">
      <c r="A64" s="16" t="s">
        <v>202</v>
      </c>
      <c r="B64" s="34"/>
      <c r="C64" s="34"/>
      <c r="D64" s="34"/>
      <c r="E64" s="34"/>
      <c r="F64" s="34"/>
      <c r="G64" s="34"/>
      <c r="H64" s="35"/>
      <c r="I64" s="16" t="s">
        <v>217</v>
      </c>
      <c r="J64" s="19"/>
      <c r="K64" s="19"/>
      <c r="L64" s="34"/>
      <c r="M64" s="19"/>
      <c r="N64" s="19"/>
      <c r="O64" s="19"/>
      <c r="P64" s="19"/>
      <c r="Q64" s="97"/>
      <c r="R64" s="97"/>
    </row>
    <row r="65" spans="1:41">
      <c r="A65" s="18"/>
      <c r="B65" s="19"/>
      <c r="C65" s="19"/>
      <c r="D65" s="19"/>
      <c r="E65" s="19"/>
      <c r="F65" s="19"/>
      <c r="G65" s="19"/>
      <c r="H65" s="36"/>
      <c r="I65" s="18"/>
      <c r="J65" s="19"/>
      <c r="K65" s="19"/>
      <c r="L65" s="19"/>
      <c r="M65" s="19"/>
      <c r="N65" s="19"/>
      <c r="O65" s="19"/>
      <c r="P65" s="19"/>
      <c r="Q65" s="97"/>
      <c r="R65" s="97"/>
    </row>
    <row r="66" spans="1:41" ht="15.75">
      <c r="A66" s="37" t="s">
        <v>162</v>
      </c>
      <c r="B66" s="19"/>
      <c r="C66" s="19"/>
      <c r="D66" s="19"/>
      <c r="E66" s="19"/>
      <c r="F66" s="19"/>
      <c r="G66" s="19"/>
      <c r="H66" s="36"/>
      <c r="I66" s="37" t="s">
        <v>163</v>
      </c>
      <c r="J66" s="19"/>
      <c r="K66" s="19"/>
      <c r="L66" s="19"/>
      <c r="M66" s="19"/>
      <c r="N66" s="19"/>
      <c r="O66" s="19"/>
      <c r="P66" s="19"/>
      <c r="Q66" s="97"/>
      <c r="R66" s="97"/>
    </row>
    <row r="67" spans="1:41" ht="15.75">
      <c r="A67" s="37" t="s">
        <v>266</v>
      </c>
      <c r="B67" s="19"/>
      <c r="C67" s="19"/>
      <c r="D67" s="19"/>
      <c r="E67" s="19"/>
      <c r="F67" s="19"/>
      <c r="G67" s="19"/>
      <c r="H67" s="36"/>
      <c r="I67" s="37" t="s">
        <v>266</v>
      </c>
      <c r="J67" s="19"/>
      <c r="K67" s="19"/>
      <c r="L67" s="19"/>
      <c r="M67" s="19"/>
      <c r="N67" s="19"/>
      <c r="O67" s="19"/>
      <c r="P67" s="19"/>
      <c r="Q67" s="97"/>
      <c r="R67" s="97"/>
    </row>
    <row r="68" spans="1:41">
      <c r="A68" s="39"/>
      <c r="B68" s="40"/>
      <c r="C68" s="40"/>
      <c r="D68" s="40"/>
      <c r="E68" s="40"/>
      <c r="F68" s="40"/>
      <c r="G68" s="40"/>
      <c r="H68" s="40"/>
      <c r="I68" s="41"/>
      <c r="L68" s="42"/>
      <c r="P68" s="39"/>
      <c r="Q68" s="97"/>
      <c r="R68" s="97"/>
    </row>
    <row r="69" spans="1:41" s="48" customFormat="1">
      <c r="A69" s="43"/>
      <c r="B69" s="44" t="s">
        <v>164</v>
      </c>
      <c r="C69" s="44"/>
      <c r="D69" s="44"/>
      <c r="E69" s="44"/>
      <c r="F69" s="44"/>
      <c r="G69" s="44"/>
      <c r="H69" s="45"/>
      <c r="I69" s="43"/>
      <c r="J69" s="44" t="s">
        <v>164</v>
      </c>
      <c r="K69" s="44"/>
      <c r="L69" s="44"/>
      <c r="M69" s="44"/>
      <c r="N69" s="44"/>
      <c r="O69" s="44"/>
      <c r="P69" s="45"/>
      <c r="Q69" s="97"/>
      <c r="R69" s="97"/>
    </row>
    <row r="70" spans="1:41" s="48" customFormat="1">
      <c r="A70" s="43"/>
      <c r="B70" s="44" t="s">
        <v>165</v>
      </c>
      <c r="C70" s="44"/>
      <c r="D70" s="670" t="s">
        <v>166</v>
      </c>
      <c r="E70" s="668"/>
      <c r="F70" s="668"/>
      <c r="G70" s="668"/>
      <c r="H70" s="49" t="s">
        <v>39</v>
      </c>
      <c r="I70" s="43"/>
      <c r="J70" s="44" t="s">
        <v>165</v>
      </c>
      <c r="K70" s="44"/>
      <c r="L70" s="670" t="s">
        <v>166</v>
      </c>
      <c r="M70" s="668"/>
      <c r="N70" s="668"/>
      <c r="O70" s="668"/>
      <c r="P70" s="49" t="s">
        <v>39</v>
      </c>
      <c r="Q70" s="97"/>
      <c r="R70" s="97"/>
    </row>
    <row r="71" spans="1:41" s="48" customFormat="1" ht="40.5" customHeight="1">
      <c r="A71" s="43"/>
      <c r="B71" s="50" t="s">
        <v>167</v>
      </c>
      <c r="C71" s="51" t="s">
        <v>168</v>
      </c>
      <c r="D71" s="52" t="s">
        <v>169</v>
      </c>
      <c r="E71" s="53" t="s">
        <v>7</v>
      </c>
      <c r="F71" s="50" t="s">
        <v>170</v>
      </c>
      <c r="G71" s="54" t="s">
        <v>171</v>
      </c>
      <c r="H71" s="55" t="s">
        <v>172</v>
      </c>
      <c r="I71" s="43"/>
      <c r="J71" s="50" t="s">
        <v>167</v>
      </c>
      <c r="K71" s="51" t="s">
        <v>168</v>
      </c>
      <c r="L71" s="52" t="s">
        <v>169</v>
      </c>
      <c r="M71" s="53" t="s">
        <v>7</v>
      </c>
      <c r="N71" s="50" t="s">
        <v>170</v>
      </c>
      <c r="O71" s="54" t="s">
        <v>171</v>
      </c>
      <c r="P71" s="55" t="s">
        <v>172</v>
      </c>
      <c r="Q71" s="97"/>
      <c r="R71" s="97"/>
      <c r="T71" s="73"/>
    </row>
    <row r="72" spans="1:41" ht="15.75" customHeight="1">
      <c r="A72" s="62" t="s">
        <v>141</v>
      </c>
      <c r="B72" s="221">
        <f>('Pivot Table for Data Exchange'!$D$6)*100</f>
        <v>87.493766036644857</v>
      </c>
      <c r="C72" s="67">
        <f>('Pivot Table for Data Exchange'!$D$9)*100</f>
        <v>3.5416139640779151E-2</v>
      </c>
      <c r="D72" s="227">
        <f>SUM(E72:G72)</f>
        <v>12.470817823714357</v>
      </c>
      <c r="E72" s="221">
        <f>('Pivot Table for Data Exchange'!$D$12)*100</f>
        <v>12.386011829472492</v>
      </c>
      <c r="F72" s="221">
        <f>('Pivot Table for Data Exchange'!$D$15)*100</f>
        <v>8.4805994241865731E-2</v>
      </c>
      <c r="G72" s="60">
        <f>('Pivot Table for Data Exchange'!$D$18)*100</f>
        <v>0</v>
      </c>
      <c r="H72" s="221">
        <f>('Pivot Table for Data Exchange'!$D$21)*100</f>
        <v>0</v>
      </c>
      <c r="I72" s="229" t="s">
        <v>141</v>
      </c>
      <c r="J72" s="221">
        <f>('Pivot Table for Data Exchange'!$D$24)*100</f>
        <v>76.947094286413147</v>
      </c>
      <c r="K72" s="221">
        <f>('Pivot Table for Data Exchange'!$D$27)*100</f>
        <v>1.6373865124242815</v>
      </c>
      <c r="L72" s="227">
        <f>SUM(M72:O72)</f>
        <v>21.415519201162574</v>
      </c>
      <c r="M72" s="221">
        <f>('Pivot Table for Data Exchange'!$D$30)*100</f>
        <v>21.07307808520741</v>
      </c>
      <c r="N72" s="221">
        <f>('Pivot Table for Data Exchange'!$D$33)*100</f>
        <v>0.34244111595516608</v>
      </c>
      <c r="O72" s="60">
        <f>('Pivot Table for Data Exchange'!$D$36)*100</f>
        <v>0</v>
      </c>
      <c r="P72" s="221">
        <f>('Pivot Table for Data Exchange'!$D$39)*100</f>
        <v>0</v>
      </c>
      <c r="Q72" s="97">
        <f t="shared" si="3"/>
        <v>99.999999999999986</v>
      </c>
      <c r="R72" s="97">
        <f t="shared" si="2"/>
        <v>100</v>
      </c>
      <c r="S72" s="63"/>
      <c r="T72" s="63"/>
      <c r="U72" s="63"/>
      <c r="V72" s="63"/>
      <c r="W72" s="63"/>
      <c r="X72" s="63"/>
      <c r="Y72" s="63"/>
      <c r="Z72" s="63"/>
      <c r="AA72" s="63"/>
      <c r="AB72" s="63"/>
      <c r="AC72" s="63"/>
      <c r="AD72" s="63"/>
      <c r="AE72" s="63"/>
      <c r="AF72" s="63"/>
      <c r="AG72" s="63"/>
      <c r="AH72" s="63"/>
      <c r="AI72" s="63"/>
      <c r="AJ72" s="63"/>
      <c r="AK72" s="63"/>
      <c r="AL72" s="63"/>
      <c r="AM72" s="63"/>
      <c r="AN72" s="63"/>
      <c r="AO72" s="63"/>
    </row>
    <row r="73" spans="1:41" ht="15.75" customHeight="1">
      <c r="A73" s="65" t="s">
        <v>142</v>
      </c>
      <c r="B73" s="221">
        <f>('Pivot Table for Data Exchange'!$D$42)*100</f>
        <v>62.08943019452574</v>
      </c>
      <c r="C73" s="221">
        <f>('Pivot Table for Data Exchange'!$D$45)*100</f>
        <v>9.3690824582544323</v>
      </c>
      <c r="D73" s="227">
        <f t="shared" ref="D73:D75" si="12">SUM(E73:G73)</f>
        <v>28.541487347219828</v>
      </c>
      <c r="E73" s="221">
        <f>('Pivot Table for Data Exchange'!$D$48)*100</f>
        <v>28.541487347219828</v>
      </c>
      <c r="F73" s="221">
        <f>('Pivot Table for Data Exchange'!$D$51)*100</f>
        <v>0</v>
      </c>
      <c r="G73" s="223">
        <f>('Pivot Table for Data Exchange'!$D$54)*100</f>
        <v>0</v>
      </c>
      <c r="H73" s="221">
        <f>('Pivot Table for Data Exchange'!$D$57)*100</f>
        <v>0</v>
      </c>
      <c r="I73" s="87" t="s">
        <v>142</v>
      </c>
      <c r="J73" s="221">
        <f>('Pivot Table for Data Exchange'!$D$60)*100</f>
        <v>48.64007151637054</v>
      </c>
      <c r="K73" s="221">
        <f>('Pivot Table for Data Exchange'!$D$63)*100</f>
        <v>27.84221700748687</v>
      </c>
      <c r="L73" s="227">
        <f t="shared" ref="L73:L75" si="13">SUM(M73:O73)</f>
        <v>23.517711476142587</v>
      </c>
      <c r="M73" s="221">
        <f>('Pivot Table for Data Exchange'!$D$66)*100</f>
        <v>23.517711476142587</v>
      </c>
      <c r="N73" s="221">
        <f>('Pivot Table for Data Exchange'!$D$69)*100</f>
        <v>0</v>
      </c>
      <c r="O73" s="223">
        <f>('Pivot Table for Data Exchange'!$D$72)*100</f>
        <v>0</v>
      </c>
      <c r="P73" s="221">
        <f>('Pivot Table for Data Exchange'!$D$75)*100</f>
        <v>0</v>
      </c>
      <c r="Q73" s="97">
        <f t="shared" si="3"/>
        <v>100</v>
      </c>
      <c r="R73" s="97">
        <f t="shared" si="2"/>
        <v>100</v>
      </c>
      <c r="S73" s="63"/>
      <c r="T73" s="63"/>
      <c r="U73" s="63"/>
      <c r="V73" s="63"/>
      <c r="W73" s="63"/>
      <c r="X73" s="63"/>
      <c r="Y73" s="63"/>
      <c r="Z73" s="63"/>
      <c r="AA73" s="63"/>
      <c r="AB73" s="63"/>
      <c r="AC73" s="63"/>
      <c r="AD73" s="63"/>
      <c r="AE73" s="63"/>
      <c r="AF73" s="63"/>
      <c r="AG73" s="63"/>
      <c r="AH73" s="63"/>
      <c r="AI73" s="63"/>
      <c r="AJ73" s="63"/>
      <c r="AK73" s="63"/>
      <c r="AL73" s="63"/>
      <c r="AM73" s="63"/>
      <c r="AN73" s="63"/>
      <c r="AO73" s="63"/>
    </row>
    <row r="74" spans="1:41" ht="15.75" customHeight="1">
      <c r="A74" s="65" t="s">
        <v>143</v>
      </c>
      <c r="B74" s="221">
        <f>('Pivot Table for Data Exchange'!$D$78)*100</f>
        <v>0</v>
      </c>
      <c r="C74" s="221">
        <f>('Pivot Table for Data Exchange'!$D$81)*100</f>
        <v>0</v>
      </c>
      <c r="D74" s="227">
        <f t="shared" si="12"/>
        <v>0</v>
      </c>
      <c r="E74" s="221">
        <f>('Pivot Table for Data Exchange'!$D$84)*100</f>
        <v>0</v>
      </c>
      <c r="F74" s="221">
        <f>('Pivot Table for Data Exchange'!$D$87)*100</f>
        <v>0</v>
      </c>
      <c r="G74" s="223">
        <f>('Pivot Table for Data Exchange'!$D$90)*100</f>
        <v>0</v>
      </c>
      <c r="H74" s="221">
        <f>('Pivot Table for Data Exchange'!$D$93)*100</f>
        <v>0</v>
      </c>
      <c r="I74" s="87" t="s">
        <v>143</v>
      </c>
      <c r="J74" s="221">
        <f>('Pivot Table for Data Exchange'!$D$96)*100</f>
        <v>0</v>
      </c>
      <c r="K74" s="221">
        <f>('Pivot Table for Data Exchange'!$D$99)*100</f>
        <v>0</v>
      </c>
      <c r="L74" s="227">
        <f t="shared" si="13"/>
        <v>0</v>
      </c>
      <c r="M74" s="221">
        <f>('Pivot Table for Data Exchange'!$D$102)*100</f>
        <v>0</v>
      </c>
      <c r="N74" s="221">
        <f>('Pivot Table for Data Exchange'!$D$105)*100</f>
        <v>0</v>
      </c>
      <c r="O74" s="223">
        <f>('Pivot Table for Data Exchange'!$D$108)*100</f>
        <v>0</v>
      </c>
      <c r="P74" s="221">
        <f>('Pivot Table for Data Exchange'!$D$111)*100</f>
        <v>0</v>
      </c>
      <c r="Q74" s="97">
        <f t="shared" si="3"/>
        <v>0</v>
      </c>
      <c r="R74" s="97">
        <f t="shared" si="2"/>
        <v>0</v>
      </c>
      <c r="S74" s="63"/>
      <c r="T74" s="74"/>
      <c r="U74" s="63"/>
      <c r="V74" s="63"/>
      <c r="W74" s="63"/>
      <c r="X74" s="63"/>
      <c r="Y74" s="63"/>
      <c r="Z74" s="63"/>
      <c r="AA74" s="63"/>
      <c r="AB74" s="63"/>
      <c r="AC74" s="63"/>
      <c r="AD74" s="63"/>
      <c r="AE74" s="63"/>
      <c r="AF74" s="63"/>
      <c r="AG74" s="63"/>
      <c r="AH74" s="63"/>
      <c r="AI74" s="63"/>
      <c r="AJ74" s="63"/>
      <c r="AK74" s="63"/>
      <c r="AL74" s="63"/>
      <c r="AM74" s="63"/>
      <c r="AN74" s="63"/>
      <c r="AO74" s="63"/>
    </row>
    <row r="75" spans="1:41" ht="15.75" customHeight="1">
      <c r="A75" s="65" t="s">
        <v>144</v>
      </c>
      <c r="B75" s="221">
        <f>('Pivot Table for Data Exchange'!$D$114)*100</f>
        <v>0</v>
      </c>
      <c r="C75" s="221">
        <f>('Pivot Table for Data Exchange'!$D$117)*100</f>
        <v>0</v>
      </c>
      <c r="D75" s="227">
        <f t="shared" si="12"/>
        <v>0</v>
      </c>
      <c r="E75" s="221">
        <f>('Pivot Table for Data Exchange'!$D$120)*100</f>
        <v>0</v>
      </c>
      <c r="F75" s="221">
        <f>('Pivot Table for Data Exchange'!$D$123)*100</f>
        <v>0</v>
      </c>
      <c r="G75" s="223">
        <f>('Pivot Table for Data Exchange'!$D$126)*100</f>
        <v>0</v>
      </c>
      <c r="H75" s="221">
        <f>('Pivot Table for Data Exchange'!$D$129)*100</f>
        <v>0</v>
      </c>
      <c r="I75" s="87" t="s">
        <v>144</v>
      </c>
      <c r="J75" s="221">
        <f>('Pivot Table for Data Exchange'!$D$132)*100</f>
        <v>0</v>
      </c>
      <c r="K75" s="221">
        <f>('Pivot Table for Data Exchange'!$D$135)*100</f>
        <v>0</v>
      </c>
      <c r="L75" s="227">
        <f t="shared" si="13"/>
        <v>0</v>
      </c>
      <c r="M75" s="221">
        <f>('Pivot Table for Data Exchange'!$D$138)*100</f>
        <v>0</v>
      </c>
      <c r="N75" s="221">
        <f>('Pivot Table for Data Exchange'!$D$141)*100</f>
        <v>0</v>
      </c>
      <c r="O75" s="223">
        <f>('Pivot Table for Data Exchange'!$D$144)*100</f>
        <v>0</v>
      </c>
      <c r="P75" s="221">
        <f>('Pivot Table for Data Exchange'!$D$147)*100</f>
        <v>0</v>
      </c>
      <c r="Q75" s="97">
        <f t="shared" ref="Q75:Q137" si="14">SUM(B75,C75,D75,H75)</f>
        <v>0</v>
      </c>
      <c r="R75" s="97">
        <f t="shared" ref="R75:R137" si="15">SUM(J75,K75,L75,P75)</f>
        <v>0</v>
      </c>
      <c r="S75" s="63"/>
      <c r="U75" s="63"/>
      <c r="V75" s="63"/>
      <c r="W75" s="63"/>
      <c r="X75" s="63"/>
      <c r="Y75" s="63"/>
      <c r="Z75" s="63"/>
      <c r="AA75" s="63"/>
      <c r="AB75" s="63"/>
      <c r="AC75" s="63"/>
      <c r="AD75" s="63"/>
      <c r="AE75" s="63"/>
      <c r="AF75" s="63"/>
      <c r="AG75" s="63"/>
      <c r="AH75" s="63"/>
      <c r="AI75" s="63"/>
      <c r="AJ75" s="63"/>
      <c r="AK75" s="63"/>
      <c r="AL75" s="63"/>
      <c r="AM75" s="63"/>
      <c r="AN75" s="63"/>
      <c r="AO75" s="63"/>
    </row>
    <row r="76" spans="1:41" ht="9" customHeight="1">
      <c r="A76" s="65"/>
      <c r="B76" s="221"/>
      <c r="C76" s="221"/>
      <c r="D76" s="227"/>
      <c r="E76" s="221"/>
      <c r="F76" s="221"/>
      <c r="G76" s="223"/>
      <c r="H76" s="221"/>
      <c r="I76" s="87"/>
      <c r="J76" s="221"/>
      <c r="K76" s="221"/>
      <c r="L76" s="227"/>
      <c r="M76" s="221"/>
      <c r="N76" s="221"/>
      <c r="O76" s="223"/>
      <c r="P76" s="221"/>
      <c r="Q76" s="97">
        <f t="shared" si="14"/>
        <v>0</v>
      </c>
      <c r="R76" s="97">
        <f t="shared" si="15"/>
        <v>0</v>
      </c>
      <c r="S76" s="63"/>
      <c r="U76" s="63"/>
      <c r="V76" s="63"/>
      <c r="W76" s="63"/>
      <c r="X76" s="63"/>
      <c r="Y76" s="63"/>
      <c r="Z76" s="63"/>
      <c r="AA76" s="63"/>
      <c r="AB76" s="63"/>
      <c r="AC76" s="63"/>
      <c r="AD76" s="63"/>
      <c r="AE76" s="63"/>
      <c r="AF76" s="63"/>
      <c r="AG76" s="63"/>
      <c r="AH76" s="63"/>
      <c r="AI76" s="63"/>
      <c r="AJ76" s="63"/>
      <c r="AK76" s="63"/>
      <c r="AL76" s="63"/>
      <c r="AM76" s="63"/>
      <c r="AN76" s="63"/>
      <c r="AO76" s="63"/>
    </row>
    <row r="77" spans="1:41" ht="15.75" customHeight="1">
      <c r="A77" s="65" t="s">
        <v>145</v>
      </c>
      <c r="B77" s="221">
        <f>('Pivot Table for Data Exchange'!$D$150)*100</f>
        <v>0</v>
      </c>
      <c r="C77" s="221">
        <f>('Pivot Table for Data Exchange'!$D$153)*100</f>
        <v>0</v>
      </c>
      <c r="D77" s="227">
        <f t="shared" ref="D77:D80" si="16">SUM(E77:G77)</f>
        <v>0</v>
      </c>
      <c r="E77" s="221">
        <f>('Pivot Table for Data Exchange'!$D$156)*100</f>
        <v>0</v>
      </c>
      <c r="F77" s="221">
        <f>('Pivot Table for Data Exchange'!$D$159)*100</f>
        <v>0</v>
      </c>
      <c r="G77" s="223">
        <f>('Pivot Table for Data Exchange'!$D$162)*100</f>
        <v>0</v>
      </c>
      <c r="H77" s="221">
        <f>('Pivot Table for Data Exchange'!$D$165)*100</f>
        <v>0</v>
      </c>
      <c r="I77" s="87" t="s">
        <v>145</v>
      </c>
      <c r="J77" s="221">
        <f>('Pivot Table for Data Exchange'!$D$168)*100</f>
        <v>0</v>
      </c>
      <c r="K77" s="221">
        <f>('Pivot Table for Data Exchange'!$D$171)*100</f>
        <v>0</v>
      </c>
      <c r="L77" s="227">
        <f t="shared" ref="L77:L80" si="17">SUM(M77:O77)</f>
        <v>0</v>
      </c>
      <c r="M77" s="221">
        <f>('Pivot Table for Data Exchange'!$D$174)*100</f>
        <v>0</v>
      </c>
      <c r="N77" s="221">
        <f>('Pivot Table for Data Exchange'!$D$177)*100</f>
        <v>0</v>
      </c>
      <c r="O77" s="223">
        <f>('Pivot Table for Data Exchange'!$D$180)*100</f>
        <v>0</v>
      </c>
      <c r="P77" s="221">
        <f>('Pivot Table for Data Exchange'!$D$183)*100</f>
        <v>0</v>
      </c>
      <c r="Q77" s="97">
        <f t="shared" si="14"/>
        <v>0</v>
      </c>
      <c r="R77" s="97">
        <f t="shared" si="15"/>
        <v>0</v>
      </c>
      <c r="S77" s="63"/>
      <c r="T77" s="63"/>
      <c r="U77" s="63"/>
      <c r="V77" s="63"/>
      <c r="W77" s="63"/>
      <c r="X77" s="63"/>
      <c r="Y77" s="63"/>
      <c r="Z77" s="63"/>
      <c r="AA77" s="63"/>
      <c r="AB77" s="63"/>
      <c r="AC77" s="63"/>
      <c r="AD77" s="63"/>
      <c r="AE77" s="63"/>
      <c r="AF77" s="63"/>
      <c r="AG77" s="63"/>
      <c r="AH77" s="63"/>
      <c r="AI77" s="63"/>
      <c r="AJ77" s="63"/>
      <c r="AK77" s="63"/>
      <c r="AL77" s="63"/>
      <c r="AM77" s="63"/>
      <c r="AN77" s="63"/>
      <c r="AO77" s="63"/>
    </row>
    <row r="78" spans="1:41" ht="15.75" customHeight="1">
      <c r="A78" s="65" t="s">
        <v>146</v>
      </c>
      <c r="B78" s="221">
        <f>('Pivot Table for Data Exchange'!$D$186)*100</f>
        <v>0</v>
      </c>
      <c r="C78" s="221">
        <f>('Pivot Table for Data Exchange'!$D$189)*100</f>
        <v>0</v>
      </c>
      <c r="D78" s="227">
        <f t="shared" si="16"/>
        <v>0</v>
      </c>
      <c r="E78" s="221">
        <f>('Pivot Table for Data Exchange'!$D$192)*100</f>
        <v>0</v>
      </c>
      <c r="F78" s="221">
        <f>('Pivot Table for Data Exchange'!$D$195)*100</f>
        <v>0</v>
      </c>
      <c r="G78" s="223">
        <f>('Pivot Table for Data Exchange'!$D$198)*100</f>
        <v>0</v>
      </c>
      <c r="H78" s="221">
        <f>('Pivot Table for Data Exchange'!$D$201)*100</f>
        <v>0</v>
      </c>
      <c r="I78" s="87" t="s">
        <v>146</v>
      </c>
      <c r="J78" s="221">
        <f>('Pivot Table for Data Exchange'!$D$204)*100</f>
        <v>0</v>
      </c>
      <c r="K78" s="221">
        <f>('Pivot Table for Data Exchange'!$D$207)*100</f>
        <v>0</v>
      </c>
      <c r="L78" s="227">
        <f t="shared" si="17"/>
        <v>0</v>
      </c>
      <c r="M78" s="221">
        <f>('Pivot Table for Data Exchange'!$D$210)*100</f>
        <v>0</v>
      </c>
      <c r="N78" s="221">
        <f>('Pivot Table for Data Exchange'!$D$213)*100</f>
        <v>0</v>
      </c>
      <c r="O78" s="223">
        <f>('Pivot Table for Data Exchange'!$D$216)*100</f>
        <v>0</v>
      </c>
      <c r="P78" s="221">
        <f>('Pivot Table for Data Exchange'!$D$219)*100</f>
        <v>0</v>
      </c>
      <c r="Q78" s="97">
        <f t="shared" si="14"/>
        <v>0</v>
      </c>
      <c r="R78" s="97">
        <f t="shared" si="15"/>
        <v>0</v>
      </c>
      <c r="S78" s="63"/>
      <c r="T78" s="63"/>
      <c r="U78" s="63"/>
      <c r="V78" s="63"/>
      <c r="W78" s="63"/>
      <c r="X78" s="63"/>
      <c r="Y78" s="63"/>
      <c r="Z78" s="63"/>
      <c r="AA78" s="63"/>
      <c r="AB78" s="63"/>
      <c r="AC78" s="63"/>
      <c r="AD78" s="63"/>
      <c r="AE78" s="63"/>
      <c r="AF78" s="63"/>
      <c r="AG78" s="63"/>
      <c r="AH78" s="63"/>
      <c r="AI78" s="63"/>
      <c r="AJ78" s="63"/>
      <c r="AK78" s="63"/>
      <c r="AL78" s="63"/>
      <c r="AM78" s="63"/>
      <c r="AN78" s="63"/>
      <c r="AO78" s="63"/>
    </row>
    <row r="79" spans="1:41" ht="15.75" customHeight="1">
      <c r="A79" s="65" t="s">
        <v>147</v>
      </c>
      <c r="B79" s="221">
        <f>('Pivot Table for Data Exchange'!$D$222)*100</f>
        <v>0</v>
      </c>
      <c r="C79" s="221">
        <f>('Pivot Table for Data Exchange'!$D$225)*100</f>
        <v>0</v>
      </c>
      <c r="D79" s="227">
        <f t="shared" si="16"/>
        <v>0</v>
      </c>
      <c r="E79" s="221">
        <f>('Pivot Table for Data Exchange'!$D$228)*100</f>
        <v>0</v>
      </c>
      <c r="F79" s="221">
        <f>('Pivot Table for Data Exchange'!$D$231)*100</f>
        <v>0</v>
      </c>
      <c r="G79" s="223">
        <f>('Pivot Table for Data Exchange'!$D$234)*100</f>
        <v>0</v>
      </c>
      <c r="H79" s="221">
        <f>('Pivot Table for Data Exchange'!$D$237)*100</f>
        <v>0</v>
      </c>
      <c r="I79" s="87" t="s">
        <v>147</v>
      </c>
      <c r="J79" s="221">
        <f>('Pivot Table for Data Exchange'!$D$240)*100</f>
        <v>0</v>
      </c>
      <c r="K79" s="221">
        <f>('Pivot Table for Data Exchange'!$D$243)*100</f>
        <v>0</v>
      </c>
      <c r="L79" s="227">
        <f t="shared" si="17"/>
        <v>0</v>
      </c>
      <c r="M79" s="221">
        <f>('Pivot Table for Data Exchange'!$D$246)*100</f>
        <v>0</v>
      </c>
      <c r="N79" s="221">
        <f>('Pivot Table for Data Exchange'!$D$249)*100</f>
        <v>0</v>
      </c>
      <c r="O79" s="223">
        <f>('Pivot Table for Data Exchange'!$D$252)*100</f>
        <v>0</v>
      </c>
      <c r="P79" s="221">
        <f>('Pivot Table for Data Exchange'!$D$255)*100</f>
        <v>0</v>
      </c>
      <c r="Q79" s="97">
        <f t="shared" si="14"/>
        <v>0</v>
      </c>
      <c r="R79" s="97">
        <f t="shared" si="15"/>
        <v>0</v>
      </c>
      <c r="S79" s="63"/>
      <c r="T79" s="74"/>
      <c r="U79" s="63"/>
      <c r="V79" s="63"/>
      <c r="W79" s="63"/>
      <c r="X79" s="63"/>
      <c r="Y79" s="63"/>
      <c r="Z79" s="63"/>
      <c r="AA79" s="63"/>
      <c r="AB79" s="63"/>
      <c r="AC79" s="63"/>
      <c r="AD79" s="63"/>
      <c r="AE79" s="63"/>
      <c r="AF79" s="63"/>
      <c r="AG79" s="63"/>
      <c r="AH79" s="63"/>
      <c r="AI79" s="63"/>
      <c r="AJ79" s="63"/>
      <c r="AK79" s="63"/>
      <c r="AL79" s="63"/>
      <c r="AM79" s="63"/>
      <c r="AN79" s="63"/>
      <c r="AO79" s="63"/>
    </row>
    <row r="80" spans="1:41" ht="15.75" customHeight="1">
      <c r="A80" s="65" t="s">
        <v>177</v>
      </c>
      <c r="B80" s="221">
        <f>('Pivot Table for Data Exchange'!$D$258)*100</f>
        <v>90.611889735483061</v>
      </c>
      <c r="C80" s="221">
        <f>('Pivot Table for Data Exchange'!$D$261)*100</f>
        <v>1.922603256897589</v>
      </c>
      <c r="D80" s="227">
        <f t="shared" si="16"/>
        <v>7.4655070076193475</v>
      </c>
      <c r="E80" s="221">
        <f>('Pivot Table for Data Exchange'!$D$264)*100</f>
        <v>7.4655070076193475</v>
      </c>
      <c r="F80" s="221">
        <f>('Pivot Table for Data Exchange'!$D$267)*100</f>
        <v>0</v>
      </c>
      <c r="G80" s="223">
        <f>('Pivot Table for Data Exchange'!$D$270)*100</f>
        <v>0</v>
      </c>
      <c r="H80" s="221">
        <f>('Pivot Table for Data Exchange'!$D$273)*100</f>
        <v>0</v>
      </c>
      <c r="I80" s="87" t="s">
        <v>177</v>
      </c>
      <c r="J80" s="221">
        <f>('Pivot Table for Data Exchange'!$D$276)*100</f>
        <v>77.848396710833427</v>
      </c>
      <c r="K80" s="221">
        <f>('Pivot Table for Data Exchange'!$D$279)*100</f>
        <v>3.8924198355416708</v>
      </c>
      <c r="L80" s="227">
        <f t="shared" si="17"/>
        <v>18.259183453624907</v>
      </c>
      <c r="M80" s="221">
        <f>('Pivot Table for Data Exchange'!$D$282)*100</f>
        <v>18.259183453624907</v>
      </c>
      <c r="N80" s="221">
        <f>('Pivot Table for Data Exchange'!$D$285)*100</f>
        <v>0</v>
      </c>
      <c r="O80" s="223">
        <f>('Pivot Table for Data Exchange'!$D$288)*100</f>
        <v>0</v>
      </c>
      <c r="P80" s="221">
        <f>('Pivot Table for Data Exchange'!$D$291)*100</f>
        <v>0</v>
      </c>
      <c r="Q80" s="97">
        <f t="shared" si="14"/>
        <v>100</v>
      </c>
      <c r="R80" s="97">
        <f t="shared" si="15"/>
        <v>100</v>
      </c>
      <c r="S80" s="63"/>
      <c r="U80" s="63"/>
      <c r="V80" s="63"/>
      <c r="W80" s="63"/>
      <c r="X80" s="63"/>
      <c r="Y80" s="63"/>
      <c r="Z80" s="63"/>
      <c r="AA80" s="63"/>
      <c r="AB80" s="63"/>
      <c r="AC80" s="63"/>
      <c r="AD80" s="63"/>
      <c r="AE80" s="63"/>
      <c r="AF80" s="63"/>
      <c r="AG80" s="63"/>
      <c r="AH80" s="63"/>
      <c r="AI80" s="63"/>
      <c r="AJ80" s="63"/>
      <c r="AK80" s="63"/>
      <c r="AL80" s="63"/>
      <c r="AM80" s="63"/>
      <c r="AN80" s="63"/>
      <c r="AO80" s="63"/>
    </row>
    <row r="81" spans="1:41" ht="8.25" customHeight="1">
      <c r="A81" s="65"/>
      <c r="B81" s="221"/>
      <c r="C81" s="221"/>
      <c r="D81" s="227"/>
      <c r="E81" s="221"/>
      <c r="F81" s="221"/>
      <c r="G81" s="223"/>
      <c r="H81" s="221"/>
      <c r="I81" s="87"/>
      <c r="J81" s="221"/>
      <c r="K81" s="221"/>
      <c r="L81" s="227"/>
      <c r="M81" s="221"/>
      <c r="N81" s="221"/>
      <c r="O81" s="223"/>
      <c r="P81" s="221"/>
      <c r="Q81" s="97">
        <f t="shared" si="14"/>
        <v>0</v>
      </c>
      <c r="R81" s="97">
        <f t="shared" si="15"/>
        <v>0</v>
      </c>
      <c r="S81" s="63"/>
      <c r="U81" s="63"/>
      <c r="V81" s="63"/>
      <c r="W81" s="63"/>
      <c r="X81" s="63"/>
      <c r="Y81" s="63"/>
      <c r="Z81" s="63"/>
      <c r="AA81" s="63"/>
      <c r="AB81" s="63"/>
      <c r="AC81" s="63"/>
      <c r="AD81" s="63"/>
      <c r="AE81" s="63"/>
      <c r="AF81" s="63"/>
      <c r="AG81" s="63"/>
      <c r="AH81" s="63"/>
      <c r="AI81" s="63"/>
      <c r="AJ81" s="63"/>
      <c r="AK81" s="63"/>
      <c r="AL81" s="63"/>
      <c r="AM81" s="63"/>
      <c r="AN81" s="63"/>
      <c r="AO81" s="63"/>
    </row>
    <row r="82" spans="1:41" ht="15.75" customHeight="1">
      <c r="A82" s="65" t="s">
        <v>148</v>
      </c>
      <c r="B82" s="221">
        <f>('Pivot Table for Data Exchange'!$D$294)*100</f>
        <v>87.156407263151777</v>
      </c>
      <c r="C82" s="221">
        <f>('Pivot Table for Data Exchange'!$D$297)*100</f>
        <v>4.765166786336577</v>
      </c>
      <c r="D82" s="227">
        <f t="shared" ref="D82:D84" si="18">SUM(E82:G82)</f>
        <v>7.9964114738567069</v>
      </c>
      <c r="E82" s="221">
        <f>('Pivot Table for Data Exchange'!$D$300)*100</f>
        <v>6.3495230748201417</v>
      </c>
      <c r="F82" s="221">
        <f>('Pivot Table for Data Exchange'!$D$303)*100</f>
        <v>1.6468883990365655</v>
      </c>
      <c r="G82" s="223">
        <f>('Pivot Table for Data Exchange'!$D$306)*100</f>
        <v>0</v>
      </c>
      <c r="H82" s="221">
        <f>('Pivot Table for Data Exchange'!$D$309)*100</f>
        <v>8.2014476654940591E-2</v>
      </c>
      <c r="I82" s="87" t="s">
        <v>148</v>
      </c>
      <c r="J82" s="221">
        <f>('Pivot Table for Data Exchange'!$D$312)*100</f>
        <v>76.101628031690467</v>
      </c>
      <c r="K82" s="221">
        <f>('Pivot Table for Data Exchange'!$D$315)*100</f>
        <v>10.916615232062814</v>
      </c>
      <c r="L82" s="227">
        <f t="shared" ref="L82:L84" si="19">SUM(M82:O82)</f>
        <v>12.978721251429208</v>
      </c>
      <c r="M82" s="221">
        <f>('Pivot Table for Data Exchange'!$D$318)*100</f>
        <v>11.630965992451761</v>
      </c>
      <c r="N82" s="221">
        <f>('Pivot Table for Data Exchange'!$D$321)*100</f>
        <v>1.3477552589774464</v>
      </c>
      <c r="O82" s="223">
        <f>('Pivot Table for Data Exchange'!$D$324)*100</f>
        <v>0</v>
      </c>
      <c r="P82" s="61">
        <f>('Pivot Table for Data Exchange'!$D$327)*100</f>
        <v>3.035484817516771E-3</v>
      </c>
      <c r="Q82" s="97">
        <f t="shared" si="14"/>
        <v>100.00000000000001</v>
      </c>
      <c r="R82" s="97">
        <f t="shared" si="15"/>
        <v>100</v>
      </c>
      <c r="S82" s="63"/>
      <c r="T82" s="63"/>
      <c r="U82" s="63"/>
      <c r="V82" s="63"/>
      <c r="W82" s="63"/>
      <c r="X82" s="63"/>
      <c r="Y82" s="63"/>
      <c r="Z82" s="63"/>
      <c r="AA82" s="63"/>
      <c r="AB82" s="63"/>
      <c r="AC82" s="63"/>
      <c r="AD82" s="63"/>
      <c r="AE82" s="63"/>
      <c r="AF82" s="63"/>
      <c r="AG82" s="63"/>
      <c r="AH82" s="63"/>
      <c r="AI82" s="63"/>
      <c r="AJ82" s="63"/>
      <c r="AK82" s="63"/>
      <c r="AL82" s="63"/>
      <c r="AM82" s="63"/>
      <c r="AN82" s="63"/>
      <c r="AO82" s="63"/>
    </row>
    <row r="83" spans="1:41" ht="15.75" customHeight="1">
      <c r="A83" s="65" t="s">
        <v>149</v>
      </c>
      <c r="B83" s="221">
        <f>('Pivot Table for Data Exchange'!$D$330)*100</f>
        <v>83.992565119446326</v>
      </c>
      <c r="C83" s="221">
        <f>('Pivot Table for Data Exchange'!$D$333)*100</f>
        <v>0.76250353328136911</v>
      </c>
      <c r="D83" s="227">
        <f t="shared" si="18"/>
        <v>15.244931347272306</v>
      </c>
      <c r="E83" s="221">
        <f>('Pivot Table for Data Exchange'!$D$336)*100</f>
        <v>15.244931347272306</v>
      </c>
      <c r="F83" s="67">
        <f>('Pivot Table for Data Exchange'!$D$339)*100</f>
        <v>0</v>
      </c>
      <c r="G83" s="223">
        <f>('Pivot Table for Data Exchange'!$D$342)*100</f>
        <v>0</v>
      </c>
      <c r="H83" s="221">
        <f>('Pivot Table for Data Exchange'!$D$345)*100</f>
        <v>0</v>
      </c>
      <c r="I83" s="87" t="s">
        <v>149</v>
      </c>
      <c r="J83" s="221">
        <f>('Pivot Table for Data Exchange'!$D$348)*100</f>
        <v>49.37541863990505</v>
      </c>
      <c r="K83" s="221">
        <f>('Pivot Table for Data Exchange'!$D$351)*100</f>
        <v>5.4220477807678291</v>
      </c>
      <c r="L83" s="227">
        <f t="shared" si="19"/>
        <v>45.202533579327117</v>
      </c>
      <c r="M83" s="221">
        <f>('Pivot Table for Data Exchange'!$D$354)*100</f>
        <v>45.202533579327117</v>
      </c>
      <c r="N83" s="67">
        <f>('Pivot Table for Data Exchange'!$D$357)*100</f>
        <v>0</v>
      </c>
      <c r="O83" s="223">
        <f>('Pivot Table for Data Exchange'!$D$360)*100</f>
        <v>0</v>
      </c>
      <c r="P83" s="221">
        <f>('Pivot Table for Data Exchange'!$D$363)*100</f>
        <v>0</v>
      </c>
      <c r="Q83" s="97">
        <f t="shared" si="14"/>
        <v>100</v>
      </c>
      <c r="R83" s="97">
        <f t="shared" si="15"/>
        <v>100</v>
      </c>
      <c r="S83" s="63"/>
      <c r="T83" s="63"/>
      <c r="U83" s="63"/>
      <c r="V83" s="63"/>
      <c r="W83" s="63"/>
      <c r="X83" s="63"/>
      <c r="Y83" s="63"/>
      <c r="Z83" s="63"/>
      <c r="AA83" s="63"/>
      <c r="AB83" s="63"/>
      <c r="AC83" s="63"/>
      <c r="AD83" s="63"/>
      <c r="AE83" s="63"/>
      <c r="AF83" s="63"/>
      <c r="AG83" s="63"/>
      <c r="AH83" s="63"/>
      <c r="AI83" s="63"/>
      <c r="AJ83" s="63"/>
      <c r="AK83" s="63"/>
      <c r="AL83" s="63"/>
      <c r="AM83" s="63"/>
      <c r="AN83" s="63"/>
      <c r="AO83" s="63"/>
    </row>
    <row r="84" spans="1:41" ht="15.75" customHeight="1">
      <c r="A84" s="65" t="s">
        <v>150</v>
      </c>
      <c r="B84" s="221">
        <f>('Pivot Table for Data Exchange'!$D$366)*100</f>
        <v>0</v>
      </c>
      <c r="C84" s="221">
        <f>('Pivot Table for Data Exchange'!$D$369)*100</f>
        <v>0</v>
      </c>
      <c r="D84" s="227">
        <f t="shared" si="18"/>
        <v>0</v>
      </c>
      <c r="E84" s="221">
        <f>('Pivot Table for Data Exchange'!$D$372)*100</f>
        <v>0</v>
      </c>
      <c r="F84" s="221">
        <f>('Pivot Table for Data Exchange'!$D$375)*100</f>
        <v>0</v>
      </c>
      <c r="G84" s="223">
        <f>('Pivot Table for Data Exchange'!$D$378)*100</f>
        <v>0</v>
      </c>
      <c r="H84" s="221">
        <f>('Pivot Table for Data Exchange'!$D$381)*100</f>
        <v>0</v>
      </c>
      <c r="I84" s="87" t="s">
        <v>150</v>
      </c>
      <c r="J84" s="221">
        <f>('Pivot Table for Data Exchange'!$D$384)*100</f>
        <v>0</v>
      </c>
      <c r="K84" s="221">
        <f>('Pivot Table for Data Exchange'!$D$387)*100</f>
        <v>0</v>
      </c>
      <c r="L84" s="227">
        <f t="shared" si="19"/>
        <v>0</v>
      </c>
      <c r="M84" s="221">
        <f>('Pivot Table for Data Exchange'!$D$390)*100</f>
        <v>0</v>
      </c>
      <c r="N84" s="221">
        <f>('Pivot Table for Data Exchange'!$D$393)*100</f>
        <v>0</v>
      </c>
      <c r="O84" s="223">
        <f>('Pivot Table for Data Exchange'!$D$396)*100</f>
        <v>0</v>
      </c>
      <c r="P84" s="221">
        <f>('Pivot Table for Data Exchange'!$D$399)*100</f>
        <v>0</v>
      </c>
      <c r="Q84" s="97">
        <f t="shared" si="14"/>
        <v>0</v>
      </c>
      <c r="R84" s="97">
        <f t="shared" si="15"/>
        <v>0</v>
      </c>
      <c r="S84" s="63"/>
      <c r="T84" s="74"/>
      <c r="U84" s="63"/>
      <c r="V84" s="63"/>
      <c r="W84" s="63"/>
      <c r="X84" s="63"/>
      <c r="Y84" s="63"/>
      <c r="Z84" s="63"/>
      <c r="AA84" s="63"/>
      <c r="AB84" s="63"/>
      <c r="AC84" s="63"/>
      <c r="AD84" s="63"/>
      <c r="AE84" s="63"/>
      <c r="AF84" s="63"/>
      <c r="AG84" s="63"/>
      <c r="AH84" s="63"/>
      <c r="AI84" s="63"/>
      <c r="AJ84" s="63"/>
      <c r="AK84" s="63"/>
      <c r="AL84" s="63"/>
      <c r="AM84" s="63"/>
      <c r="AN84" s="63"/>
      <c r="AO84" s="63"/>
    </row>
    <row r="85" spans="1:41" ht="15.75" customHeight="1">
      <c r="A85" s="65" t="s">
        <v>151</v>
      </c>
      <c r="B85" s="221">
        <f>('Pivot Table for Data Exchange'!$D$402)*100</f>
        <v>0</v>
      </c>
      <c r="C85" s="221">
        <f>('Pivot Table for Data Exchange'!$D$405)*100</f>
        <v>0</v>
      </c>
      <c r="D85" s="227">
        <f>SUM(E85:G85)</f>
        <v>0</v>
      </c>
      <c r="E85" s="221">
        <f>('Pivot Table for Data Exchange'!$D$408)*100</f>
        <v>0</v>
      </c>
      <c r="F85" s="221">
        <f>('Pivot Table for Data Exchange'!$D$411)*100</f>
        <v>0</v>
      </c>
      <c r="G85" s="223">
        <f>('Pivot Table for Data Exchange'!$D$414)*100</f>
        <v>0</v>
      </c>
      <c r="H85" s="221">
        <f>('Pivot Table for Data Exchange'!$D$417)*100</f>
        <v>0</v>
      </c>
      <c r="I85" s="87" t="s">
        <v>151</v>
      </c>
      <c r="J85" s="221">
        <f>('Pivot Table for Data Exchange'!$D$420)*100</f>
        <v>0</v>
      </c>
      <c r="K85" s="221">
        <f>('Pivot Table for Data Exchange'!$D$423)*100</f>
        <v>0</v>
      </c>
      <c r="L85" s="227">
        <f>SUM(M85:O85)</f>
        <v>0</v>
      </c>
      <c r="M85" s="221">
        <f>('Pivot Table for Data Exchange'!$D$426)*100</f>
        <v>0</v>
      </c>
      <c r="N85" s="221">
        <f>('Pivot Table for Data Exchange'!$D$429)*100</f>
        <v>0</v>
      </c>
      <c r="O85" s="223">
        <f>('Pivot Table for Data Exchange'!$D$432)*100</f>
        <v>0</v>
      </c>
      <c r="P85" s="221">
        <f>('Pivot Table for Data Exchange'!$D$435)*100</f>
        <v>0</v>
      </c>
      <c r="Q85" s="97">
        <f t="shared" si="14"/>
        <v>0</v>
      </c>
      <c r="R85" s="97">
        <f t="shared" si="15"/>
        <v>0</v>
      </c>
      <c r="S85" s="63"/>
      <c r="T85" s="63"/>
      <c r="U85" s="63"/>
      <c r="V85" s="63"/>
      <c r="W85" s="63"/>
      <c r="X85" s="63"/>
      <c r="Y85" s="63"/>
      <c r="Z85" s="63"/>
      <c r="AA85" s="63"/>
      <c r="AB85" s="63"/>
      <c r="AC85" s="63"/>
      <c r="AD85" s="63"/>
      <c r="AE85" s="63"/>
      <c r="AF85" s="63"/>
      <c r="AG85" s="63"/>
      <c r="AH85" s="63"/>
      <c r="AI85" s="63"/>
      <c r="AJ85" s="63"/>
      <c r="AK85" s="63"/>
      <c r="AL85" s="63"/>
      <c r="AM85" s="63"/>
      <c r="AN85" s="63"/>
      <c r="AO85" s="63"/>
    </row>
    <row r="86" spans="1:41" ht="8.25" customHeight="1">
      <c r="A86" s="65"/>
      <c r="B86" s="221"/>
      <c r="C86" s="221"/>
      <c r="D86" s="227"/>
      <c r="E86" s="221"/>
      <c r="F86" s="221"/>
      <c r="G86" s="223"/>
      <c r="H86" s="221"/>
      <c r="I86" s="87"/>
      <c r="J86" s="221"/>
      <c r="K86" s="221"/>
      <c r="L86" s="227"/>
      <c r="M86" s="221"/>
      <c r="N86" s="221"/>
      <c r="O86" s="223"/>
      <c r="P86" s="221"/>
      <c r="Q86" s="97">
        <f t="shared" si="14"/>
        <v>0</v>
      </c>
      <c r="R86" s="97">
        <f t="shared" si="15"/>
        <v>0</v>
      </c>
      <c r="S86" s="63"/>
      <c r="T86" s="63"/>
      <c r="U86" s="63"/>
      <c r="V86" s="63"/>
      <c r="W86" s="63"/>
      <c r="X86" s="63"/>
      <c r="Y86" s="63"/>
      <c r="Z86" s="63"/>
      <c r="AA86" s="63"/>
      <c r="AB86" s="63"/>
      <c r="AC86" s="63"/>
      <c r="AD86" s="63"/>
      <c r="AE86" s="63"/>
      <c r="AF86" s="63"/>
      <c r="AG86" s="63"/>
      <c r="AH86" s="63"/>
      <c r="AI86" s="63"/>
      <c r="AJ86" s="63"/>
      <c r="AK86" s="63"/>
      <c r="AL86" s="63"/>
      <c r="AM86" s="63"/>
      <c r="AN86" s="63"/>
      <c r="AO86" s="63"/>
    </row>
    <row r="87" spans="1:41" ht="15.75" customHeight="1">
      <c r="A87" s="65" t="s">
        <v>152</v>
      </c>
      <c r="B87" s="221">
        <f>('Pivot Table for Data Exchange'!$D$438)*100</f>
        <v>78.645310274784819</v>
      </c>
      <c r="C87" s="221">
        <f>('Pivot Table for Data Exchange'!$D$441)*100</f>
        <v>12.817239442373488</v>
      </c>
      <c r="D87" s="227">
        <f>SUM(E87:G87)</f>
        <v>8.3411348845654096</v>
      </c>
      <c r="E87" s="221">
        <f>('Pivot Table for Data Exchange'!$D$444)*100</f>
        <v>7.6841024244384295</v>
      </c>
      <c r="F87" s="221">
        <f>('Pivot Table for Data Exchange'!$D$447)*100</f>
        <v>0</v>
      </c>
      <c r="G87" s="223">
        <f>('Pivot Table for Data Exchange'!$D$450)*100</f>
        <v>0.65703246012698091</v>
      </c>
      <c r="H87" s="221">
        <f>('Pivot Table for Data Exchange'!$D$453)*100</f>
        <v>0.19631539827628272</v>
      </c>
      <c r="I87" s="87" t="s">
        <v>152</v>
      </c>
      <c r="J87" s="221">
        <f>('Pivot Table for Data Exchange'!$D$456)*100</f>
        <v>46.600584572372597</v>
      </c>
      <c r="K87" s="221">
        <f>('Pivot Table for Data Exchange'!$D$459)*100</f>
        <v>22.432964798576695</v>
      </c>
      <c r="L87" s="227">
        <f>SUM(M87:O87)</f>
        <v>25.92133689159995</v>
      </c>
      <c r="M87" s="221">
        <f>('Pivot Table for Data Exchange'!$D$462)*100</f>
        <v>24.336002033295209</v>
      </c>
      <c r="N87" s="221">
        <f>('Pivot Table for Data Exchange'!$D$465)*100</f>
        <v>0</v>
      </c>
      <c r="O87" s="223">
        <f>('Pivot Table for Data Exchange'!$D$468)*100</f>
        <v>1.5853348583047402</v>
      </c>
      <c r="P87" s="221">
        <f>('Pivot Table for Data Exchange'!$D$471)*100</f>
        <v>5.0451137374507562</v>
      </c>
      <c r="Q87" s="97">
        <f t="shared" si="14"/>
        <v>100</v>
      </c>
      <c r="R87" s="97">
        <f t="shared" si="15"/>
        <v>100</v>
      </c>
      <c r="S87" s="63"/>
      <c r="T87" s="63"/>
      <c r="U87" s="63"/>
      <c r="V87" s="63"/>
      <c r="W87" s="63"/>
      <c r="X87" s="63"/>
      <c r="Y87" s="63"/>
      <c r="Z87" s="63"/>
      <c r="AA87" s="63"/>
      <c r="AB87" s="63"/>
      <c r="AC87" s="63"/>
      <c r="AD87" s="63"/>
      <c r="AE87" s="63"/>
      <c r="AF87" s="63"/>
      <c r="AG87" s="63"/>
      <c r="AH87" s="63"/>
      <c r="AI87" s="63"/>
      <c r="AJ87" s="63"/>
      <c r="AK87" s="63"/>
      <c r="AL87" s="63"/>
      <c r="AM87" s="63"/>
      <c r="AN87" s="63"/>
      <c r="AO87" s="63"/>
    </row>
    <row r="88" spans="1:41" ht="15.75" customHeight="1">
      <c r="A88" s="65" t="s">
        <v>153</v>
      </c>
      <c r="B88" s="221">
        <f>('Pivot Table for Data Exchange'!$D$474)*100</f>
        <v>87.70917983731934</v>
      </c>
      <c r="C88" s="221">
        <f>('Pivot Table for Data Exchange'!$D$477)*100</f>
        <v>0.30417182480310478</v>
      </c>
      <c r="D88" s="227">
        <f>SUM(E88:G88)</f>
        <v>11.986648337877556</v>
      </c>
      <c r="E88" s="221">
        <f>('Pivot Table for Data Exchange'!$D$480)*100</f>
        <v>11.693792768229423</v>
      </c>
      <c r="F88" s="221">
        <f>('Pivot Table for Data Exchange'!$D$483)*100</f>
        <v>0.27371666831220709</v>
      </c>
      <c r="G88" s="68">
        <f>('Pivot Table for Data Exchange'!$D$486)*100</f>
        <v>1.9138901335925693E-2</v>
      </c>
      <c r="H88" s="221">
        <f>('Pivot Table for Data Exchange'!$D$489)*100</f>
        <v>0</v>
      </c>
      <c r="I88" s="87" t="s">
        <v>153</v>
      </c>
      <c r="J88" s="221">
        <f>('Pivot Table for Data Exchange'!$D$492)*100</f>
        <v>66.312283283472922</v>
      </c>
      <c r="K88" s="221">
        <f>('Pivot Table for Data Exchange'!$D$495)*100</f>
        <v>1.3794956976124282</v>
      </c>
      <c r="L88" s="227">
        <f>SUM(M88:O88)</f>
        <v>32.308221018914644</v>
      </c>
      <c r="M88" s="221">
        <f>('Pivot Table for Data Exchange'!$D$498)*100</f>
        <v>32.124493869152786</v>
      </c>
      <c r="N88" s="221">
        <f>('Pivot Table for Data Exchange'!$D$501)*100</f>
        <v>0.13878669586327527</v>
      </c>
      <c r="O88" s="68">
        <f>('Pivot Table for Data Exchange'!$D$504)*100</f>
        <v>4.4940453898584372E-2</v>
      </c>
      <c r="P88" s="221">
        <f>('Pivot Table for Data Exchange'!$D$507)*100</f>
        <v>0</v>
      </c>
      <c r="Q88" s="97">
        <f t="shared" si="14"/>
        <v>100</v>
      </c>
      <c r="R88" s="97">
        <f t="shared" si="15"/>
        <v>100</v>
      </c>
      <c r="S88" s="63"/>
      <c r="T88" s="63"/>
      <c r="U88" s="63"/>
      <c r="V88" s="63"/>
      <c r="W88" s="63"/>
      <c r="X88" s="63"/>
      <c r="Y88" s="63"/>
      <c r="Z88" s="63"/>
      <c r="AA88" s="63"/>
      <c r="AB88" s="63"/>
      <c r="AC88" s="63"/>
      <c r="AD88" s="63"/>
      <c r="AE88" s="63"/>
      <c r="AF88" s="63"/>
      <c r="AG88" s="63"/>
      <c r="AH88" s="63"/>
      <c r="AI88" s="63"/>
      <c r="AJ88" s="63"/>
      <c r="AK88" s="63"/>
      <c r="AL88" s="63"/>
      <c r="AM88" s="63"/>
      <c r="AN88" s="63"/>
      <c r="AO88" s="63"/>
    </row>
    <row r="89" spans="1:41" ht="15.75" customHeight="1">
      <c r="A89" s="65" t="s">
        <v>154</v>
      </c>
      <c r="B89" s="221">
        <f>('Pivot Table for Data Exchange'!$D$510)*100</f>
        <v>94.340770089303078</v>
      </c>
      <c r="C89" s="221">
        <f>('Pivot Table for Data Exchange'!$D$513)*100</f>
        <v>1.4749248764461307</v>
      </c>
      <c r="D89" s="227">
        <f t="shared" ref="D89" si="20">SUM(E89:G89)</f>
        <v>4.1843050342507855</v>
      </c>
      <c r="E89" s="221">
        <f>('Pivot Table for Data Exchange'!$D$516)*100</f>
        <v>4.1783193321776135</v>
      </c>
      <c r="F89" s="67">
        <f>('Pivot Table for Data Exchange'!$D$519)*100</f>
        <v>5.9857020731718556E-3</v>
      </c>
      <c r="G89" s="223">
        <f>('Pivot Table for Data Exchange'!$D$522)*100</f>
        <v>0</v>
      </c>
      <c r="H89" s="221">
        <f>('Pivot Table for Data Exchange'!$D$525)*100</f>
        <v>0</v>
      </c>
      <c r="I89" s="87" t="s">
        <v>154</v>
      </c>
      <c r="J89" s="221">
        <f>('Pivot Table for Data Exchange'!$D$528)*100</f>
        <v>88.892916059259804</v>
      </c>
      <c r="K89" s="221">
        <f>('Pivot Table for Data Exchange'!$D$531)*100</f>
        <v>6.2966881557662129</v>
      </c>
      <c r="L89" s="227">
        <f t="shared" ref="L89" si="21">SUM(M89:O89)</f>
        <v>4.8103957849739754</v>
      </c>
      <c r="M89" s="221">
        <f>('Pivot Table for Data Exchange'!$D$534)*100</f>
        <v>4.7608260555554072</v>
      </c>
      <c r="N89" s="67">
        <f>('Pivot Table for Data Exchange'!$D$537)*100</f>
        <v>4.9569729418568395E-2</v>
      </c>
      <c r="O89" s="223">
        <f>('Pivot Table for Data Exchange'!$D$540)*100</f>
        <v>0</v>
      </c>
      <c r="P89" s="221">
        <f>('Pivot Table for Data Exchange'!$D$543)*100</f>
        <v>0</v>
      </c>
      <c r="Q89" s="97">
        <f t="shared" si="14"/>
        <v>99.999999999999986</v>
      </c>
      <c r="R89" s="97">
        <f t="shared" si="15"/>
        <v>100</v>
      </c>
      <c r="S89" s="63"/>
      <c r="T89" s="63"/>
      <c r="U89" s="63"/>
      <c r="V89" s="63"/>
      <c r="W89" s="63"/>
      <c r="X89" s="63"/>
      <c r="Y89" s="63"/>
      <c r="Z89" s="63"/>
      <c r="AA89" s="63"/>
      <c r="AB89" s="63"/>
      <c r="AC89" s="63"/>
      <c r="AD89" s="63"/>
      <c r="AE89" s="63"/>
      <c r="AF89" s="63"/>
      <c r="AG89" s="63"/>
      <c r="AH89" s="63"/>
      <c r="AI89" s="63"/>
      <c r="AJ89" s="63"/>
      <c r="AK89" s="63"/>
      <c r="AL89" s="63"/>
      <c r="AM89" s="63"/>
      <c r="AN89" s="63"/>
      <c r="AO89" s="63"/>
    </row>
    <row r="90" spans="1:41" ht="15.75" customHeight="1">
      <c r="A90" s="39" t="s">
        <v>155</v>
      </c>
      <c r="B90" s="224">
        <f>('Pivot Table for Data Exchange'!$D$546)*100</f>
        <v>0</v>
      </c>
      <c r="C90" s="224">
        <f>('Pivot Table for Data Exchange'!$D$549)*100</f>
        <v>0</v>
      </c>
      <c r="D90" s="228">
        <f>SUM(E90:G90)</f>
        <v>0</v>
      </c>
      <c r="E90" s="224">
        <f>('Pivot Table for Data Exchange'!$D$552)*100</f>
        <v>0</v>
      </c>
      <c r="F90" s="224">
        <f>('Pivot Table for Data Exchange'!$D$555)*100</f>
        <v>0</v>
      </c>
      <c r="G90" s="225">
        <f>('Pivot Table for Data Exchange'!$D$558)*100</f>
        <v>0</v>
      </c>
      <c r="H90" s="224">
        <f>('Pivot Table for Data Exchange'!$D$561)*100</f>
        <v>0</v>
      </c>
      <c r="I90" s="230" t="s">
        <v>155</v>
      </c>
      <c r="J90" s="224">
        <f>('Pivot Table for Data Exchange'!$D$564)*100</f>
        <v>0</v>
      </c>
      <c r="K90" s="224">
        <f>('Pivot Table for Data Exchange'!$D$567)*100</f>
        <v>0</v>
      </c>
      <c r="L90" s="228">
        <f>SUM(M90:O90)</f>
        <v>0</v>
      </c>
      <c r="M90" s="224">
        <f>('Pivot Table for Data Exchange'!$D$570)*100</f>
        <v>0</v>
      </c>
      <c r="N90" s="224">
        <f>('Pivot Table for Data Exchange'!$D$573)*100</f>
        <v>0</v>
      </c>
      <c r="O90" s="225">
        <f>('Pivot Table for Data Exchange'!$D$576)*100</f>
        <v>0</v>
      </c>
      <c r="P90" s="224">
        <f>('Pivot Table for Data Exchange'!$D$579)*100</f>
        <v>0</v>
      </c>
      <c r="Q90" s="97">
        <f t="shared" si="14"/>
        <v>0</v>
      </c>
      <c r="R90" s="97">
        <f t="shared" si="15"/>
        <v>0</v>
      </c>
      <c r="S90" s="63"/>
      <c r="T90" s="63"/>
      <c r="U90" s="63"/>
      <c r="V90" s="63"/>
      <c r="W90" s="63"/>
      <c r="X90" s="63"/>
      <c r="Y90" s="63"/>
      <c r="Z90" s="63"/>
      <c r="AA90" s="63"/>
      <c r="AB90" s="63"/>
      <c r="AC90" s="63"/>
      <c r="AD90" s="63"/>
      <c r="AE90" s="63"/>
      <c r="AF90" s="63"/>
      <c r="AG90" s="63"/>
      <c r="AH90" s="63"/>
      <c r="AI90" s="63"/>
      <c r="AJ90" s="63"/>
      <c r="AK90" s="63"/>
      <c r="AL90" s="63"/>
      <c r="AM90" s="63"/>
      <c r="AN90" s="63"/>
      <c r="AO90" s="63"/>
    </row>
    <row r="91" spans="1:41" s="25" customFormat="1" ht="11.25" customHeight="1">
      <c r="A91" s="691" t="s">
        <v>175</v>
      </c>
      <c r="B91" s="69"/>
      <c r="C91" s="69"/>
      <c r="D91" s="70"/>
      <c r="E91" s="69"/>
      <c r="F91" s="70"/>
      <c r="G91" s="70"/>
      <c r="H91" s="69"/>
      <c r="I91" s="691" t="s">
        <v>175</v>
      </c>
      <c r="J91" s="69"/>
      <c r="K91" s="69"/>
      <c r="L91" s="70"/>
      <c r="M91" s="69"/>
      <c r="N91" s="70"/>
      <c r="O91" s="70"/>
      <c r="P91" s="69"/>
      <c r="Q91" s="97"/>
      <c r="R91" s="97"/>
      <c r="S91" s="71"/>
      <c r="T91" s="71"/>
      <c r="U91" s="71"/>
      <c r="V91" s="71"/>
      <c r="W91" s="71"/>
      <c r="X91" s="71"/>
      <c r="Y91" s="71"/>
      <c r="Z91" s="71"/>
      <c r="AA91" s="71"/>
      <c r="AB91" s="71"/>
      <c r="AC91" s="71"/>
      <c r="AD91" s="71"/>
      <c r="AE91" s="71"/>
      <c r="AF91" s="71"/>
      <c r="AG91" s="71"/>
      <c r="AH91" s="71"/>
      <c r="AI91" s="71"/>
      <c r="AJ91" s="71"/>
      <c r="AK91" s="71"/>
      <c r="AL91" s="71"/>
      <c r="AM91" s="71"/>
      <c r="AN91" s="71"/>
      <c r="AO91" s="71"/>
    </row>
    <row r="92" spans="1:41" s="25" customFormat="1" ht="10.5" customHeight="1">
      <c r="A92" s="78"/>
      <c r="B92" s="111"/>
      <c r="C92" s="111"/>
      <c r="D92" s="79"/>
      <c r="E92" s="111"/>
      <c r="F92" s="111"/>
      <c r="G92" s="112"/>
      <c r="H92" s="112"/>
      <c r="I92" s="78"/>
      <c r="J92" s="111"/>
      <c r="K92" s="111"/>
      <c r="L92" s="79"/>
      <c r="M92" s="111"/>
      <c r="N92" s="111"/>
      <c r="O92" s="111"/>
      <c r="P92" s="112"/>
      <c r="Q92" s="97"/>
      <c r="R92" s="97"/>
      <c r="S92" s="71"/>
      <c r="T92" s="71"/>
      <c r="U92" s="71"/>
      <c r="V92" s="71"/>
      <c r="W92" s="71"/>
      <c r="X92" s="71"/>
      <c r="Y92" s="71"/>
      <c r="Z92" s="71"/>
      <c r="AA92" s="71"/>
      <c r="AB92" s="71"/>
      <c r="AC92" s="71"/>
      <c r="AD92" s="71"/>
      <c r="AE92" s="71"/>
      <c r="AF92" s="71"/>
      <c r="AG92" s="71"/>
      <c r="AH92" s="71"/>
      <c r="AI92" s="71"/>
      <c r="AJ92" s="71"/>
      <c r="AK92" s="71"/>
      <c r="AL92" s="71"/>
      <c r="AM92" s="71"/>
      <c r="AN92" s="71"/>
      <c r="AO92" s="71"/>
    </row>
    <row r="93" spans="1:41" s="25" customFormat="1" ht="13.5" customHeight="1">
      <c r="A93" s="24"/>
      <c r="B93" s="76"/>
      <c r="H93" s="27" t="s">
        <v>899</v>
      </c>
      <c r="I93" s="24"/>
      <c r="P93" s="27" t="s">
        <v>899</v>
      </c>
      <c r="Q93" s="97"/>
      <c r="R93" s="97"/>
    </row>
    <row r="94" spans="1:41" ht="18">
      <c r="A94" s="16" t="s">
        <v>203</v>
      </c>
      <c r="B94" s="34"/>
      <c r="C94" s="34"/>
      <c r="D94" s="34"/>
      <c r="E94" s="34"/>
      <c r="F94" s="34"/>
      <c r="G94" s="34"/>
      <c r="H94" s="35"/>
      <c r="I94" s="16" t="s">
        <v>218</v>
      </c>
      <c r="J94" s="19"/>
      <c r="K94" s="19"/>
      <c r="L94" s="34"/>
      <c r="M94" s="19"/>
      <c r="N94" s="19"/>
      <c r="O94" s="19"/>
      <c r="P94" s="19"/>
      <c r="Q94" s="97"/>
      <c r="R94" s="97"/>
    </row>
    <row r="95" spans="1:41">
      <c r="A95" s="18"/>
      <c r="B95" s="19"/>
      <c r="C95" s="19"/>
      <c r="D95" s="19"/>
      <c r="E95" s="19"/>
      <c r="F95" s="19"/>
      <c r="G95" s="19"/>
      <c r="H95" s="36"/>
      <c r="I95" s="18"/>
      <c r="J95" s="19"/>
      <c r="K95" s="19"/>
      <c r="L95" s="19"/>
      <c r="M95" s="19"/>
      <c r="N95" s="19"/>
      <c r="O95" s="19"/>
      <c r="P95" s="19"/>
      <c r="Q95" s="97"/>
      <c r="R95" s="97"/>
    </row>
    <row r="96" spans="1:41" ht="15.75">
      <c r="A96" s="37" t="s">
        <v>162</v>
      </c>
      <c r="B96" s="19"/>
      <c r="C96" s="19"/>
      <c r="D96" s="19"/>
      <c r="E96" s="19"/>
      <c r="F96" s="19"/>
      <c r="G96" s="19"/>
      <c r="H96" s="36"/>
      <c r="I96" s="37" t="s">
        <v>163</v>
      </c>
      <c r="J96" s="19"/>
      <c r="K96" s="19"/>
      <c r="L96" s="19"/>
      <c r="M96" s="19"/>
      <c r="N96" s="19"/>
      <c r="O96" s="19"/>
      <c r="P96" s="19"/>
      <c r="Q96" s="97"/>
      <c r="R96" s="97"/>
    </row>
    <row r="97" spans="1:41" ht="15.75">
      <c r="A97" s="37" t="s">
        <v>267</v>
      </c>
      <c r="B97" s="19"/>
      <c r="C97" s="19"/>
      <c r="D97" s="19"/>
      <c r="E97" s="19"/>
      <c r="F97" s="19"/>
      <c r="G97" s="19"/>
      <c r="H97" s="36"/>
      <c r="I97" s="37" t="s">
        <v>267</v>
      </c>
      <c r="J97" s="19"/>
      <c r="K97" s="19"/>
      <c r="L97" s="19"/>
      <c r="M97" s="19"/>
      <c r="N97" s="19"/>
      <c r="O97" s="19"/>
      <c r="P97" s="19"/>
      <c r="Q97" s="97"/>
      <c r="R97" s="97"/>
    </row>
    <row r="98" spans="1:41">
      <c r="A98" s="39"/>
      <c r="B98" s="40"/>
      <c r="C98" s="40"/>
      <c r="D98" s="40"/>
      <c r="E98" s="40"/>
      <c r="F98" s="40"/>
      <c r="G98" s="40"/>
      <c r="H98" s="40"/>
      <c r="I98" s="41"/>
      <c r="L98" s="42"/>
      <c r="P98" s="39"/>
      <c r="Q98" s="97"/>
      <c r="R98" s="97"/>
    </row>
    <row r="99" spans="1:41" s="48" customFormat="1">
      <c r="A99" s="43"/>
      <c r="B99" s="668" t="s">
        <v>164</v>
      </c>
      <c r="C99" s="668"/>
      <c r="D99" s="668"/>
      <c r="E99" s="668"/>
      <c r="F99" s="668"/>
      <c r="G99" s="668"/>
      <c r="H99" s="668"/>
      <c r="I99" s="43"/>
      <c r="J99" s="44" t="s">
        <v>164</v>
      </c>
      <c r="K99" s="44"/>
      <c r="L99" s="44"/>
      <c r="M99" s="44"/>
      <c r="N99" s="44"/>
      <c r="O99" s="44"/>
      <c r="P99" s="45"/>
      <c r="Q99" s="97"/>
      <c r="R99" s="97"/>
    </row>
    <row r="100" spans="1:41" s="48" customFormat="1">
      <c r="A100" s="43"/>
      <c r="B100" s="44" t="s">
        <v>165</v>
      </c>
      <c r="C100" s="44"/>
      <c r="D100" s="670" t="s">
        <v>166</v>
      </c>
      <c r="E100" s="668"/>
      <c r="F100" s="668"/>
      <c r="G100" s="668"/>
      <c r="H100" s="49" t="s">
        <v>39</v>
      </c>
      <c r="I100" s="43"/>
      <c r="J100" s="44" t="s">
        <v>165</v>
      </c>
      <c r="K100" s="44"/>
      <c r="L100" s="670" t="s">
        <v>166</v>
      </c>
      <c r="M100" s="668"/>
      <c r="N100" s="668"/>
      <c r="O100" s="668"/>
      <c r="P100" s="49" t="s">
        <v>39</v>
      </c>
      <c r="Q100" s="97"/>
      <c r="R100" s="97"/>
    </row>
    <row r="101" spans="1:41" s="48" customFormat="1" ht="40.5" customHeight="1">
      <c r="A101" s="43"/>
      <c r="B101" s="50" t="s">
        <v>167</v>
      </c>
      <c r="C101" s="51" t="s">
        <v>168</v>
      </c>
      <c r="D101" s="52" t="s">
        <v>169</v>
      </c>
      <c r="E101" s="53" t="s">
        <v>7</v>
      </c>
      <c r="F101" s="50" t="s">
        <v>170</v>
      </c>
      <c r="G101" s="54" t="s">
        <v>171</v>
      </c>
      <c r="H101" s="55" t="s">
        <v>172</v>
      </c>
      <c r="I101" s="43"/>
      <c r="J101" s="50" t="s">
        <v>167</v>
      </c>
      <c r="K101" s="51" t="s">
        <v>168</v>
      </c>
      <c r="L101" s="52" t="s">
        <v>169</v>
      </c>
      <c r="M101" s="53" t="s">
        <v>7</v>
      </c>
      <c r="N101" s="50" t="s">
        <v>170</v>
      </c>
      <c r="O101" s="54" t="s">
        <v>171</v>
      </c>
      <c r="P101" s="55" t="s">
        <v>172</v>
      </c>
      <c r="Q101" s="97"/>
      <c r="R101" s="97"/>
      <c r="T101" s="73"/>
    </row>
    <row r="102" spans="1:41" ht="15.75" customHeight="1">
      <c r="A102" s="62" t="s">
        <v>141</v>
      </c>
      <c r="B102" s="221">
        <f>('Pivot Table for Data Exchange'!$E$6)*100</f>
        <v>83.996890863017882</v>
      </c>
      <c r="C102" s="221">
        <f>('Pivot Table for Data Exchange'!$E$9)*100</f>
        <v>0.33786884693542035</v>
      </c>
      <c r="D102" s="227">
        <f>SUM(E102:G102)</f>
        <v>15.665240290046697</v>
      </c>
      <c r="E102" s="221">
        <f>('Pivot Table for Data Exchange'!$E$12)*100</f>
        <v>15.401614288087801</v>
      </c>
      <c r="F102" s="221">
        <f>('Pivot Table for Data Exchange'!$E$15)*100</f>
        <v>0.24445531428890108</v>
      </c>
      <c r="G102" s="315">
        <f>('Pivot Table for Data Exchange'!$E$18)*100</f>
        <v>1.9170687669994621E-2</v>
      </c>
      <c r="H102" s="221">
        <f>('Pivot Table for Data Exchange'!$E$21)*100</f>
        <v>0</v>
      </c>
      <c r="I102" s="229" t="s">
        <v>141</v>
      </c>
      <c r="J102" s="221">
        <f>('Pivot Table for Data Exchange'!$E$24)*100</f>
        <v>66.510823106099664</v>
      </c>
      <c r="K102" s="221">
        <f>('Pivot Table for Data Exchange'!$E$27)*100</f>
        <v>0.23949488351839754</v>
      </c>
      <c r="L102" s="227">
        <f>SUM(M102:O102)</f>
        <v>33.249682010381932</v>
      </c>
      <c r="M102" s="221">
        <f>('Pivot Table for Data Exchange'!$E$30)*100</f>
        <v>32.679019560658666</v>
      </c>
      <c r="N102" s="67">
        <f>('Pivot Table for Data Exchange'!$E$33)*100</f>
        <v>0</v>
      </c>
      <c r="O102" s="60">
        <f>('Pivot Table for Data Exchange'!$E$36)*100</f>
        <v>0.57066244972326308</v>
      </c>
      <c r="P102" s="221">
        <f>('Pivot Table for Data Exchange'!$E$39)*100</f>
        <v>0</v>
      </c>
      <c r="Q102" s="97">
        <f>SUM(B102,C102,D102,H102)</f>
        <v>100</v>
      </c>
      <c r="R102" s="97">
        <f t="shared" si="15"/>
        <v>100</v>
      </c>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row>
    <row r="103" spans="1:41" ht="15.75" customHeight="1">
      <c r="A103" s="65" t="s">
        <v>142</v>
      </c>
      <c r="B103" s="221">
        <f>('Pivot Table for Data Exchange'!$E$42)*100</f>
        <v>77.661861026843596</v>
      </c>
      <c r="C103" s="221">
        <f>('Pivot Table for Data Exchange'!$E$45)*100</f>
        <v>4.3158158327877318</v>
      </c>
      <c r="D103" s="227">
        <f t="shared" ref="D103:D105" si="22">SUM(E103:G103)</f>
        <v>17.973023379563816</v>
      </c>
      <c r="E103" s="221">
        <f>('Pivot Table for Data Exchange'!$E$48)*100</f>
        <v>17.461505755551439</v>
      </c>
      <c r="F103" s="221">
        <f>('Pivot Table for Data Exchange'!$E$51)*100</f>
        <v>0.3988324564583991</v>
      </c>
      <c r="G103" s="223">
        <f>('Pivot Table for Data Exchange'!$E$54)*100</f>
        <v>0.1126851675539754</v>
      </c>
      <c r="H103" s="67">
        <f>('Pivot Table for Data Exchange'!$E$57)*100</f>
        <v>4.929976080486425E-2</v>
      </c>
      <c r="I103" s="87" t="s">
        <v>142</v>
      </c>
      <c r="J103" s="221">
        <f>('Pivot Table for Data Exchange'!$E$60)*100</f>
        <v>41.710382245755099</v>
      </c>
      <c r="K103" s="221">
        <f>('Pivot Table for Data Exchange'!$E$63)*100</f>
        <v>0.94213201287771076</v>
      </c>
      <c r="L103" s="227">
        <f t="shared" ref="L103:L105" si="23">SUM(M103:O103)</f>
        <v>57.347485741367201</v>
      </c>
      <c r="M103" s="221">
        <f>('Pivot Table for Data Exchange'!$E$66)*100</f>
        <v>55.602948145969179</v>
      </c>
      <c r="N103" s="221">
        <f>('Pivot Table for Data Exchange'!$E$69)*100</f>
        <v>1.4928665980291218</v>
      </c>
      <c r="O103" s="223">
        <f>('Pivot Table for Data Exchange'!$E$72)*100</f>
        <v>0.25167099736889414</v>
      </c>
      <c r="P103" s="221">
        <f>('Pivot Table for Data Exchange'!$E$75)*100</f>
        <v>0</v>
      </c>
      <c r="Q103" s="97">
        <f t="shared" si="14"/>
        <v>100.00000000000001</v>
      </c>
      <c r="R103" s="97">
        <f t="shared" si="15"/>
        <v>100.00000000000001</v>
      </c>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row>
    <row r="104" spans="1:41" ht="15.75" customHeight="1">
      <c r="A104" s="65" t="s">
        <v>143</v>
      </c>
      <c r="B104" s="221">
        <f>('Pivot Table for Data Exchange'!$E$78)*100</f>
        <v>98.160052818124953</v>
      </c>
      <c r="C104" s="221">
        <f>('Pivot Table for Data Exchange'!$E$81)*100</f>
        <v>0</v>
      </c>
      <c r="D104" s="227">
        <f t="shared" si="22"/>
        <v>1.8399471818750437</v>
      </c>
      <c r="E104" s="221">
        <f>('Pivot Table for Data Exchange'!$E$84)*100</f>
        <v>1.8399471818750437</v>
      </c>
      <c r="F104" s="221">
        <f>('Pivot Table for Data Exchange'!$E$87)*100</f>
        <v>0</v>
      </c>
      <c r="G104" s="223">
        <f>('Pivot Table for Data Exchange'!$E$90)*100</f>
        <v>0</v>
      </c>
      <c r="H104" s="221">
        <f>('Pivot Table for Data Exchange'!$E$93)*100</f>
        <v>0</v>
      </c>
      <c r="I104" s="87" t="s">
        <v>143</v>
      </c>
      <c r="J104" s="221">
        <f>('Pivot Table for Data Exchange'!$E$96)*100</f>
        <v>97.92040694195093</v>
      </c>
      <c r="K104" s="221">
        <f>('Pivot Table for Data Exchange'!$E$99)*100</f>
        <v>0</v>
      </c>
      <c r="L104" s="227">
        <f t="shared" si="23"/>
        <v>2.0795930580490727</v>
      </c>
      <c r="M104" s="221">
        <f>('Pivot Table for Data Exchange'!$E$102)*100</f>
        <v>2.0795930580490727</v>
      </c>
      <c r="N104" s="221">
        <f>('Pivot Table for Data Exchange'!$E$105)*100</f>
        <v>0</v>
      </c>
      <c r="O104" s="223">
        <f>('Pivot Table for Data Exchange'!$E$108)*100</f>
        <v>0</v>
      </c>
      <c r="P104" s="221">
        <f>('Pivot Table for Data Exchange'!$E$111)*100</f>
        <v>0</v>
      </c>
      <c r="Q104" s="97">
        <f t="shared" si="14"/>
        <v>100</v>
      </c>
      <c r="R104" s="97">
        <f t="shared" si="15"/>
        <v>100</v>
      </c>
      <c r="S104" s="63"/>
      <c r="T104" s="74"/>
      <c r="U104" s="63"/>
      <c r="V104" s="63"/>
      <c r="W104" s="63"/>
      <c r="X104" s="63"/>
      <c r="Y104" s="63"/>
      <c r="Z104" s="63"/>
      <c r="AA104" s="63"/>
      <c r="AB104" s="63"/>
      <c r="AC104" s="63"/>
      <c r="AD104" s="63"/>
      <c r="AE104" s="63"/>
      <c r="AF104" s="63"/>
      <c r="AG104" s="63"/>
      <c r="AH104" s="63"/>
      <c r="AI104" s="63"/>
      <c r="AJ104" s="63"/>
      <c r="AK104" s="63"/>
      <c r="AL104" s="63"/>
      <c r="AM104" s="63"/>
      <c r="AN104" s="63"/>
      <c r="AO104" s="63"/>
    </row>
    <row r="105" spans="1:41" ht="15.75" customHeight="1">
      <c r="A105" s="65" t="s">
        <v>174</v>
      </c>
      <c r="B105" s="221">
        <f>('Pivot Table for Data Exchange'!$E$114)*100</f>
        <v>86.034623497076424</v>
      </c>
      <c r="C105" s="221">
        <f>('Pivot Table for Data Exchange'!$E$117)*100</f>
        <v>1.1668796623440474</v>
      </c>
      <c r="D105" s="227">
        <f t="shared" si="22"/>
        <v>12.798496840579535</v>
      </c>
      <c r="E105" s="221">
        <f>('Pivot Table for Data Exchange'!$E$120)*100</f>
        <v>10.502249911351996</v>
      </c>
      <c r="F105" s="221">
        <f>('Pivot Table for Data Exchange'!$E$123)*100</f>
        <v>2.2962469292275389</v>
      </c>
      <c r="G105" s="223">
        <f>('Pivot Table for Data Exchange'!$E$126)*100</f>
        <v>0</v>
      </c>
      <c r="H105" s="221">
        <f>('Pivot Table for Data Exchange'!$E$129)*100</f>
        <v>0</v>
      </c>
      <c r="I105" s="87" t="s">
        <v>174</v>
      </c>
      <c r="J105" s="221">
        <f>('Pivot Table for Data Exchange'!$E$132)*100</f>
        <v>55.523162524125283</v>
      </c>
      <c r="K105" s="221">
        <f>('Pivot Table for Data Exchange'!$E$135)*100</f>
        <v>18.661098078565907</v>
      </c>
      <c r="L105" s="227">
        <f t="shared" si="23"/>
        <v>25.815739397308818</v>
      </c>
      <c r="M105" s="221">
        <f>('Pivot Table for Data Exchange'!$E$138)*100</f>
        <v>21.00469623623108</v>
      </c>
      <c r="N105" s="221">
        <f>('Pivot Table for Data Exchange'!$E$141)*100</f>
        <v>4.8110431610777393</v>
      </c>
      <c r="O105" s="223">
        <f>('Pivot Table for Data Exchange'!$E$144)*100</f>
        <v>0</v>
      </c>
      <c r="P105" s="221">
        <f>('Pivot Table for Data Exchange'!$E$147)*100</f>
        <v>0</v>
      </c>
      <c r="Q105" s="97">
        <f t="shared" si="14"/>
        <v>100</v>
      </c>
      <c r="R105" s="97">
        <f t="shared" si="15"/>
        <v>100</v>
      </c>
      <c r="S105" s="63"/>
      <c r="U105" s="63"/>
      <c r="V105" s="63"/>
      <c r="W105" s="63"/>
      <c r="X105" s="63"/>
      <c r="Y105" s="63"/>
      <c r="Z105" s="63"/>
      <c r="AA105" s="63"/>
      <c r="AB105" s="63"/>
      <c r="AC105" s="63"/>
      <c r="AD105" s="63"/>
      <c r="AE105" s="63"/>
      <c r="AF105" s="63"/>
      <c r="AG105" s="63"/>
      <c r="AH105" s="63"/>
      <c r="AI105" s="63"/>
      <c r="AJ105" s="63"/>
      <c r="AK105" s="63"/>
      <c r="AL105" s="63"/>
      <c r="AM105" s="63"/>
      <c r="AN105" s="63"/>
      <c r="AO105" s="63"/>
    </row>
    <row r="106" spans="1:41" ht="11.25" customHeight="1">
      <c r="A106" s="65"/>
      <c r="B106" s="221"/>
      <c r="C106" s="221"/>
      <c r="D106" s="227"/>
      <c r="E106" s="221"/>
      <c r="F106" s="221"/>
      <c r="G106" s="223"/>
      <c r="H106" s="221"/>
      <c r="I106" s="87"/>
      <c r="J106" s="221"/>
      <c r="K106" s="221"/>
      <c r="L106" s="227"/>
      <c r="M106" s="221"/>
      <c r="N106" s="221"/>
      <c r="O106" s="223"/>
      <c r="P106" s="221"/>
      <c r="Q106" s="97">
        <f t="shared" si="14"/>
        <v>0</v>
      </c>
      <c r="R106" s="97">
        <f t="shared" si="15"/>
        <v>0</v>
      </c>
      <c r="S106" s="63"/>
      <c r="U106" s="63"/>
      <c r="V106" s="63"/>
      <c r="W106" s="63"/>
      <c r="X106" s="63"/>
      <c r="Y106" s="63"/>
      <c r="Z106" s="63"/>
      <c r="AA106" s="63"/>
      <c r="AB106" s="63"/>
      <c r="AC106" s="63"/>
      <c r="AD106" s="63"/>
      <c r="AE106" s="63"/>
      <c r="AF106" s="63"/>
      <c r="AG106" s="63"/>
      <c r="AH106" s="63"/>
      <c r="AI106" s="63"/>
      <c r="AJ106" s="63"/>
      <c r="AK106" s="63"/>
      <c r="AL106" s="63"/>
      <c r="AM106" s="63"/>
      <c r="AN106" s="63"/>
      <c r="AO106" s="63"/>
    </row>
    <row r="107" spans="1:41" ht="15.75" customHeight="1">
      <c r="A107" s="65" t="s">
        <v>145</v>
      </c>
      <c r="B107" s="221">
        <f>('Pivot Table for Data Exchange'!$E$150)*100</f>
        <v>0</v>
      </c>
      <c r="C107" s="221">
        <f>('Pivot Table for Data Exchange'!$E$153)*100</f>
        <v>0</v>
      </c>
      <c r="D107" s="227">
        <f t="shared" ref="D107:D110" si="24">SUM(E107:G107)</f>
        <v>0</v>
      </c>
      <c r="E107" s="221">
        <f>('Pivot Table for Data Exchange'!$E$156)*100</f>
        <v>0</v>
      </c>
      <c r="F107" s="221">
        <f>('Pivot Table for Data Exchange'!$E$159)*100</f>
        <v>0</v>
      </c>
      <c r="G107" s="223">
        <f>('Pivot Table for Data Exchange'!$E$162)*100</f>
        <v>0</v>
      </c>
      <c r="H107" s="221">
        <f>('Pivot Table for Data Exchange'!$E$165)*100</f>
        <v>0</v>
      </c>
      <c r="I107" s="87" t="s">
        <v>145</v>
      </c>
      <c r="J107" s="221">
        <f>('Pivot Table for Data Exchange'!$E$168)*100</f>
        <v>0</v>
      </c>
      <c r="K107" s="221">
        <f>('Pivot Table for Data Exchange'!$E$171)*100</f>
        <v>0</v>
      </c>
      <c r="L107" s="227">
        <f t="shared" ref="L107:L110" si="25">SUM(M107:O107)</f>
        <v>0</v>
      </c>
      <c r="M107" s="221">
        <f>('Pivot Table for Data Exchange'!$E$174)*100</f>
        <v>0</v>
      </c>
      <c r="N107" s="221">
        <f>('Pivot Table for Data Exchange'!$E$177)*100</f>
        <v>0</v>
      </c>
      <c r="O107" s="223">
        <f>('Pivot Table for Data Exchange'!$E$180)*100</f>
        <v>0</v>
      </c>
      <c r="P107" s="221">
        <f>('Pivot Table for Data Exchange'!$E$183)*100</f>
        <v>0</v>
      </c>
      <c r="Q107" s="97">
        <f t="shared" si="14"/>
        <v>0</v>
      </c>
      <c r="R107" s="97">
        <f t="shared" si="15"/>
        <v>0</v>
      </c>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row>
    <row r="108" spans="1:41" ht="15.75" customHeight="1">
      <c r="A108" s="65" t="s">
        <v>146</v>
      </c>
      <c r="B108" s="221">
        <f>('Pivot Table for Data Exchange'!$E$186)*100</f>
        <v>77.913091825387909</v>
      </c>
      <c r="C108" s="221">
        <f>('Pivot Table for Data Exchange'!$E$189)*100</f>
        <v>6.0496006039398917</v>
      </c>
      <c r="D108" s="227">
        <f t="shared" si="24"/>
        <v>16.037307570672191</v>
      </c>
      <c r="E108" s="221">
        <f>('Pivot Table for Data Exchange'!$E$192)*100</f>
        <v>14.395983595686726</v>
      </c>
      <c r="F108" s="221">
        <f>('Pivot Table for Data Exchange'!$E$195)*100</f>
        <v>1.5648113197922937</v>
      </c>
      <c r="G108" s="223">
        <f>('Pivot Table for Data Exchange'!$E$198)*100</f>
        <v>7.6512655193168952E-2</v>
      </c>
      <c r="H108" s="221">
        <f>('Pivot Table for Data Exchange'!$E$201)*100</f>
        <v>0</v>
      </c>
      <c r="I108" s="87" t="s">
        <v>146</v>
      </c>
      <c r="J108" s="221">
        <f>('Pivot Table for Data Exchange'!$E$204)*100</f>
        <v>50.202337213161528</v>
      </c>
      <c r="K108" s="221">
        <f>('Pivot Table for Data Exchange'!$E$207)*100</f>
        <v>3.271749066919758</v>
      </c>
      <c r="L108" s="227">
        <f t="shared" si="25"/>
        <v>46.525913719918719</v>
      </c>
      <c r="M108" s="221">
        <f>('Pivot Table for Data Exchange'!$E$210)*100</f>
        <v>44.943316467046692</v>
      </c>
      <c r="N108" s="221">
        <f>('Pivot Table for Data Exchange'!$E$213)*100</f>
        <v>1.5825972528720238</v>
      </c>
      <c r="O108" s="68">
        <f>('Pivot Table for Data Exchange'!$E$216)*100</f>
        <v>0</v>
      </c>
      <c r="P108" s="221">
        <f>('Pivot Table for Data Exchange'!$E$219)*100</f>
        <v>0</v>
      </c>
      <c r="Q108" s="97">
        <f t="shared" si="14"/>
        <v>100</v>
      </c>
      <c r="R108" s="97">
        <f t="shared" si="15"/>
        <v>100</v>
      </c>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row>
    <row r="109" spans="1:41" ht="15.75" customHeight="1">
      <c r="A109" s="65" t="s">
        <v>147</v>
      </c>
      <c r="B109" s="221">
        <f>('Pivot Table for Data Exchange'!$E$222)*100</f>
        <v>0</v>
      </c>
      <c r="C109" s="221">
        <f>('Pivot Table for Data Exchange'!$E$225)*100</f>
        <v>0</v>
      </c>
      <c r="D109" s="227">
        <f t="shared" si="24"/>
        <v>0</v>
      </c>
      <c r="E109" s="221">
        <f>('Pivot Table for Data Exchange'!$E$228)*100</f>
        <v>0</v>
      </c>
      <c r="F109" s="221">
        <f>('Pivot Table for Data Exchange'!$E$231)*100</f>
        <v>0</v>
      </c>
      <c r="G109" s="223">
        <f>('Pivot Table for Data Exchange'!$E$234)*100</f>
        <v>0</v>
      </c>
      <c r="H109" s="221">
        <f>('Pivot Table for Data Exchange'!$E$237)*100</f>
        <v>0</v>
      </c>
      <c r="I109" s="87" t="s">
        <v>147</v>
      </c>
      <c r="J109" s="221">
        <f>('Pivot Table for Data Exchange'!$E$240)*100</f>
        <v>0</v>
      </c>
      <c r="K109" s="221">
        <f>('Pivot Table for Data Exchange'!$E$243)*100</f>
        <v>0</v>
      </c>
      <c r="L109" s="227">
        <f t="shared" si="25"/>
        <v>0</v>
      </c>
      <c r="M109" s="221">
        <f>('Pivot Table for Data Exchange'!$E$246)*100</f>
        <v>0</v>
      </c>
      <c r="N109" s="221">
        <f>('Pivot Table for Data Exchange'!$E$249)*100</f>
        <v>0</v>
      </c>
      <c r="O109" s="223">
        <f>('Pivot Table for Data Exchange'!$E$252)*100</f>
        <v>0</v>
      </c>
      <c r="P109" s="221">
        <f>('Pivot Table for Data Exchange'!$E$255)*100</f>
        <v>0</v>
      </c>
      <c r="Q109" s="97">
        <f t="shared" si="14"/>
        <v>0</v>
      </c>
      <c r="R109" s="97">
        <f t="shared" si="15"/>
        <v>0</v>
      </c>
      <c r="S109" s="63"/>
      <c r="T109" s="74"/>
      <c r="U109" s="63"/>
      <c r="V109" s="63"/>
      <c r="W109" s="63"/>
      <c r="X109" s="63"/>
      <c r="Y109" s="63"/>
      <c r="Z109" s="63"/>
      <c r="AA109" s="63"/>
      <c r="AB109" s="63"/>
      <c r="AC109" s="63"/>
      <c r="AD109" s="63"/>
      <c r="AE109" s="63"/>
      <c r="AF109" s="63"/>
      <c r="AG109" s="63"/>
      <c r="AH109" s="63"/>
      <c r="AI109" s="63"/>
      <c r="AJ109" s="63"/>
      <c r="AK109" s="63"/>
      <c r="AL109" s="63"/>
      <c r="AM109" s="63"/>
      <c r="AN109" s="63"/>
      <c r="AO109" s="63"/>
    </row>
    <row r="110" spans="1:41" ht="15.75" customHeight="1">
      <c r="A110" s="65" t="s">
        <v>177</v>
      </c>
      <c r="B110" s="221">
        <f>('Pivot Table for Data Exchange'!$E$258)*100</f>
        <v>90.199679626218071</v>
      </c>
      <c r="C110" s="221">
        <f>('Pivot Table for Data Exchange'!$E$261)*100</f>
        <v>2.1164200013896637</v>
      </c>
      <c r="D110" s="227">
        <f t="shared" si="24"/>
        <v>7.6839003723922685</v>
      </c>
      <c r="E110" s="221">
        <f>('Pivot Table for Data Exchange'!$E$264)*100</f>
        <v>7.51807971034905</v>
      </c>
      <c r="F110" s="221">
        <f>('Pivot Table for Data Exchange'!$E$267)*100</f>
        <v>0.16582066204321855</v>
      </c>
      <c r="G110" s="223">
        <f>('Pivot Table for Data Exchange'!$E$270)*100</f>
        <v>0</v>
      </c>
      <c r="H110" s="221">
        <f>('Pivot Table for Data Exchange'!$E$273)*100</f>
        <v>0</v>
      </c>
      <c r="I110" s="87" t="s">
        <v>177</v>
      </c>
      <c r="J110" s="221">
        <f>('Pivot Table for Data Exchange'!$E$276)*100</f>
        <v>62.860858257477247</v>
      </c>
      <c r="K110" s="221">
        <f>('Pivot Table for Data Exchange'!$E$279)*100</f>
        <v>18.694036782463311</v>
      </c>
      <c r="L110" s="227">
        <f t="shared" si="25"/>
        <v>18.445104960059446</v>
      </c>
      <c r="M110" s="221">
        <f>('Pivot Table for Data Exchange'!$E$282)*100</f>
        <v>18.311350548021547</v>
      </c>
      <c r="N110" s="221">
        <f>('Pivot Table for Data Exchange'!$E$285)*100</f>
        <v>0.13375441203789709</v>
      </c>
      <c r="O110" s="223">
        <f>('Pivot Table for Data Exchange'!$E$288)*100</f>
        <v>0</v>
      </c>
      <c r="P110" s="221">
        <f>('Pivot Table for Data Exchange'!$E$291)*100</f>
        <v>0</v>
      </c>
      <c r="Q110" s="97">
        <f t="shared" si="14"/>
        <v>100.00000000000001</v>
      </c>
      <c r="R110" s="97">
        <f t="shared" si="15"/>
        <v>100</v>
      </c>
      <c r="S110" s="63"/>
      <c r="U110" s="63"/>
      <c r="V110" s="63"/>
      <c r="W110" s="63"/>
      <c r="X110" s="63"/>
      <c r="Y110" s="63"/>
      <c r="Z110" s="63"/>
      <c r="AA110" s="63"/>
      <c r="AB110" s="63"/>
      <c r="AC110" s="63"/>
      <c r="AD110" s="63"/>
      <c r="AE110" s="63"/>
      <c r="AF110" s="63"/>
      <c r="AG110" s="63"/>
      <c r="AH110" s="63"/>
      <c r="AI110" s="63"/>
      <c r="AJ110" s="63"/>
      <c r="AK110" s="63"/>
      <c r="AL110" s="63"/>
      <c r="AM110" s="63"/>
      <c r="AN110" s="63"/>
      <c r="AO110" s="63"/>
    </row>
    <row r="111" spans="1:41" ht="11.25" customHeight="1">
      <c r="A111" s="65"/>
      <c r="B111" s="221"/>
      <c r="C111" s="221"/>
      <c r="D111" s="227"/>
      <c r="E111" s="221"/>
      <c r="F111" s="221"/>
      <c r="G111" s="223"/>
      <c r="H111" s="221"/>
      <c r="I111" s="87"/>
      <c r="J111" s="221"/>
      <c r="K111" s="221"/>
      <c r="L111" s="227"/>
      <c r="M111" s="221"/>
      <c r="N111" s="221"/>
      <c r="O111" s="223"/>
      <c r="P111" s="221"/>
      <c r="Q111" s="97">
        <f t="shared" si="14"/>
        <v>0</v>
      </c>
      <c r="R111" s="97">
        <f t="shared" si="15"/>
        <v>0</v>
      </c>
      <c r="S111" s="63"/>
      <c r="U111" s="63"/>
      <c r="V111" s="63"/>
      <c r="W111" s="63"/>
      <c r="X111" s="63"/>
      <c r="Y111" s="63"/>
      <c r="Z111" s="63"/>
      <c r="AA111" s="63"/>
      <c r="AB111" s="63"/>
      <c r="AC111" s="63"/>
      <c r="AD111" s="63"/>
      <c r="AE111" s="63"/>
      <c r="AF111" s="63"/>
      <c r="AG111" s="63"/>
      <c r="AH111" s="63"/>
      <c r="AI111" s="63"/>
      <c r="AJ111" s="63"/>
      <c r="AK111" s="63"/>
      <c r="AL111" s="63"/>
      <c r="AM111" s="63"/>
      <c r="AN111" s="63"/>
      <c r="AO111" s="63"/>
    </row>
    <row r="112" spans="1:41" ht="15.75" customHeight="1">
      <c r="A112" s="65" t="s">
        <v>148</v>
      </c>
      <c r="B112" s="221">
        <f>('Pivot Table for Data Exchange'!$E$294)*100</f>
        <v>0</v>
      </c>
      <c r="C112" s="221">
        <f>('Pivot Table for Data Exchange'!$E$297)*100</f>
        <v>0</v>
      </c>
      <c r="D112" s="227">
        <f t="shared" ref="D112:D114" si="26">SUM(E112:G112)</f>
        <v>0</v>
      </c>
      <c r="E112" s="221">
        <f>('Pivot Table for Data Exchange'!$E$300)*100</f>
        <v>0</v>
      </c>
      <c r="F112" s="221">
        <f>('Pivot Table for Data Exchange'!$E$303)*100</f>
        <v>0</v>
      </c>
      <c r="G112" s="223">
        <f>('Pivot Table for Data Exchange'!$E$306)*100</f>
        <v>0</v>
      </c>
      <c r="H112" s="221">
        <f>('Pivot Table for Data Exchange'!$E$309)*100</f>
        <v>0</v>
      </c>
      <c r="I112" s="87" t="s">
        <v>148</v>
      </c>
      <c r="J112" s="221">
        <f>('Pivot Table for Data Exchange'!$E$312)*100</f>
        <v>0</v>
      </c>
      <c r="K112" s="221">
        <f>('Pivot Table for Data Exchange'!$E$315)*100</f>
        <v>0</v>
      </c>
      <c r="L112" s="227">
        <f t="shared" ref="L112:L114" si="27">SUM(M112:O112)</f>
        <v>0</v>
      </c>
      <c r="M112" s="221">
        <f>('Pivot Table for Data Exchange'!$E$318)*100</f>
        <v>0</v>
      </c>
      <c r="N112" s="221">
        <f>('Pivot Table for Data Exchange'!$E$321)*100</f>
        <v>0</v>
      </c>
      <c r="O112" s="223">
        <f>('Pivot Table for Data Exchange'!$E$324)*100</f>
        <v>0</v>
      </c>
      <c r="P112" s="221">
        <f>('Pivot Table for Data Exchange'!$E$327)*100</f>
        <v>0</v>
      </c>
      <c r="Q112" s="97">
        <f t="shared" si="14"/>
        <v>0</v>
      </c>
      <c r="R112" s="97">
        <f t="shared" si="15"/>
        <v>0</v>
      </c>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row>
    <row r="113" spans="1:41" ht="15.75" customHeight="1">
      <c r="A113" s="65" t="s">
        <v>149</v>
      </c>
      <c r="B113" s="221">
        <f>('Pivot Table for Data Exchange'!$E$330)*100</f>
        <v>90.727298735931456</v>
      </c>
      <c r="C113" s="221">
        <f>('Pivot Table for Data Exchange'!$E$333)*100</f>
        <v>0.99831492524777421</v>
      </c>
      <c r="D113" s="227">
        <f t="shared" si="26"/>
        <v>8.2743863388207632</v>
      </c>
      <c r="E113" s="221">
        <f>('Pivot Table for Data Exchange'!$E$336)*100</f>
        <v>8.2395430875188982</v>
      </c>
      <c r="F113" s="67">
        <f>('Pivot Table for Data Exchange'!$E$339)*100</f>
        <v>2.2703888795565261E-2</v>
      </c>
      <c r="G113" s="68">
        <f>('Pivot Table for Data Exchange'!$E$342)*100</f>
        <v>1.2139362506299345E-2</v>
      </c>
      <c r="H113" s="221">
        <f>('Pivot Table for Data Exchange'!$E$345)*100</f>
        <v>0</v>
      </c>
      <c r="I113" s="87" t="s">
        <v>149</v>
      </c>
      <c r="J113" s="221">
        <f>('Pivot Table for Data Exchange'!$E$348)*100</f>
        <v>66.927471435668167</v>
      </c>
      <c r="K113" s="221">
        <f>('Pivot Table for Data Exchange'!$E$351)*100</f>
        <v>6.3344510680576258</v>
      </c>
      <c r="L113" s="227">
        <f t="shared" si="27"/>
        <v>26.738077496274219</v>
      </c>
      <c r="M113" s="221">
        <f>('Pivot Table for Data Exchange'!$E$354)*100</f>
        <v>26.702682563338303</v>
      </c>
      <c r="N113" s="67">
        <f>('Pivot Table for Data Exchange'!$E$357)*100</f>
        <v>3.5394932935916543E-2</v>
      </c>
      <c r="O113" s="223">
        <f>('Pivot Table for Data Exchange'!$E$360)*100</f>
        <v>0</v>
      </c>
      <c r="P113" s="221">
        <f>('Pivot Table for Data Exchange'!$E$363)*100</f>
        <v>0</v>
      </c>
      <c r="Q113" s="97">
        <f t="shared" si="14"/>
        <v>99.999999999999986</v>
      </c>
      <c r="R113" s="97">
        <f t="shared" si="15"/>
        <v>100.00000000000001</v>
      </c>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row>
    <row r="114" spans="1:41" ht="15.75" customHeight="1">
      <c r="A114" s="65" t="s">
        <v>150</v>
      </c>
      <c r="B114" s="221">
        <f>('Pivot Table for Data Exchange'!$E$366)*100</f>
        <v>83.450515524488964</v>
      </c>
      <c r="C114" s="221">
        <f>('Pivot Table for Data Exchange'!$E$369)*100</f>
        <v>0.76451809899565759</v>
      </c>
      <c r="D114" s="227">
        <f t="shared" si="26"/>
        <v>15.784966376515371</v>
      </c>
      <c r="E114" s="221">
        <f>('Pivot Table for Data Exchange'!$E$372)*100</f>
        <v>14.770297385789648</v>
      </c>
      <c r="F114" s="221">
        <f>('Pivot Table for Data Exchange'!$E$375)*100</f>
        <v>0.37033014576408191</v>
      </c>
      <c r="G114" s="223">
        <f>('Pivot Table for Data Exchange'!$E$378)*100</f>
        <v>0.64433884496164051</v>
      </c>
      <c r="H114" s="221">
        <f>('Pivot Table for Data Exchange'!$E$381)*100</f>
        <v>0</v>
      </c>
      <c r="I114" s="87" t="s">
        <v>150</v>
      </c>
      <c r="J114" s="221">
        <f>('Pivot Table for Data Exchange'!$E$384)*100</f>
        <v>85.154268120812645</v>
      </c>
      <c r="K114" s="221">
        <f>('Pivot Table for Data Exchange'!$E$387)*100</f>
        <v>0.56373452440320027</v>
      </c>
      <c r="L114" s="227">
        <f t="shared" si="27"/>
        <v>14.281997354784156</v>
      </c>
      <c r="M114" s="221">
        <f>('Pivot Table for Data Exchange'!$E$390)*100</f>
        <v>9.1693588603889769</v>
      </c>
      <c r="N114" s="221">
        <f>('Pivot Table for Data Exchange'!$E$393)*100</f>
        <v>1.4765508119945361</v>
      </c>
      <c r="O114" s="223">
        <f>('Pivot Table for Data Exchange'!$E$396)*100</f>
        <v>3.6360876824006421</v>
      </c>
      <c r="P114" s="221">
        <f>('Pivot Table for Data Exchange'!$E$399)*100</f>
        <v>0</v>
      </c>
      <c r="Q114" s="97">
        <f t="shared" si="14"/>
        <v>99.999999999999986</v>
      </c>
      <c r="R114" s="97">
        <f t="shared" si="15"/>
        <v>100</v>
      </c>
      <c r="S114" s="63"/>
      <c r="T114" s="74"/>
      <c r="U114" s="63"/>
      <c r="V114" s="63"/>
      <c r="W114" s="63"/>
      <c r="X114" s="63"/>
      <c r="Y114" s="63"/>
      <c r="Z114" s="63"/>
      <c r="AA114" s="63"/>
      <c r="AB114" s="63"/>
      <c r="AC114" s="63"/>
      <c r="AD114" s="63"/>
      <c r="AE114" s="63"/>
      <c r="AF114" s="63"/>
      <c r="AG114" s="63"/>
      <c r="AH114" s="63"/>
      <c r="AI114" s="63"/>
      <c r="AJ114" s="63"/>
      <c r="AK114" s="63"/>
      <c r="AL114" s="63"/>
      <c r="AM114" s="63"/>
      <c r="AN114" s="63"/>
      <c r="AO114" s="63"/>
    </row>
    <row r="115" spans="1:41" ht="15.75" customHeight="1">
      <c r="A115" s="65" t="s">
        <v>151</v>
      </c>
      <c r="B115" s="221">
        <f>('Pivot Table for Data Exchange'!$E$402)*100</f>
        <v>97.375313781691503</v>
      </c>
      <c r="C115" s="221">
        <f>('Pivot Table for Data Exchange'!$E$405)*100</f>
        <v>0.88767069542378241</v>
      </c>
      <c r="D115" s="227">
        <f>SUM(E115:G115)</f>
        <v>1.7370155228847211</v>
      </c>
      <c r="E115" s="221">
        <f>('Pivot Table for Data Exchange'!$E$408)*100</f>
        <v>1.7190332436035762</v>
      </c>
      <c r="F115" s="67">
        <f>('Pivot Table for Data Exchange'!$E$411)*100</f>
        <v>1.7982279281144764E-2</v>
      </c>
      <c r="G115" s="223">
        <f>('Pivot Table for Data Exchange'!$E$414)*100</f>
        <v>0</v>
      </c>
      <c r="H115" s="221">
        <f>('Pivot Table for Data Exchange'!$E$417)*100</f>
        <v>0</v>
      </c>
      <c r="I115" s="87" t="s">
        <v>151</v>
      </c>
      <c r="J115" s="221">
        <f>('Pivot Table for Data Exchange'!$E$420)*100</f>
        <v>68.580128336126208</v>
      </c>
      <c r="K115" s="221">
        <f>('Pivot Table for Data Exchange'!$E$423)*100</f>
        <v>21.040585278129726</v>
      </c>
      <c r="L115" s="227">
        <f>SUM(M115:O115)</f>
        <v>10.379286385744063</v>
      </c>
      <c r="M115" s="221">
        <f>('Pivot Table for Data Exchange'!$E$426)*100</f>
        <v>10.379286385744063</v>
      </c>
      <c r="N115" s="221">
        <f>('Pivot Table for Data Exchange'!$E$429)*100</f>
        <v>0</v>
      </c>
      <c r="O115" s="68">
        <f>('Pivot Table for Data Exchange'!$E$432)*100</f>
        <v>0</v>
      </c>
      <c r="P115" s="221">
        <f>('Pivot Table for Data Exchange'!$E$435)*100</f>
        <v>0</v>
      </c>
      <c r="Q115" s="97">
        <f t="shared" si="14"/>
        <v>100</v>
      </c>
      <c r="R115" s="97">
        <f t="shared" si="15"/>
        <v>100</v>
      </c>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row>
    <row r="116" spans="1:41" ht="11.25" customHeight="1">
      <c r="A116" s="65"/>
      <c r="B116" s="221"/>
      <c r="C116" s="221"/>
      <c r="D116" s="227"/>
      <c r="E116" s="221"/>
      <c r="F116" s="221"/>
      <c r="G116" s="223"/>
      <c r="H116" s="221"/>
      <c r="I116" s="87"/>
      <c r="J116" s="221"/>
      <c r="K116" s="221"/>
      <c r="L116" s="227"/>
      <c r="M116" s="221"/>
      <c r="N116" s="221"/>
      <c r="O116" s="223"/>
      <c r="P116" s="221"/>
      <c r="Q116" s="97">
        <f t="shared" si="14"/>
        <v>0</v>
      </c>
      <c r="R116" s="97">
        <f t="shared" si="15"/>
        <v>0</v>
      </c>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row>
    <row r="117" spans="1:41" ht="15.75" customHeight="1">
      <c r="A117" s="65" t="s">
        <v>152</v>
      </c>
      <c r="B117" s="221">
        <f>('Pivot Table for Data Exchange'!$E$438)*100</f>
        <v>76.430815910330395</v>
      </c>
      <c r="C117" s="221">
        <f>('Pivot Table for Data Exchange'!$E$441)*100</f>
        <v>1.7675445681892992</v>
      </c>
      <c r="D117" s="227">
        <f>SUM(E117:G117)</f>
        <v>21.066721406456299</v>
      </c>
      <c r="E117" s="221">
        <f>('Pivot Table for Data Exchange'!$E$444)*100</f>
        <v>13.972857647800469</v>
      </c>
      <c r="F117" s="221">
        <f>('Pivot Table for Data Exchange'!$E$447)*100</f>
        <v>0.48518806883123666</v>
      </c>
      <c r="G117" s="223">
        <f>('Pivot Table for Data Exchange'!$E$450)*100</f>
        <v>6.6086756898245929</v>
      </c>
      <c r="H117" s="221">
        <f>('Pivot Table for Data Exchange'!$E$453)*100</f>
        <v>0.73491811502400739</v>
      </c>
      <c r="I117" s="87" t="s">
        <v>152</v>
      </c>
      <c r="J117" s="221">
        <f>('Pivot Table for Data Exchange'!$E$456)*100</f>
        <v>52.29406952076863</v>
      </c>
      <c r="K117" s="221">
        <f>('Pivot Table for Data Exchange'!$E$459)*100</f>
        <v>1.8151277540056618</v>
      </c>
      <c r="L117" s="227">
        <f>SUM(M117:O117)</f>
        <v>42.15411571348929</v>
      </c>
      <c r="M117" s="221">
        <f>('Pivot Table for Data Exchange'!$E$462)*100</f>
        <v>36.508901873049659</v>
      </c>
      <c r="N117" s="221">
        <f>('Pivot Table for Data Exchange'!$E$465)*100</f>
        <v>0.84710788679163329</v>
      </c>
      <c r="O117" s="223">
        <f>('Pivot Table for Data Exchange'!$E$468)*100</f>
        <v>4.798105953647994</v>
      </c>
      <c r="P117" s="221">
        <f>('Pivot Table for Data Exchange'!$E$471)*100</f>
        <v>3.7366870117364259</v>
      </c>
      <c r="Q117" s="97">
        <f t="shared" si="14"/>
        <v>99.999999999999986</v>
      </c>
      <c r="R117" s="97">
        <f t="shared" si="15"/>
        <v>100</v>
      </c>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row>
    <row r="118" spans="1:41" ht="15.75" customHeight="1">
      <c r="A118" s="65" t="s">
        <v>153</v>
      </c>
      <c r="B118" s="221">
        <f>('Pivot Table for Data Exchange'!$E$474)*100</f>
        <v>84.813413189786303</v>
      </c>
      <c r="C118" s="221">
        <f>('Pivot Table for Data Exchange'!$E$477)*100</f>
        <v>2.5267494793800838</v>
      </c>
      <c r="D118" s="227">
        <f>SUM(E118:G118)</f>
        <v>12.659837330833609</v>
      </c>
      <c r="E118" s="221">
        <f>('Pivot Table for Data Exchange'!$E$480)*100</f>
        <v>12.285597211385719</v>
      </c>
      <c r="F118" s="221">
        <f>('Pivot Table for Data Exchange'!$E$483)*100</f>
        <v>0.14937722070355255</v>
      </c>
      <c r="G118" s="223">
        <f>('Pivot Table for Data Exchange'!$E$486)*100</f>
        <v>0.22486289874433774</v>
      </c>
      <c r="H118" s="221">
        <f>('Pivot Table for Data Exchange'!$E$489)*100</f>
        <v>0</v>
      </c>
      <c r="I118" s="87" t="s">
        <v>153</v>
      </c>
      <c r="J118" s="221">
        <f>('Pivot Table for Data Exchange'!$E$492)*100</f>
        <v>48.591759220564725</v>
      </c>
      <c r="K118" s="221">
        <f>('Pivot Table for Data Exchange'!$E$495)*100</f>
        <v>6.0043672793504133</v>
      </c>
      <c r="L118" s="227">
        <f>SUM(M118:O118)</f>
        <v>45.403873500084863</v>
      </c>
      <c r="M118" s="221">
        <f>('Pivot Table for Data Exchange'!$E$498)*100</f>
        <v>44.038349904367706</v>
      </c>
      <c r="N118" s="221">
        <f>('Pivot Table for Data Exchange'!$E$501)*100</f>
        <v>0.23704827826215943</v>
      </c>
      <c r="O118" s="223">
        <f>('Pivot Table for Data Exchange'!$E$504)*100</f>
        <v>1.1284753174549971</v>
      </c>
      <c r="P118" s="221">
        <f>('Pivot Table for Data Exchange'!$E$507)*100</f>
        <v>0</v>
      </c>
      <c r="Q118" s="97">
        <f t="shared" si="14"/>
        <v>100</v>
      </c>
      <c r="R118" s="97">
        <f t="shared" si="15"/>
        <v>100</v>
      </c>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row>
    <row r="119" spans="1:41" ht="15.75" customHeight="1">
      <c r="A119" s="65" t="s">
        <v>154</v>
      </c>
      <c r="B119" s="221">
        <f>('Pivot Table for Data Exchange'!$E$510)*100</f>
        <v>93.515535235628818</v>
      </c>
      <c r="C119" s="221">
        <f>('Pivot Table for Data Exchange'!$E$513)*100</f>
        <v>2.7246089426226594</v>
      </c>
      <c r="D119" s="227">
        <f t="shared" ref="D119" si="28">SUM(E119:G119)</f>
        <v>3.7598558217485318</v>
      </c>
      <c r="E119" s="221">
        <f>('Pivot Table for Data Exchange'!$E$516)*100</f>
        <v>3.5776006921485131</v>
      </c>
      <c r="F119" s="221">
        <f>('Pivot Table for Data Exchange'!$E$519)*100</f>
        <v>0.18225512960001858</v>
      </c>
      <c r="G119" s="223">
        <f>('Pivot Table for Data Exchange'!$E$522)*100</f>
        <v>0</v>
      </c>
      <c r="H119" s="221">
        <f>('Pivot Table for Data Exchange'!$E$525)*100</f>
        <v>0</v>
      </c>
      <c r="I119" s="87" t="s">
        <v>154</v>
      </c>
      <c r="J119" s="221">
        <f>('Pivot Table for Data Exchange'!$E$528)*100</f>
        <v>76.515125450495006</v>
      </c>
      <c r="K119" s="221">
        <f>('Pivot Table for Data Exchange'!$E$531)*100</f>
        <v>10.253868451157309</v>
      </c>
      <c r="L119" s="227">
        <f t="shared" ref="L119" si="29">SUM(M119:O119)</f>
        <v>13.231006098347683</v>
      </c>
      <c r="M119" s="221">
        <f>('Pivot Table for Data Exchange'!$E$534)*100</f>
        <v>10.894668031412081</v>
      </c>
      <c r="N119" s="221">
        <f>('Pivot Table for Data Exchange'!$E$537)*100</f>
        <v>2.336338066935602</v>
      </c>
      <c r="O119" s="223">
        <f>('Pivot Table for Data Exchange'!$E$540)*100</f>
        <v>0</v>
      </c>
      <c r="P119" s="221">
        <f>('Pivot Table for Data Exchange'!$E$543)*100</f>
        <v>0</v>
      </c>
      <c r="Q119" s="97">
        <f t="shared" si="14"/>
        <v>100.00000000000001</v>
      </c>
      <c r="R119" s="97">
        <f t="shared" si="15"/>
        <v>100</v>
      </c>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row>
    <row r="120" spans="1:41" ht="15.75" customHeight="1">
      <c r="A120" s="39" t="s">
        <v>155</v>
      </c>
      <c r="B120" s="224">
        <f>('Pivot Table for Data Exchange'!$E$546)*100</f>
        <v>80.427099725457353</v>
      </c>
      <c r="C120" s="224">
        <f>('Pivot Table for Data Exchange'!$E$549)*100</f>
        <v>6.4823612921156304</v>
      </c>
      <c r="D120" s="228">
        <f>SUM(E120:G120)</f>
        <v>13.090538982427017</v>
      </c>
      <c r="E120" s="224">
        <f>('Pivot Table for Data Exchange'!$E$552)*100</f>
        <v>13.081525270317471</v>
      </c>
      <c r="F120" s="382">
        <f>('Pivot Table for Data Exchange'!$E$555)*100</f>
        <v>9.0137121095466479E-3</v>
      </c>
      <c r="G120" s="225">
        <f>('Pivot Table for Data Exchange'!$E$558)*100</f>
        <v>0</v>
      </c>
      <c r="H120" s="224">
        <f>('Pivot Table for Data Exchange'!$E$561)*100</f>
        <v>0</v>
      </c>
      <c r="I120" s="230" t="s">
        <v>155</v>
      </c>
      <c r="J120" s="224">
        <f>('Pivot Table for Data Exchange'!$E$564)*100</f>
        <v>34.576381482619624</v>
      </c>
      <c r="K120" s="224">
        <f>('Pivot Table for Data Exchange'!$E$567)*100</f>
        <v>35.83268559859728</v>
      </c>
      <c r="L120" s="228">
        <f>SUM(M120:O120)</f>
        <v>29.590932918783103</v>
      </c>
      <c r="M120" s="224">
        <f>('Pivot Table for Data Exchange'!$E$570)*100</f>
        <v>28.974530467634352</v>
      </c>
      <c r="N120" s="224">
        <f>('Pivot Table for Data Exchange'!$E$573)*100</f>
        <v>0.61640245114875003</v>
      </c>
      <c r="O120" s="225">
        <f>('Pivot Table for Data Exchange'!$E$576)*100</f>
        <v>0</v>
      </c>
      <c r="P120" s="224">
        <f>('Pivot Table for Data Exchange'!$E$579)*100</f>
        <v>0</v>
      </c>
      <c r="Q120" s="97">
        <f t="shared" si="14"/>
        <v>100</v>
      </c>
      <c r="R120" s="97">
        <f t="shared" si="15"/>
        <v>100</v>
      </c>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row>
    <row r="121" spans="1:41" s="25" customFormat="1" ht="12" customHeight="1">
      <c r="A121" s="691" t="s">
        <v>175</v>
      </c>
      <c r="B121" s="69"/>
      <c r="C121" s="69"/>
      <c r="D121" s="70"/>
      <c r="E121" s="69"/>
      <c r="F121" s="70"/>
      <c r="G121" s="70"/>
      <c r="H121" s="69"/>
      <c r="I121" s="691" t="s">
        <v>175</v>
      </c>
      <c r="J121" s="69"/>
      <c r="K121" s="69"/>
      <c r="L121" s="70"/>
      <c r="M121" s="69"/>
      <c r="N121" s="70"/>
      <c r="O121" s="70"/>
      <c r="P121" s="69"/>
      <c r="Q121" s="97"/>
      <c r="R121" s="97"/>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row>
    <row r="122" spans="1:41" s="25" customFormat="1" ht="28.5" customHeight="1">
      <c r="A122" s="666" t="s">
        <v>176</v>
      </c>
      <c r="B122" s="685"/>
      <c r="C122" s="685"/>
      <c r="D122" s="685"/>
      <c r="E122" s="685"/>
      <c r="F122" s="685"/>
      <c r="G122" s="685"/>
      <c r="H122" s="685"/>
      <c r="I122" s="666" t="s">
        <v>176</v>
      </c>
      <c r="J122" s="685"/>
      <c r="K122" s="685"/>
      <c r="L122" s="685"/>
      <c r="M122" s="685"/>
      <c r="N122" s="685"/>
      <c r="O122" s="685"/>
      <c r="P122" s="685"/>
      <c r="Q122" s="97"/>
      <c r="R122" s="97"/>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row>
    <row r="123" spans="1:41" s="25" customFormat="1" ht="13.5" customHeight="1">
      <c r="A123" s="75"/>
      <c r="B123" s="76"/>
      <c r="H123" s="26"/>
      <c r="I123" s="75"/>
      <c r="P123" s="77"/>
      <c r="Q123" s="97"/>
      <c r="R123" s="97"/>
    </row>
    <row r="124" spans="1:41" s="25" customFormat="1" ht="13.5" customHeight="1">
      <c r="H124" s="27" t="s">
        <v>899</v>
      </c>
      <c r="I124" s="75"/>
      <c r="P124" s="27" t="s">
        <v>899</v>
      </c>
      <c r="Q124" s="97"/>
      <c r="R124" s="97"/>
    </row>
    <row r="125" spans="1:41" ht="18">
      <c r="A125" s="16" t="s">
        <v>204</v>
      </c>
      <c r="B125" s="34"/>
      <c r="C125" s="34"/>
      <c r="D125" s="34"/>
      <c r="E125" s="34"/>
      <c r="F125" s="34"/>
      <c r="G125" s="34"/>
      <c r="H125" s="35"/>
      <c r="I125" s="16" t="s">
        <v>219</v>
      </c>
      <c r="J125" s="19"/>
      <c r="K125" s="19"/>
      <c r="L125" s="34"/>
      <c r="M125" s="19"/>
      <c r="N125" s="19"/>
      <c r="O125" s="19"/>
      <c r="P125" s="19"/>
      <c r="Q125" s="97"/>
      <c r="R125" s="97"/>
    </row>
    <row r="126" spans="1:41">
      <c r="A126" s="18"/>
      <c r="B126" s="19"/>
      <c r="C126" s="19"/>
      <c r="D126" s="19"/>
      <c r="E126" s="19"/>
      <c r="F126" s="19"/>
      <c r="G126" s="19"/>
      <c r="H126" s="36"/>
      <c r="I126" s="18"/>
      <c r="J126" s="19"/>
      <c r="K126" s="19"/>
      <c r="L126" s="19"/>
      <c r="M126" s="19"/>
      <c r="N126" s="19"/>
      <c r="O126" s="19"/>
      <c r="P126" s="19"/>
      <c r="Q126" s="97"/>
      <c r="R126" s="97"/>
    </row>
    <row r="127" spans="1:41" ht="15.75">
      <c r="A127" s="37" t="s">
        <v>162</v>
      </c>
      <c r="B127" s="19"/>
      <c r="C127" s="19"/>
      <c r="D127" s="19"/>
      <c r="E127" s="19"/>
      <c r="F127" s="19"/>
      <c r="G127" s="19"/>
      <c r="H127" s="36"/>
      <c r="I127" s="37" t="s">
        <v>163</v>
      </c>
      <c r="J127" s="19"/>
      <c r="K127" s="19"/>
      <c r="L127" s="19"/>
      <c r="M127" s="19"/>
      <c r="N127" s="19"/>
      <c r="O127" s="19"/>
      <c r="P127" s="19"/>
      <c r="Q127" s="97"/>
      <c r="R127" s="97"/>
    </row>
    <row r="128" spans="1:41" ht="15.75">
      <c r="A128" s="37" t="s">
        <v>268</v>
      </c>
      <c r="B128" s="19"/>
      <c r="C128" s="19"/>
      <c r="D128" s="19"/>
      <c r="E128" s="19"/>
      <c r="F128" s="19"/>
      <c r="G128" s="19"/>
      <c r="H128" s="36"/>
      <c r="I128" s="37" t="s">
        <v>268</v>
      </c>
      <c r="J128" s="19"/>
      <c r="K128" s="19"/>
      <c r="L128" s="19"/>
      <c r="M128" s="19"/>
      <c r="N128" s="19"/>
      <c r="O128" s="19"/>
      <c r="P128" s="19"/>
      <c r="Q128" s="97"/>
      <c r="R128" s="97"/>
    </row>
    <row r="129" spans="1:41">
      <c r="A129" s="39"/>
      <c r="B129" s="40"/>
      <c r="C129" s="40"/>
      <c r="D129" s="40"/>
      <c r="E129" s="40"/>
      <c r="F129" s="40"/>
      <c r="G129" s="40"/>
      <c r="H129" s="40"/>
      <c r="I129" s="41"/>
      <c r="L129" s="42"/>
      <c r="P129" s="39"/>
      <c r="Q129" s="97"/>
      <c r="R129" s="97"/>
    </row>
    <row r="130" spans="1:41" s="48" customFormat="1">
      <c r="A130" s="43"/>
      <c r="B130" s="44" t="s">
        <v>164</v>
      </c>
      <c r="C130" s="44"/>
      <c r="D130" s="44"/>
      <c r="E130" s="44"/>
      <c r="F130" s="44"/>
      <c r="G130" s="44"/>
      <c r="H130" s="45"/>
      <c r="I130" s="43"/>
      <c r="J130" s="44" t="s">
        <v>164</v>
      </c>
      <c r="K130" s="44"/>
      <c r="L130" s="44"/>
      <c r="M130" s="44"/>
      <c r="N130" s="44"/>
      <c r="O130" s="44"/>
      <c r="P130" s="45"/>
      <c r="Q130" s="97"/>
      <c r="R130" s="97"/>
    </row>
    <row r="131" spans="1:41" s="48" customFormat="1">
      <c r="A131" s="43"/>
      <c r="B131" s="44" t="s">
        <v>165</v>
      </c>
      <c r="C131" s="44"/>
      <c r="D131" s="670" t="s">
        <v>166</v>
      </c>
      <c r="E131" s="668"/>
      <c r="F131" s="668"/>
      <c r="G131" s="668"/>
      <c r="H131" s="49" t="s">
        <v>39</v>
      </c>
      <c r="I131" s="43"/>
      <c r="J131" s="44" t="s">
        <v>165</v>
      </c>
      <c r="K131" s="44"/>
      <c r="L131" s="670" t="s">
        <v>166</v>
      </c>
      <c r="M131" s="668"/>
      <c r="N131" s="668"/>
      <c r="O131" s="668"/>
      <c r="P131" s="49" t="s">
        <v>39</v>
      </c>
      <c r="Q131" s="97"/>
      <c r="R131" s="97"/>
    </row>
    <row r="132" spans="1:41" s="48" customFormat="1" ht="40.5" customHeight="1">
      <c r="A132" s="43"/>
      <c r="B132" s="50" t="s">
        <v>167</v>
      </c>
      <c r="C132" s="51" t="s">
        <v>168</v>
      </c>
      <c r="D132" s="52" t="s">
        <v>169</v>
      </c>
      <c r="E132" s="53" t="s">
        <v>7</v>
      </c>
      <c r="F132" s="50" t="s">
        <v>170</v>
      </c>
      <c r="G132" s="54" t="s">
        <v>171</v>
      </c>
      <c r="H132" s="55" t="s">
        <v>172</v>
      </c>
      <c r="I132" s="43"/>
      <c r="J132" s="50" t="s">
        <v>167</v>
      </c>
      <c r="K132" s="51" t="s">
        <v>168</v>
      </c>
      <c r="L132" s="52" t="s">
        <v>169</v>
      </c>
      <c r="M132" s="53" t="s">
        <v>7</v>
      </c>
      <c r="N132" s="50" t="s">
        <v>170</v>
      </c>
      <c r="O132" s="54" t="s">
        <v>171</v>
      </c>
      <c r="P132" s="55" t="s">
        <v>172</v>
      </c>
      <c r="Q132" s="97"/>
      <c r="R132" s="97"/>
      <c r="T132" s="73"/>
    </row>
    <row r="133" spans="1:41" ht="15.75" customHeight="1">
      <c r="A133" s="62" t="s">
        <v>141</v>
      </c>
      <c r="B133" s="221">
        <f>('Pivot Table for Data Exchange'!$F$6)*100</f>
        <v>86.159570187019469</v>
      </c>
      <c r="C133" s="221">
        <f>('Pivot Table for Data Exchange'!$F$9)*100</f>
        <v>0.68199628643844035</v>
      </c>
      <c r="D133" s="227">
        <f>SUM(E133:G133)</f>
        <v>13.158433526542082</v>
      </c>
      <c r="E133" s="221">
        <f>('Pivot Table for Data Exchange'!$F$12)*100</f>
        <v>13.158433526542082</v>
      </c>
      <c r="F133" s="221">
        <f>('Pivot Table for Data Exchange'!$F$15)*100</f>
        <v>0</v>
      </c>
      <c r="G133" s="60">
        <f>('Pivot Table for Data Exchange'!$F$18)*100</f>
        <v>0</v>
      </c>
      <c r="H133" s="221">
        <f>('Pivot Table for Data Exchange'!$F$21)*100</f>
        <v>0</v>
      </c>
      <c r="I133" s="229" t="s">
        <v>141</v>
      </c>
      <c r="J133" s="221">
        <f>('Pivot Table for Data Exchange'!$F$24)*100</f>
        <v>57.405520787852325</v>
      </c>
      <c r="K133" s="221">
        <f>('Pivot Table for Data Exchange'!$F$27)*100</f>
        <v>2.8307378838597002</v>
      </c>
      <c r="L133" s="227">
        <f>SUM(M133:O133)</f>
        <v>39.763741328287971</v>
      </c>
      <c r="M133" s="221">
        <f>('Pivot Table for Data Exchange'!$F$30)*100</f>
        <v>39.763741328287971</v>
      </c>
      <c r="N133" s="221">
        <f>('Pivot Table for Data Exchange'!$F$33)*100</f>
        <v>0</v>
      </c>
      <c r="O133" s="60">
        <f>('Pivot Table for Data Exchange'!$F$36)*100</f>
        <v>0</v>
      </c>
      <c r="P133" s="221">
        <f>('Pivot Table for Data Exchange'!$F$39)*100</f>
        <v>0</v>
      </c>
      <c r="Q133" s="97">
        <f t="shared" si="14"/>
        <v>99.999999999999986</v>
      </c>
      <c r="R133" s="97">
        <f t="shared" si="15"/>
        <v>100</v>
      </c>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row>
    <row r="134" spans="1:41" ht="15.75" customHeight="1">
      <c r="A134" s="65" t="s">
        <v>142</v>
      </c>
      <c r="B134" s="221">
        <f>('Pivot Table for Data Exchange'!$F$42)*100</f>
        <v>84.030589037980434</v>
      </c>
      <c r="C134" s="221">
        <f>('Pivot Table for Data Exchange'!$F$45)*100</f>
        <v>1.7654082328860585</v>
      </c>
      <c r="D134" s="227">
        <f t="shared" ref="D134:D136" si="30">SUM(E134:G134)</f>
        <v>14.204002729133499</v>
      </c>
      <c r="E134" s="221">
        <f>('Pivot Table for Data Exchange'!$F$48)*100</f>
        <v>14.086308846941096</v>
      </c>
      <c r="F134" s="221">
        <f>('Pivot Table for Data Exchange'!$F$51)*100</f>
        <v>0.1176938821924039</v>
      </c>
      <c r="G134" s="223">
        <f>('Pivot Table for Data Exchange'!$F$54)*100</f>
        <v>0</v>
      </c>
      <c r="H134" s="221">
        <f>('Pivot Table for Data Exchange'!$F$57)*100</f>
        <v>0</v>
      </c>
      <c r="I134" s="87" t="s">
        <v>142</v>
      </c>
      <c r="J134" s="221">
        <f>('Pivot Table for Data Exchange'!$F$60)*100</f>
        <v>40.311451541431921</v>
      </c>
      <c r="K134" s="221">
        <f>('Pivot Table for Data Exchange'!$F$63)*100</f>
        <v>9.723365195923277</v>
      </c>
      <c r="L134" s="227">
        <f t="shared" ref="L134:L136" si="31">SUM(M134:O134)</f>
        <v>49.965183262644807</v>
      </c>
      <c r="M134" s="221">
        <f>('Pivot Table for Data Exchange'!$F$66)*100</f>
        <v>49.965183262644807</v>
      </c>
      <c r="N134" s="221">
        <f>('Pivot Table for Data Exchange'!$F$69)*100</f>
        <v>0</v>
      </c>
      <c r="O134" s="223">
        <f>('Pivot Table for Data Exchange'!$F$72)*100</f>
        <v>0</v>
      </c>
      <c r="P134" s="221">
        <f>('Pivot Table for Data Exchange'!$F$75)*100</f>
        <v>0</v>
      </c>
      <c r="Q134" s="97">
        <f t="shared" si="14"/>
        <v>100</v>
      </c>
      <c r="R134" s="97">
        <f t="shared" si="15"/>
        <v>100</v>
      </c>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row>
    <row r="135" spans="1:41" ht="15.75" customHeight="1">
      <c r="A135" s="65" t="s">
        <v>143</v>
      </c>
      <c r="B135" s="221">
        <f>('Pivot Table for Data Exchange'!$F$78)*100</f>
        <v>0</v>
      </c>
      <c r="C135" s="221">
        <f>('Pivot Table for Data Exchange'!$F$81)*100</f>
        <v>0</v>
      </c>
      <c r="D135" s="227">
        <f t="shared" si="30"/>
        <v>0</v>
      </c>
      <c r="E135" s="221">
        <f>('Pivot Table for Data Exchange'!$F$84)*100</f>
        <v>0</v>
      </c>
      <c r="F135" s="221">
        <f>('Pivot Table for Data Exchange'!$F$87)*100</f>
        <v>0</v>
      </c>
      <c r="G135" s="223">
        <f>('Pivot Table for Data Exchange'!$F$90)*100</f>
        <v>0</v>
      </c>
      <c r="H135" s="221">
        <f>('Pivot Table for Data Exchange'!$F$93)*100</f>
        <v>0</v>
      </c>
      <c r="I135" s="87" t="s">
        <v>143</v>
      </c>
      <c r="J135" s="221">
        <f>('Pivot Table for Data Exchange'!$F$96)*100</f>
        <v>0</v>
      </c>
      <c r="K135" s="221">
        <f>('Pivot Table for Data Exchange'!$F$99)*100</f>
        <v>0</v>
      </c>
      <c r="L135" s="227">
        <f t="shared" si="31"/>
        <v>0</v>
      </c>
      <c r="M135" s="221">
        <f>('Pivot Table for Data Exchange'!$F$102)*100</f>
        <v>0</v>
      </c>
      <c r="N135" s="221">
        <f>('Pivot Table for Data Exchange'!$F$105)*100</f>
        <v>0</v>
      </c>
      <c r="O135" s="223">
        <f>('Pivot Table for Data Exchange'!$F$108)*100</f>
        <v>0</v>
      </c>
      <c r="P135" s="221">
        <f>('Pivot Table for Data Exchange'!$F$111)*100</f>
        <v>0</v>
      </c>
      <c r="Q135" s="97">
        <f t="shared" si="14"/>
        <v>0</v>
      </c>
      <c r="R135" s="97">
        <f t="shared" si="15"/>
        <v>0</v>
      </c>
      <c r="S135" s="63"/>
      <c r="T135" s="74"/>
      <c r="U135" s="63"/>
      <c r="V135" s="63"/>
      <c r="W135" s="63"/>
      <c r="X135" s="63"/>
      <c r="Y135" s="63"/>
      <c r="Z135" s="63"/>
      <c r="AA135" s="63"/>
      <c r="AB135" s="63"/>
      <c r="AC135" s="63"/>
      <c r="AD135" s="63"/>
      <c r="AE135" s="63"/>
      <c r="AF135" s="63"/>
      <c r="AG135" s="63"/>
      <c r="AH135" s="63"/>
      <c r="AI135" s="63"/>
      <c r="AJ135" s="63"/>
      <c r="AK135" s="63"/>
      <c r="AL135" s="63"/>
      <c r="AM135" s="63"/>
      <c r="AN135" s="63"/>
      <c r="AO135" s="63"/>
    </row>
    <row r="136" spans="1:41" ht="15.75" customHeight="1">
      <c r="A136" s="65" t="s">
        <v>174</v>
      </c>
      <c r="B136" s="221">
        <f>('Pivot Table for Data Exchange'!$F$114)*100</f>
        <v>79.553699268685747</v>
      </c>
      <c r="C136" s="221">
        <f>('Pivot Table for Data Exchange'!$F$117)*100</f>
        <v>3.0051943215599657</v>
      </c>
      <c r="D136" s="227">
        <f t="shared" si="30"/>
        <v>17.44110640975428</v>
      </c>
      <c r="E136" s="221">
        <f>('Pivot Table for Data Exchange'!$F$120)*100</f>
        <v>17.438859175457633</v>
      </c>
      <c r="F136" s="61">
        <f>('Pivot Table for Data Exchange'!$F$123)*100</f>
        <v>2.2472342966477683E-3</v>
      </c>
      <c r="G136" s="232">
        <f>('Pivot Table for Data Exchange'!$F$126)*100</f>
        <v>0</v>
      </c>
      <c r="H136" s="221">
        <f>('Pivot Table for Data Exchange'!$F$129)*100</f>
        <v>0</v>
      </c>
      <c r="I136" s="87" t="s">
        <v>174</v>
      </c>
      <c r="J136" s="221">
        <f>('Pivot Table for Data Exchange'!$F$132)*100</f>
        <v>51.09515921222161</v>
      </c>
      <c r="K136" s="221">
        <f>('Pivot Table for Data Exchange'!$F$135)*100</f>
        <v>12.230811706239647</v>
      </c>
      <c r="L136" s="227">
        <f t="shared" si="31"/>
        <v>36.674029081538748</v>
      </c>
      <c r="M136" s="221">
        <f>('Pivot Table for Data Exchange'!$F$138)*100</f>
        <v>36.674029081538748</v>
      </c>
      <c r="N136" s="221">
        <f>('Pivot Table for Data Exchange'!$F$141)*100</f>
        <v>0</v>
      </c>
      <c r="O136" s="223">
        <f>('Pivot Table for Data Exchange'!$F$144)*100</f>
        <v>0</v>
      </c>
      <c r="P136" s="221">
        <f>('Pivot Table for Data Exchange'!$F$147)*100</f>
        <v>0</v>
      </c>
      <c r="Q136" s="97">
        <f t="shared" si="14"/>
        <v>100</v>
      </c>
      <c r="R136" s="97">
        <f t="shared" si="15"/>
        <v>100</v>
      </c>
      <c r="S136" s="63"/>
      <c r="U136" s="63"/>
      <c r="V136" s="63"/>
      <c r="W136" s="63"/>
      <c r="X136" s="63"/>
      <c r="Y136" s="63"/>
      <c r="Z136" s="63"/>
      <c r="AA136" s="63"/>
      <c r="AB136" s="63"/>
      <c r="AC136" s="63"/>
      <c r="AD136" s="63"/>
      <c r="AE136" s="63"/>
      <c r="AF136" s="63"/>
      <c r="AG136" s="63"/>
      <c r="AH136" s="63"/>
      <c r="AI136" s="63"/>
      <c r="AJ136" s="63"/>
      <c r="AK136" s="63"/>
      <c r="AL136" s="63"/>
      <c r="AM136" s="63"/>
      <c r="AN136" s="63"/>
      <c r="AO136" s="63"/>
    </row>
    <row r="137" spans="1:41" ht="15.75" customHeight="1">
      <c r="A137" s="65"/>
      <c r="B137" s="221"/>
      <c r="C137" s="221"/>
      <c r="D137" s="227"/>
      <c r="E137" s="221"/>
      <c r="F137" s="221"/>
      <c r="G137" s="223"/>
      <c r="H137" s="221"/>
      <c r="I137" s="87"/>
      <c r="J137" s="221"/>
      <c r="K137" s="221"/>
      <c r="L137" s="227"/>
      <c r="M137" s="221"/>
      <c r="N137" s="221"/>
      <c r="O137" s="223"/>
      <c r="P137" s="221"/>
      <c r="Q137" s="97">
        <f t="shared" si="14"/>
        <v>0</v>
      </c>
      <c r="R137" s="97">
        <f t="shared" si="15"/>
        <v>0</v>
      </c>
      <c r="S137" s="63"/>
      <c r="U137" s="63"/>
      <c r="V137" s="63"/>
      <c r="W137" s="63"/>
      <c r="X137" s="63"/>
      <c r="Y137" s="63"/>
      <c r="Z137" s="63"/>
      <c r="AA137" s="63"/>
      <c r="AB137" s="63"/>
      <c r="AC137" s="63"/>
      <c r="AD137" s="63"/>
      <c r="AE137" s="63"/>
      <c r="AF137" s="63"/>
      <c r="AG137" s="63"/>
      <c r="AH137" s="63"/>
      <c r="AI137" s="63"/>
      <c r="AJ137" s="63"/>
      <c r="AK137" s="63"/>
      <c r="AL137" s="63"/>
      <c r="AM137" s="63"/>
      <c r="AN137" s="63"/>
      <c r="AO137" s="63"/>
    </row>
    <row r="138" spans="1:41" ht="15.75" customHeight="1">
      <c r="A138" s="65" t="s">
        <v>145</v>
      </c>
      <c r="B138" s="221">
        <f>('Pivot Table for Data Exchange'!$F$150)*100</f>
        <v>0</v>
      </c>
      <c r="C138" s="221">
        <f>('Pivot Table for Data Exchange'!$F$153)*100</f>
        <v>0</v>
      </c>
      <c r="D138" s="227">
        <f t="shared" ref="D138:D141" si="32">SUM(E138:G138)</f>
        <v>0</v>
      </c>
      <c r="E138" s="221">
        <f>('Pivot Table for Data Exchange'!$F$156)*100</f>
        <v>0</v>
      </c>
      <c r="F138" s="221">
        <f>('Pivot Table for Data Exchange'!$F$159)*100</f>
        <v>0</v>
      </c>
      <c r="G138" s="223">
        <f>('Pivot Table for Data Exchange'!$F$162)*100</f>
        <v>0</v>
      </c>
      <c r="H138" s="221">
        <f>('Pivot Table for Data Exchange'!$F$165)*100</f>
        <v>0</v>
      </c>
      <c r="I138" s="87" t="s">
        <v>145</v>
      </c>
      <c r="J138" s="221">
        <f>('Pivot Table for Data Exchange'!$F$168)*100</f>
        <v>0</v>
      </c>
      <c r="K138" s="221">
        <f>('Pivot Table for Data Exchange'!$F$171)*100</f>
        <v>0</v>
      </c>
      <c r="L138" s="227">
        <f t="shared" ref="L138:L141" si="33">SUM(M138:O138)</f>
        <v>0</v>
      </c>
      <c r="M138" s="221">
        <f>('Pivot Table for Data Exchange'!$F$174)*100</f>
        <v>0</v>
      </c>
      <c r="N138" s="221">
        <f>('Pivot Table for Data Exchange'!$F$177)*100</f>
        <v>0</v>
      </c>
      <c r="O138" s="223">
        <f>('Pivot Table for Data Exchange'!$F$180)*100</f>
        <v>0</v>
      </c>
      <c r="P138" s="221">
        <f>('Pivot Table for Data Exchange'!$F$183)*100</f>
        <v>0</v>
      </c>
      <c r="Q138" s="97">
        <f t="shared" ref="Q138:Q201" si="34">SUM(B138,C138,D138,H138)</f>
        <v>0</v>
      </c>
      <c r="R138" s="97">
        <f t="shared" ref="R138:R201" si="35">SUM(J138,K138,L138,P138)</f>
        <v>0</v>
      </c>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row>
    <row r="139" spans="1:41" ht="15.75" customHeight="1">
      <c r="A139" s="65" t="s">
        <v>146</v>
      </c>
      <c r="B139" s="221">
        <f>('Pivot Table for Data Exchange'!$F$186)*100</f>
        <v>70.180215930705131</v>
      </c>
      <c r="C139" s="221">
        <f>('Pivot Table for Data Exchange'!$F$189)*100</f>
        <v>0</v>
      </c>
      <c r="D139" s="227">
        <f t="shared" si="32"/>
        <v>29.819784069294872</v>
      </c>
      <c r="E139" s="221">
        <f>('Pivot Table for Data Exchange'!$F$192)*100</f>
        <v>19.325661270679674</v>
      </c>
      <c r="F139" s="221">
        <f>('Pivot Table for Data Exchange'!$F$195)*100</f>
        <v>10.494122798615198</v>
      </c>
      <c r="G139" s="232">
        <f>('Pivot Table for Data Exchange'!$F$198)*100</f>
        <v>0</v>
      </c>
      <c r="H139" s="221">
        <f>('Pivot Table for Data Exchange'!$F$201)*100</f>
        <v>0</v>
      </c>
      <c r="I139" s="87" t="s">
        <v>146</v>
      </c>
      <c r="J139" s="221">
        <f>('Pivot Table for Data Exchange'!$F$204)*100</f>
        <v>64.74601971190296</v>
      </c>
      <c r="K139" s="221">
        <f>('Pivot Table for Data Exchange'!$F$207)*100</f>
        <v>0</v>
      </c>
      <c r="L139" s="227">
        <f t="shared" si="33"/>
        <v>35.25398028809704</v>
      </c>
      <c r="M139" s="221">
        <f>('Pivot Table for Data Exchange'!$F$210)*100</f>
        <v>35.25398028809704</v>
      </c>
      <c r="N139" s="221">
        <f>('Pivot Table for Data Exchange'!$F$213)*100</f>
        <v>0</v>
      </c>
      <c r="O139" s="223">
        <f>('Pivot Table for Data Exchange'!$F$216)*100</f>
        <v>0</v>
      </c>
      <c r="P139" s="221">
        <f>('Pivot Table for Data Exchange'!$F$219)*100</f>
        <v>0</v>
      </c>
      <c r="Q139" s="97">
        <f t="shared" si="34"/>
        <v>100</v>
      </c>
      <c r="R139" s="97">
        <f t="shared" si="35"/>
        <v>100</v>
      </c>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row>
    <row r="140" spans="1:41" ht="15.75" customHeight="1">
      <c r="A140" s="65" t="s">
        <v>147</v>
      </c>
      <c r="B140" s="221">
        <f>('Pivot Table for Data Exchange'!$F$222)*100</f>
        <v>0</v>
      </c>
      <c r="C140" s="221">
        <f>('Pivot Table for Data Exchange'!$F$225)*100</f>
        <v>0</v>
      </c>
      <c r="D140" s="227">
        <f t="shared" si="32"/>
        <v>0</v>
      </c>
      <c r="E140" s="221">
        <f>('Pivot Table for Data Exchange'!$F$228)*100</f>
        <v>0</v>
      </c>
      <c r="F140" s="221">
        <f>('Pivot Table for Data Exchange'!$F$231)*100</f>
        <v>0</v>
      </c>
      <c r="G140" s="223">
        <f>('Pivot Table for Data Exchange'!$F$234)*100</f>
        <v>0</v>
      </c>
      <c r="H140" s="221">
        <f>('Pivot Table for Data Exchange'!$F$237)*100</f>
        <v>0</v>
      </c>
      <c r="I140" s="87" t="s">
        <v>147</v>
      </c>
      <c r="J140" s="221">
        <f>('Pivot Table for Data Exchange'!$F$240)*100</f>
        <v>0</v>
      </c>
      <c r="K140" s="221">
        <f>('Pivot Table for Data Exchange'!$F$243)*100</f>
        <v>0</v>
      </c>
      <c r="L140" s="227">
        <f t="shared" si="33"/>
        <v>0</v>
      </c>
      <c r="M140" s="221">
        <f>('Pivot Table for Data Exchange'!$F$246)*100</f>
        <v>0</v>
      </c>
      <c r="N140" s="221">
        <f>('Pivot Table for Data Exchange'!$F$249)*100</f>
        <v>0</v>
      </c>
      <c r="O140" s="223">
        <f>('Pivot Table for Data Exchange'!$F$252)*100</f>
        <v>0</v>
      </c>
      <c r="P140" s="221">
        <f>('Pivot Table for Data Exchange'!$F$255)*100</f>
        <v>0</v>
      </c>
      <c r="Q140" s="97">
        <f t="shared" si="34"/>
        <v>0</v>
      </c>
      <c r="R140" s="97">
        <f t="shared" si="35"/>
        <v>0</v>
      </c>
      <c r="S140" s="63"/>
      <c r="T140" s="74"/>
      <c r="U140" s="63"/>
      <c r="V140" s="63"/>
      <c r="W140" s="63"/>
      <c r="X140" s="63"/>
      <c r="Y140" s="63"/>
      <c r="Z140" s="63"/>
      <c r="AA140" s="63"/>
      <c r="AB140" s="63"/>
      <c r="AC140" s="63"/>
      <c r="AD140" s="63"/>
      <c r="AE140" s="63"/>
      <c r="AF140" s="63"/>
      <c r="AG140" s="63"/>
      <c r="AH140" s="63"/>
      <c r="AI140" s="63"/>
      <c r="AJ140" s="63"/>
      <c r="AK140" s="63"/>
      <c r="AL140" s="63"/>
      <c r="AM140" s="63"/>
      <c r="AN140" s="63"/>
      <c r="AO140" s="63"/>
    </row>
    <row r="141" spans="1:41" ht="15.75" customHeight="1">
      <c r="A141" s="65" t="s">
        <v>177</v>
      </c>
      <c r="B141" s="221">
        <f>('Pivot Table for Data Exchange'!$F$258)*100</f>
        <v>85.699851651090526</v>
      </c>
      <c r="C141" s="221">
        <f>('Pivot Table for Data Exchange'!$F$261)*100</f>
        <v>1.4064789968390041</v>
      </c>
      <c r="D141" s="227">
        <f t="shared" si="32"/>
        <v>12.893669352070466</v>
      </c>
      <c r="E141" s="221">
        <f>('Pivot Table for Data Exchange'!$F$264)*100</f>
        <v>11.774635022879162</v>
      </c>
      <c r="F141" s="221">
        <f>('Pivot Table for Data Exchange'!$F$267)*100</f>
        <v>1.1190343291913045</v>
      </c>
      <c r="G141" s="223">
        <f>('Pivot Table for Data Exchange'!$F$270)*100</f>
        <v>0</v>
      </c>
      <c r="H141" s="221">
        <f>('Pivot Table for Data Exchange'!$F$273)*100</f>
        <v>0</v>
      </c>
      <c r="I141" s="87" t="s">
        <v>177</v>
      </c>
      <c r="J141" s="221">
        <f>('Pivot Table for Data Exchange'!$F$276)*100</f>
        <v>74.607681559241882</v>
      </c>
      <c r="K141" s="221">
        <f>('Pivot Table for Data Exchange'!$F$279)*100</f>
        <v>3.1591487227258068</v>
      </c>
      <c r="L141" s="227">
        <f t="shared" si="33"/>
        <v>22.233169718032318</v>
      </c>
      <c r="M141" s="221">
        <f>('Pivot Table for Data Exchange'!$F$282)*100</f>
        <v>21.302533051485078</v>
      </c>
      <c r="N141" s="221">
        <f>('Pivot Table for Data Exchange'!$F$285)*100</f>
        <v>0.93063666654723942</v>
      </c>
      <c r="O141" s="223">
        <f>('Pivot Table for Data Exchange'!$F$288)*100</f>
        <v>0</v>
      </c>
      <c r="P141" s="221">
        <f>('Pivot Table for Data Exchange'!$F$291)*100</f>
        <v>0</v>
      </c>
      <c r="Q141" s="97">
        <f t="shared" si="34"/>
        <v>99.999999999999986</v>
      </c>
      <c r="R141" s="97">
        <f t="shared" si="35"/>
        <v>100</v>
      </c>
      <c r="S141" s="63"/>
      <c r="U141" s="63"/>
      <c r="V141" s="63"/>
      <c r="W141" s="63"/>
      <c r="X141" s="63"/>
      <c r="Y141" s="63"/>
      <c r="Z141" s="63"/>
      <c r="AA141" s="63"/>
      <c r="AB141" s="63"/>
      <c r="AC141" s="63"/>
      <c r="AD141" s="63"/>
      <c r="AE141" s="63"/>
      <c r="AF141" s="63"/>
      <c r="AG141" s="63"/>
      <c r="AH141" s="63"/>
      <c r="AI141" s="63"/>
      <c r="AJ141" s="63"/>
      <c r="AK141" s="63"/>
      <c r="AL141" s="63"/>
      <c r="AM141" s="63"/>
      <c r="AN141" s="63"/>
      <c r="AO141" s="63"/>
    </row>
    <row r="142" spans="1:41" ht="15.75" customHeight="1">
      <c r="A142" s="65"/>
      <c r="B142" s="221"/>
      <c r="C142" s="221"/>
      <c r="D142" s="227"/>
      <c r="E142" s="221"/>
      <c r="F142" s="221"/>
      <c r="G142" s="223"/>
      <c r="H142" s="221"/>
      <c r="I142" s="87"/>
      <c r="J142" s="221"/>
      <c r="K142" s="221"/>
      <c r="L142" s="227"/>
      <c r="M142" s="221"/>
      <c r="N142" s="221"/>
      <c r="O142" s="223"/>
      <c r="P142" s="221"/>
      <c r="Q142" s="97">
        <f t="shared" si="34"/>
        <v>0</v>
      </c>
      <c r="R142" s="97">
        <f t="shared" si="35"/>
        <v>0</v>
      </c>
      <c r="S142" s="63"/>
      <c r="U142" s="63"/>
      <c r="V142" s="63"/>
      <c r="W142" s="63"/>
      <c r="X142" s="63"/>
      <c r="Y142" s="63"/>
      <c r="Z142" s="63"/>
      <c r="AA142" s="63"/>
      <c r="AB142" s="63"/>
      <c r="AC142" s="63"/>
      <c r="AD142" s="63"/>
      <c r="AE142" s="63"/>
      <c r="AF142" s="63"/>
      <c r="AG142" s="63"/>
      <c r="AH142" s="63"/>
      <c r="AI142" s="63"/>
      <c r="AJ142" s="63"/>
      <c r="AK142" s="63"/>
      <c r="AL142" s="63"/>
      <c r="AM142" s="63"/>
      <c r="AN142" s="63"/>
      <c r="AO142" s="63"/>
    </row>
    <row r="143" spans="1:41" ht="15.75" customHeight="1">
      <c r="A143" s="65" t="s">
        <v>148</v>
      </c>
      <c r="B143" s="221">
        <f>('Pivot Table for Data Exchange'!$F$294)*100</f>
        <v>78.237276791050121</v>
      </c>
      <c r="C143" s="221">
        <f>('Pivot Table for Data Exchange'!$F$297)*100</f>
        <v>3.5483948079267567</v>
      </c>
      <c r="D143" s="227">
        <f t="shared" ref="D143:D145" si="36">SUM(E143:G143)</f>
        <v>17.847154160590918</v>
      </c>
      <c r="E143" s="221">
        <f>('Pivot Table for Data Exchange'!$F$300)*100</f>
        <v>17.831377142447348</v>
      </c>
      <c r="F143" s="221">
        <f>('Pivot Table for Data Exchange'!$F$303)*100</f>
        <v>0</v>
      </c>
      <c r="G143" s="68">
        <f>('Pivot Table for Data Exchange'!$F$306)*100</f>
        <v>1.5777018143570867E-2</v>
      </c>
      <c r="H143" s="221">
        <f>('Pivot Table for Data Exchange'!$F$309)*100</f>
        <v>0.36717424043219471</v>
      </c>
      <c r="I143" s="87" t="s">
        <v>148</v>
      </c>
      <c r="J143" s="221">
        <f>('Pivot Table for Data Exchange'!$F$312)*100</f>
        <v>43.810593137995809</v>
      </c>
      <c r="K143" s="221">
        <f>('Pivot Table for Data Exchange'!$F$315)*100</f>
        <v>2.5046963055729492</v>
      </c>
      <c r="L143" s="227">
        <f t="shared" ref="L143:L145" si="37">SUM(M143:O143)</f>
        <v>53.341394424891497</v>
      </c>
      <c r="M143" s="221">
        <f>('Pivot Table for Data Exchange'!$F$318)*100</f>
        <v>53.237751819143654</v>
      </c>
      <c r="N143" s="221">
        <f>('Pivot Table for Data Exchange'!$F$321)*100</f>
        <v>0</v>
      </c>
      <c r="O143" s="223">
        <f>('Pivot Table for Data Exchange'!$F$324)*100</f>
        <v>0.10364260574784617</v>
      </c>
      <c r="P143" s="221">
        <f>('Pivot Table for Data Exchange'!$F$327)*100</f>
        <v>0.34331613153974044</v>
      </c>
      <c r="Q143" s="97">
        <f t="shared" si="34"/>
        <v>99.999999999999986</v>
      </c>
      <c r="R143" s="97">
        <f t="shared" si="35"/>
        <v>99.999999999999986</v>
      </c>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row>
    <row r="144" spans="1:41" ht="15.75" customHeight="1">
      <c r="A144" s="65" t="s">
        <v>149</v>
      </c>
      <c r="B144" s="221">
        <f>('Pivot Table for Data Exchange'!$F$330)*100</f>
        <v>78.733699773827027</v>
      </c>
      <c r="C144" s="221">
        <f>('Pivot Table for Data Exchange'!$F$333)*100</f>
        <v>1.5624056214387823</v>
      </c>
      <c r="D144" s="227">
        <f t="shared" si="36"/>
        <v>19.703894604734195</v>
      </c>
      <c r="E144" s="221">
        <f>('Pivot Table for Data Exchange'!$F$336)*100</f>
        <v>19.65355937208475</v>
      </c>
      <c r="F144" s="221">
        <f>('Pivot Table for Data Exchange'!$F$339)*100</f>
        <v>5.0335232649445311E-2</v>
      </c>
      <c r="G144" s="232">
        <f>('Pivot Table for Data Exchange'!$F$342)*100</f>
        <v>0</v>
      </c>
      <c r="H144" s="221">
        <f>('Pivot Table for Data Exchange'!$F$345)*100</f>
        <v>0</v>
      </c>
      <c r="I144" s="87" t="s">
        <v>149</v>
      </c>
      <c r="J144" s="221">
        <f>('Pivot Table for Data Exchange'!$F$348)*100</f>
        <v>52.576745665659296</v>
      </c>
      <c r="K144" s="221">
        <f>('Pivot Table for Data Exchange'!$F$351)*100</f>
        <v>20.725306187370766</v>
      </c>
      <c r="L144" s="227">
        <f t="shared" si="37"/>
        <v>26.697948146969935</v>
      </c>
      <c r="M144" s="221">
        <f>('Pivot Table for Data Exchange'!$F$354)*100</f>
        <v>26.697948146969935</v>
      </c>
      <c r="N144" s="221">
        <f>('Pivot Table for Data Exchange'!$F$357)*100</f>
        <v>0</v>
      </c>
      <c r="O144" s="223">
        <f>('Pivot Table for Data Exchange'!$F$360)*100</f>
        <v>0</v>
      </c>
      <c r="P144" s="221">
        <f>('Pivot Table for Data Exchange'!$F$363)*100</f>
        <v>0</v>
      </c>
      <c r="Q144" s="97">
        <f t="shared" si="34"/>
        <v>100</v>
      </c>
      <c r="R144" s="97">
        <f t="shared" si="35"/>
        <v>100</v>
      </c>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row>
    <row r="145" spans="1:41" ht="15.75" customHeight="1">
      <c r="A145" s="65" t="s">
        <v>150</v>
      </c>
      <c r="B145" s="221">
        <f>('Pivot Table for Data Exchange'!$F$366)*100</f>
        <v>66.859759154254903</v>
      </c>
      <c r="C145" s="221">
        <f>('Pivot Table for Data Exchange'!$F$369)*100</f>
        <v>0.29855069234796755</v>
      </c>
      <c r="D145" s="227">
        <f t="shared" si="36"/>
        <v>32.841690153397124</v>
      </c>
      <c r="E145" s="221">
        <f>('Pivot Table for Data Exchange'!$F$372)*100</f>
        <v>28.702084284870832</v>
      </c>
      <c r="F145" s="221">
        <f>('Pivot Table for Data Exchange'!$F$375)*100</f>
        <v>4.1396058685262958</v>
      </c>
      <c r="G145" s="223">
        <f>('Pivot Table for Data Exchange'!$F$378)*100</f>
        <v>0</v>
      </c>
      <c r="H145" s="221">
        <f>('Pivot Table for Data Exchange'!$F$381)*100</f>
        <v>0</v>
      </c>
      <c r="I145" s="87" t="s">
        <v>150</v>
      </c>
      <c r="J145" s="221">
        <f>('Pivot Table for Data Exchange'!$F$384)*100</f>
        <v>47.156398104265399</v>
      </c>
      <c r="K145" s="221">
        <f>('Pivot Table for Data Exchange'!$F$387)*100</f>
        <v>2.4061246810061978</v>
      </c>
      <c r="L145" s="227">
        <f t="shared" si="37"/>
        <v>50.437477214728396</v>
      </c>
      <c r="M145" s="221">
        <f>('Pivot Table for Data Exchange'!$F$390)*100</f>
        <v>48.359460444768501</v>
      </c>
      <c r="N145" s="221">
        <f>('Pivot Table for Data Exchange'!$F$393)*100</f>
        <v>2.0780167699598979</v>
      </c>
      <c r="O145" s="223">
        <f>('Pivot Table for Data Exchange'!$F$396)*100</f>
        <v>0</v>
      </c>
      <c r="P145" s="221">
        <f>('Pivot Table for Data Exchange'!$F$399)*100</f>
        <v>0</v>
      </c>
      <c r="Q145" s="97">
        <f t="shared" si="34"/>
        <v>100</v>
      </c>
      <c r="R145" s="97">
        <f t="shared" si="35"/>
        <v>100</v>
      </c>
      <c r="S145" s="63"/>
      <c r="T145" s="74"/>
      <c r="U145" s="63"/>
      <c r="V145" s="63"/>
      <c r="W145" s="63"/>
      <c r="X145" s="63"/>
      <c r="Y145" s="63"/>
      <c r="Z145" s="63"/>
      <c r="AA145" s="63"/>
      <c r="AB145" s="63"/>
      <c r="AC145" s="63"/>
      <c r="AD145" s="63"/>
      <c r="AE145" s="63"/>
      <c r="AF145" s="63"/>
      <c r="AG145" s="63"/>
      <c r="AH145" s="63"/>
      <c r="AI145" s="63"/>
      <c r="AJ145" s="63"/>
      <c r="AK145" s="63"/>
      <c r="AL145" s="63"/>
      <c r="AM145" s="63"/>
      <c r="AN145" s="63"/>
      <c r="AO145" s="63"/>
    </row>
    <row r="146" spans="1:41" ht="15.75" customHeight="1">
      <c r="A146" s="65" t="s">
        <v>151</v>
      </c>
      <c r="B146" s="221">
        <f>('Pivot Table for Data Exchange'!$F$402)*100</f>
        <v>0</v>
      </c>
      <c r="C146" s="221">
        <f>('Pivot Table for Data Exchange'!$F$405)*100</f>
        <v>0</v>
      </c>
      <c r="D146" s="227">
        <f>SUM(E146:G146)</f>
        <v>0</v>
      </c>
      <c r="E146" s="221">
        <f>('Pivot Table for Data Exchange'!$F$408)*100</f>
        <v>0</v>
      </c>
      <c r="F146" s="221">
        <f>('Pivot Table for Data Exchange'!$F$411)*100</f>
        <v>0</v>
      </c>
      <c r="G146" s="223">
        <f>('Pivot Table for Data Exchange'!$F$414)*100</f>
        <v>0</v>
      </c>
      <c r="H146" s="221">
        <f>('Pivot Table for Data Exchange'!$F$417)*100</f>
        <v>0</v>
      </c>
      <c r="I146" s="87" t="s">
        <v>151</v>
      </c>
      <c r="J146" s="221">
        <f>('Pivot Table for Data Exchange'!$F$420)*100</f>
        <v>0</v>
      </c>
      <c r="K146" s="221">
        <f>('Pivot Table for Data Exchange'!$F$423)*100</f>
        <v>0</v>
      </c>
      <c r="L146" s="227">
        <f>SUM(M146:O146)</f>
        <v>0</v>
      </c>
      <c r="M146" s="221">
        <f>('Pivot Table for Data Exchange'!$F$426)*100</f>
        <v>0</v>
      </c>
      <c r="N146" s="221">
        <f>('Pivot Table for Data Exchange'!$F$429)*100</f>
        <v>0</v>
      </c>
      <c r="O146" s="223">
        <f>('Pivot Table for Data Exchange'!$F$432)*100</f>
        <v>0</v>
      </c>
      <c r="P146" s="221">
        <f>('Pivot Table for Data Exchange'!$F$435)*100</f>
        <v>0</v>
      </c>
      <c r="Q146" s="97">
        <f t="shared" si="34"/>
        <v>0</v>
      </c>
      <c r="R146" s="97">
        <f t="shared" si="35"/>
        <v>0</v>
      </c>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row>
    <row r="147" spans="1:41" ht="15.75" customHeight="1">
      <c r="A147" s="65"/>
      <c r="B147" s="221"/>
      <c r="C147" s="221"/>
      <c r="D147" s="227"/>
      <c r="E147" s="221"/>
      <c r="F147" s="221"/>
      <c r="G147" s="223"/>
      <c r="H147" s="221"/>
      <c r="I147" s="87"/>
      <c r="J147" s="221"/>
      <c r="K147" s="221"/>
      <c r="L147" s="227"/>
      <c r="M147" s="221"/>
      <c r="N147" s="221"/>
      <c r="O147" s="223"/>
      <c r="P147" s="221"/>
      <c r="Q147" s="97">
        <f t="shared" si="34"/>
        <v>0</v>
      </c>
      <c r="R147" s="97">
        <f t="shared" si="35"/>
        <v>0</v>
      </c>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row>
    <row r="148" spans="1:41" ht="15.75" customHeight="1">
      <c r="A148" s="65" t="s">
        <v>152</v>
      </c>
      <c r="B148" s="221">
        <f>('Pivot Table for Data Exchange'!$F$438)*100</f>
        <v>0</v>
      </c>
      <c r="C148" s="221">
        <f>('Pivot Table for Data Exchange'!$F$441)*100</f>
        <v>0</v>
      </c>
      <c r="D148" s="227">
        <f>SUM(E148:G148)</f>
        <v>0</v>
      </c>
      <c r="E148" s="221">
        <f>('Pivot Table for Data Exchange'!$F$444)*100</f>
        <v>0</v>
      </c>
      <c r="F148" s="221">
        <f>('Pivot Table for Data Exchange'!$F$447)*100</f>
        <v>0</v>
      </c>
      <c r="G148" s="223">
        <f>('Pivot Table for Data Exchange'!$F$450)*100</f>
        <v>0</v>
      </c>
      <c r="H148" s="221">
        <f>('Pivot Table for Data Exchange'!$F$453)*100</f>
        <v>0</v>
      </c>
      <c r="I148" s="87" t="s">
        <v>152</v>
      </c>
      <c r="J148" s="221">
        <f>('Pivot Table for Data Exchange'!$F$456)*100</f>
        <v>0</v>
      </c>
      <c r="K148" s="221">
        <f>('Pivot Table for Data Exchange'!$F$459)*100</f>
        <v>0</v>
      </c>
      <c r="L148" s="227">
        <f>SUM(M148:O148)</f>
        <v>0</v>
      </c>
      <c r="M148" s="221">
        <f>('Pivot Table for Data Exchange'!$F$462)*100</f>
        <v>0</v>
      </c>
      <c r="N148" s="221">
        <f>('Pivot Table for Data Exchange'!$F$465)*100</f>
        <v>0</v>
      </c>
      <c r="O148" s="223">
        <f>('Pivot Table for Data Exchange'!$F$468)*100</f>
        <v>0</v>
      </c>
      <c r="P148" s="221">
        <f>('Pivot Table for Data Exchange'!$F$471)*100</f>
        <v>0</v>
      </c>
      <c r="Q148" s="97">
        <f t="shared" si="34"/>
        <v>0</v>
      </c>
      <c r="R148" s="97">
        <f t="shared" si="35"/>
        <v>0</v>
      </c>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row>
    <row r="149" spans="1:41" ht="15.75" customHeight="1">
      <c r="A149" s="65" t="s">
        <v>153</v>
      </c>
      <c r="B149" s="221">
        <f>('Pivot Table for Data Exchange'!$F$474)*100</f>
        <v>39.723329141350625</v>
      </c>
      <c r="C149" s="221">
        <f>('Pivot Table for Data Exchange'!$F$477)*100</f>
        <v>12.300943953696269</v>
      </c>
      <c r="D149" s="227">
        <f>SUM(E149:G149)</f>
        <v>47.975726904953106</v>
      </c>
      <c r="E149" s="221">
        <f>('Pivot Table for Data Exchange'!$F$480)*100</f>
        <v>44.105213715359326</v>
      </c>
      <c r="F149" s="221">
        <f>('Pivot Table for Data Exchange'!$F$483)*100</f>
        <v>3.8705131895937814</v>
      </c>
      <c r="G149" s="223">
        <f>('Pivot Table for Data Exchange'!$F$486)*100</f>
        <v>0</v>
      </c>
      <c r="H149" s="221">
        <f>('Pivot Table for Data Exchange'!$F$489)*100</f>
        <v>0</v>
      </c>
      <c r="I149" s="87" t="s">
        <v>153</v>
      </c>
      <c r="J149" s="221">
        <f>('Pivot Table for Data Exchange'!$F$492)*100</f>
        <v>21.662966895087347</v>
      </c>
      <c r="K149" s="221">
        <f>('Pivot Table for Data Exchange'!$F$495)*100</f>
        <v>10.56123926261944</v>
      </c>
      <c r="L149" s="227">
        <f>SUM(M149:O149)</f>
        <v>67.775793842293211</v>
      </c>
      <c r="M149" s="221">
        <f>('Pivot Table for Data Exchange'!$F$498)*100</f>
        <v>65.046810153460086</v>
      </c>
      <c r="N149" s="221">
        <f>('Pivot Table for Data Exchange'!$F$501)*100</f>
        <v>2.7289836888331243</v>
      </c>
      <c r="O149" s="223">
        <f>('Pivot Table for Data Exchange'!$F$504)*100</f>
        <v>0</v>
      </c>
      <c r="P149" s="221">
        <f>('Pivot Table for Data Exchange'!$F$507)*100</f>
        <v>0</v>
      </c>
      <c r="Q149" s="97">
        <f t="shared" si="34"/>
        <v>100</v>
      </c>
      <c r="R149" s="97">
        <f t="shared" si="35"/>
        <v>100</v>
      </c>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row>
    <row r="150" spans="1:41" ht="15.75" customHeight="1">
      <c r="A150" s="65" t="s">
        <v>154</v>
      </c>
      <c r="B150" s="221">
        <f>('Pivot Table for Data Exchange'!$F$510)*100</f>
        <v>0</v>
      </c>
      <c r="C150" s="221">
        <f>('Pivot Table for Data Exchange'!$F$513)*100</f>
        <v>0</v>
      </c>
      <c r="D150" s="227">
        <f t="shared" ref="D150" si="38">SUM(E150:G150)</f>
        <v>0</v>
      </c>
      <c r="E150" s="221">
        <f>('Pivot Table for Data Exchange'!$F$516)*100</f>
        <v>0</v>
      </c>
      <c r="F150" s="221">
        <f>('Pivot Table for Data Exchange'!$F$519)*100</f>
        <v>0</v>
      </c>
      <c r="G150" s="223">
        <f>('Pivot Table for Data Exchange'!$F$522)*100</f>
        <v>0</v>
      </c>
      <c r="H150" s="221">
        <f>('Pivot Table for Data Exchange'!$F$525)*100</f>
        <v>0</v>
      </c>
      <c r="I150" s="87" t="s">
        <v>154</v>
      </c>
      <c r="J150" s="221">
        <f>('Pivot Table for Data Exchange'!$F$528)*100</f>
        <v>0</v>
      </c>
      <c r="K150" s="221">
        <f>('Pivot Table for Data Exchange'!$F$531)*100</f>
        <v>0</v>
      </c>
      <c r="L150" s="227">
        <f t="shared" ref="L150" si="39">SUM(M150:O150)</f>
        <v>0</v>
      </c>
      <c r="M150" s="221">
        <f>('Pivot Table for Data Exchange'!$F$534)*100</f>
        <v>0</v>
      </c>
      <c r="N150" s="221">
        <f>('Pivot Table for Data Exchange'!$F$537)*100</f>
        <v>0</v>
      </c>
      <c r="O150" s="223">
        <f>('Pivot Table for Data Exchange'!$F$540)*100</f>
        <v>0</v>
      </c>
      <c r="P150" s="221">
        <f>('Pivot Table for Data Exchange'!$F$543)*100</f>
        <v>0</v>
      </c>
      <c r="Q150" s="97">
        <f t="shared" si="34"/>
        <v>0</v>
      </c>
      <c r="R150" s="97">
        <f t="shared" si="35"/>
        <v>0</v>
      </c>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row>
    <row r="151" spans="1:41" ht="15.75" customHeight="1">
      <c r="A151" s="39" t="s">
        <v>155</v>
      </c>
      <c r="B151" s="224">
        <f>('Pivot Table for Data Exchange'!$F$546)*100</f>
        <v>0</v>
      </c>
      <c r="C151" s="224">
        <f>('Pivot Table for Data Exchange'!$F$549)*100</f>
        <v>0</v>
      </c>
      <c r="D151" s="228">
        <f>SUM(E151:G151)</f>
        <v>0</v>
      </c>
      <c r="E151" s="224">
        <f>('Pivot Table for Data Exchange'!$F$552)*100</f>
        <v>0</v>
      </c>
      <c r="F151" s="224">
        <f>('Pivot Table for Data Exchange'!$F$555)*100</f>
        <v>0</v>
      </c>
      <c r="G151" s="225">
        <f>('Pivot Table for Data Exchange'!$F$558)*100</f>
        <v>0</v>
      </c>
      <c r="H151" s="224">
        <f>('Pivot Table for Data Exchange'!$F$561)*100</f>
        <v>0</v>
      </c>
      <c r="I151" s="230" t="s">
        <v>155</v>
      </c>
      <c r="J151" s="224">
        <f>('Pivot Table for Data Exchange'!$F$564)*100</f>
        <v>0</v>
      </c>
      <c r="K151" s="224">
        <f>('Pivot Table for Data Exchange'!$F$567)*100</f>
        <v>0</v>
      </c>
      <c r="L151" s="228">
        <f>SUM(M151:O151)</f>
        <v>0</v>
      </c>
      <c r="M151" s="224">
        <f>('Pivot Table for Data Exchange'!$F$570)*100</f>
        <v>0</v>
      </c>
      <c r="N151" s="224">
        <f>('Pivot Table for Data Exchange'!$F$573)*100</f>
        <v>0</v>
      </c>
      <c r="O151" s="225">
        <f>('Pivot Table for Data Exchange'!$F$576)*100</f>
        <v>0</v>
      </c>
      <c r="P151" s="224">
        <f>('Pivot Table for Data Exchange'!$F$579)*100</f>
        <v>0</v>
      </c>
      <c r="Q151" s="97">
        <f t="shared" si="34"/>
        <v>0</v>
      </c>
      <c r="R151" s="97">
        <f t="shared" si="35"/>
        <v>0</v>
      </c>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row>
    <row r="152" spans="1:41" s="25" customFormat="1" ht="12.75" customHeight="1">
      <c r="A152" s="691" t="s">
        <v>175</v>
      </c>
      <c r="B152" s="69"/>
      <c r="C152" s="69"/>
      <c r="D152" s="70"/>
      <c r="E152" s="69"/>
      <c r="F152" s="70"/>
      <c r="G152" s="70"/>
      <c r="H152" s="69"/>
      <c r="I152" s="691" t="s">
        <v>175</v>
      </c>
      <c r="J152" s="69"/>
      <c r="K152" s="69"/>
      <c r="L152" s="70"/>
      <c r="M152" s="69"/>
      <c r="N152" s="70"/>
      <c r="O152" s="70"/>
      <c r="P152" s="69"/>
      <c r="Q152" s="97"/>
      <c r="R152" s="97"/>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row>
    <row r="153" spans="1:41" s="25" customFormat="1" ht="24" customHeight="1">
      <c r="A153" s="666" t="s">
        <v>176</v>
      </c>
      <c r="B153" s="685"/>
      <c r="C153" s="685"/>
      <c r="D153" s="685"/>
      <c r="E153" s="685"/>
      <c r="F153" s="685"/>
      <c r="G153" s="685"/>
      <c r="H153" s="685"/>
      <c r="I153" s="666" t="s">
        <v>176</v>
      </c>
      <c r="J153" s="685"/>
      <c r="K153" s="685"/>
      <c r="L153" s="685"/>
      <c r="M153" s="685"/>
      <c r="N153" s="685"/>
      <c r="O153" s="685"/>
      <c r="P153" s="685"/>
      <c r="Q153" s="97"/>
      <c r="R153" s="97"/>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row>
    <row r="154" spans="1:41" s="25" customFormat="1" ht="9.75" customHeight="1">
      <c r="A154" s="365"/>
      <c r="B154" s="366"/>
      <c r="C154" s="366"/>
      <c r="D154" s="366"/>
      <c r="E154" s="366"/>
      <c r="F154" s="366"/>
      <c r="G154" s="366"/>
      <c r="H154" s="366"/>
      <c r="I154" s="365"/>
      <c r="J154" s="366"/>
      <c r="K154" s="366"/>
      <c r="L154" s="366"/>
      <c r="M154" s="366"/>
      <c r="N154" s="366"/>
      <c r="O154" s="366"/>
      <c r="P154" s="366"/>
      <c r="Q154" s="226"/>
      <c r="R154" s="226"/>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row>
    <row r="155" spans="1:41" s="25" customFormat="1" ht="13.5" customHeight="1">
      <c r="A155" s="24"/>
      <c r="B155" s="76"/>
      <c r="H155" s="27" t="s">
        <v>899</v>
      </c>
      <c r="I155" s="24"/>
      <c r="P155" s="27" t="s">
        <v>899</v>
      </c>
      <c r="Q155" s="97"/>
      <c r="R155" s="97"/>
    </row>
    <row r="156" spans="1:41" ht="18">
      <c r="A156" s="16" t="s">
        <v>205</v>
      </c>
      <c r="B156" s="34"/>
      <c r="C156" s="34"/>
      <c r="D156" s="34"/>
      <c r="E156" s="34"/>
      <c r="F156" s="34"/>
      <c r="G156" s="34"/>
      <c r="H156" s="35"/>
      <c r="I156" s="16" t="s">
        <v>220</v>
      </c>
      <c r="J156" s="19"/>
      <c r="K156" s="19"/>
      <c r="L156" s="34"/>
      <c r="M156" s="19"/>
      <c r="N156" s="19"/>
      <c r="O156" s="19"/>
      <c r="P156" s="19"/>
      <c r="Q156" s="97"/>
      <c r="R156" s="97"/>
    </row>
    <row r="157" spans="1:41">
      <c r="A157" s="18"/>
      <c r="B157" s="19"/>
      <c r="C157" s="19"/>
      <c r="D157" s="19"/>
      <c r="E157" s="19"/>
      <c r="F157" s="19"/>
      <c r="G157" s="19"/>
      <c r="H157" s="36"/>
      <c r="I157" s="18"/>
      <c r="J157" s="19"/>
      <c r="K157" s="19"/>
      <c r="L157" s="19"/>
      <c r="M157" s="19"/>
      <c r="N157" s="19"/>
      <c r="O157" s="19"/>
      <c r="P157" s="19"/>
      <c r="Q157" s="97"/>
      <c r="R157" s="97"/>
    </row>
    <row r="158" spans="1:41" ht="15.75">
      <c r="A158" s="37" t="s">
        <v>162</v>
      </c>
      <c r="B158" s="19"/>
      <c r="C158" s="19"/>
      <c r="D158" s="19"/>
      <c r="E158" s="19"/>
      <c r="F158" s="19"/>
      <c r="G158" s="19"/>
      <c r="H158" s="36"/>
      <c r="I158" s="37" t="s">
        <v>163</v>
      </c>
      <c r="J158" s="19"/>
      <c r="K158" s="19"/>
      <c r="L158" s="19"/>
      <c r="M158" s="19"/>
      <c r="N158" s="19"/>
      <c r="O158" s="19"/>
      <c r="P158" s="19"/>
      <c r="Q158" s="97"/>
      <c r="R158" s="97"/>
    </row>
    <row r="159" spans="1:41" ht="15.75">
      <c r="A159" s="37" t="s">
        <v>269</v>
      </c>
      <c r="B159" s="19"/>
      <c r="C159" s="19"/>
      <c r="D159" s="19"/>
      <c r="E159" s="19"/>
      <c r="F159" s="19"/>
      <c r="G159" s="19"/>
      <c r="H159" s="36"/>
      <c r="I159" s="37" t="s">
        <v>269</v>
      </c>
      <c r="J159" s="19"/>
      <c r="K159" s="19"/>
      <c r="L159" s="19"/>
      <c r="M159" s="19"/>
      <c r="N159" s="19"/>
      <c r="O159" s="19"/>
      <c r="P159" s="19"/>
      <c r="Q159" s="97"/>
      <c r="R159" s="97"/>
    </row>
    <row r="160" spans="1:41">
      <c r="A160" s="39"/>
      <c r="B160" s="40"/>
      <c r="C160" s="40"/>
      <c r="D160" s="40"/>
      <c r="E160" s="40"/>
      <c r="F160" s="40"/>
      <c r="G160" s="40"/>
      <c r="H160" s="40"/>
      <c r="I160" s="41"/>
      <c r="L160" s="42"/>
      <c r="P160" s="39"/>
      <c r="Q160" s="97"/>
      <c r="R160" s="97"/>
    </row>
    <row r="161" spans="1:41" s="48" customFormat="1">
      <c r="A161" s="43"/>
      <c r="B161" s="44" t="s">
        <v>164</v>
      </c>
      <c r="C161" s="44"/>
      <c r="D161" s="44"/>
      <c r="E161" s="44"/>
      <c r="F161" s="44"/>
      <c r="G161" s="44"/>
      <c r="H161" s="45"/>
      <c r="I161" s="43"/>
      <c r="J161" s="44" t="s">
        <v>164</v>
      </c>
      <c r="K161" s="44"/>
      <c r="L161" s="44"/>
      <c r="M161" s="44"/>
      <c r="N161" s="44"/>
      <c r="O161" s="44"/>
      <c r="P161" s="45"/>
      <c r="Q161" s="97"/>
      <c r="R161" s="97"/>
    </row>
    <row r="162" spans="1:41" s="48" customFormat="1">
      <c r="A162" s="43"/>
      <c r="B162" s="44" t="s">
        <v>165</v>
      </c>
      <c r="C162" s="44"/>
      <c r="D162" s="670" t="s">
        <v>166</v>
      </c>
      <c r="E162" s="668"/>
      <c r="F162" s="668"/>
      <c r="G162" s="668"/>
      <c r="H162" s="49" t="s">
        <v>39</v>
      </c>
      <c r="I162" s="43"/>
      <c r="J162" s="44" t="s">
        <v>165</v>
      </c>
      <c r="K162" s="44"/>
      <c r="L162" s="670" t="s">
        <v>166</v>
      </c>
      <c r="M162" s="668"/>
      <c r="N162" s="668"/>
      <c r="O162" s="668"/>
      <c r="P162" s="49" t="s">
        <v>39</v>
      </c>
      <c r="Q162" s="97"/>
      <c r="R162" s="97"/>
    </row>
    <row r="163" spans="1:41" s="48" customFormat="1" ht="40.5" customHeight="1">
      <c r="A163" s="43"/>
      <c r="B163" s="50" t="s">
        <v>167</v>
      </c>
      <c r="C163" s="51" t="s">
        <v>168</v>
      </c>
      <c r="D163" s="52" t="s">
        <v>169</v>
      </c>
      <c r="E163" s="53" t="s">
        <v>7</v>
      </c>
      <c r="F163" s="50" t="s">
        <v>170</v>
      </c>
      <c r="G163" s="54" t="s">
        <v>171</v>
      </c>
      <c r="H163" s="55" t="s">
        <v>172</v>
      </c>
      <c r="I163" s="43"/>
      <c r="J163" s="50" t="s">
        <v>167</v>
      </c>
      <c r="K163" s="51" t="s">
        <v>168</v>
      </c>
      <c r="L163" s="52" t="s">
        <v>169</v>
      </c>
      <c r="M163" s="53" t="s">
        <v>7</v>
      </c>
      <c r="N163" s="50" t="s">
        <v>170</v>
      </c>
      <c r="O163" s="54" t="s">
        <v>171</v>
      </c>
      <c r="P163" s="55" t="s">
        <v>172</v>
      </c>
      <c r="Q163" s="97"/>
      <c r="R163" s="97"/>
      <c r="T163" s="73"/>
    </row>
    <row r="164" spans="1:41" ht="15.75" customHeight="1">
      <c r="A164" s="62" t="s">
        <v>141</v>
      </c>
      <c r="B164" s="221">
        <f>('Pivot Table for Data Exchange'!$G$6)*100</f>
        <v>95.438235991464467</v>
      </c>
      <c r="C164" s="221">
        <f>('Pivot Table for Data Exchange'!$G$9)*100</f>
        <v>0.47103453726389</v>
      </c>
      <c r="D164" s="227">
        <f>SUM(E164:G164)</f>
        <v>4.0907294712716356</v>
      </c>
      <c r="E164" s="221">
        <f>('Pivot Table for Data Exchange'!$G$12)*100</f>
        <v>4.0907294712716356</v>
      </c>
      <c r="F164" s="221">
        <f>('Pivot Table for Data Exchange'!$G$15)*100</f>
        <v>0</v>
      </c>
      <c r="G164" s="60">
        <f>('Pivot Table for Data Exchange'!$G$18)*100</f>
        <v>0</v>
      </c>
      <c r="H164" s="221">
        <f>('Pivot Table for Data Exchange'!$G$21)*100</f>
        <v>0</v>
      </c>
      <c r="I164" s="229" t="s">
        <v>141</v>
      </c>
      <c r="J164" s="221">
        <f>('Pivot Table for Data Exchange'!$G$24)*100</f>
        <v>24.869021921879575</v>
      </c>
      <c r="K164" s="221">
        <f>('Pivot Table for Data Exchange'!$G$27)*100</f>
        <v>0.23212678027139311</v>
      </c>
      <c r="L164" s="227">
        <f>SUM(M164:O164)</f>
        <v>74.898851297849035</v>
      </c>
      <c r="M164" s="221">
        <f>('Pivot Table for Data Exchange'!$G$30)*100</f>
        <v>74.898851297849035</v>
      </c>
      <c r="N164" s="221">
        <f>('Pivot Table for Data Exchange'!$G$33)*100</f>
        <v>0</v>
      </c>
      <c r="O164" s="60">
        <f>('Pivot Table for Data Exchange'!$G$36)*100</f>
        <v>0</v>
      </c>
      <c r="P164" s="221">
        <f>('Pivot Table for Data Exchange'!$G$39)*100</f>
        <v>0</v>
      </c>
      <c r="Q164" s="97">
        <f>SUM(B164,C164,D164,H164)</f>
        <v>99.999999999999986</v>
      </c>
      <c r="R164" s="97">
        <f t="shared" si="35"/>
        <v>100</v>
      </c>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row>
    <row r="165" spans="1:41" ht="15.75" customHeight="1">
      <c r="A165" s="65" t="s">
        <v>142</v>
      </c>
      <c r="B165" s="221">
        <f>('Pivot Table for Data Exchange'!$G$42)*100</f>
        <v>78.504372709619958</v>
      </c>
      <c r="C165" s="221">
        <f>('Pivot Table for Data Exchange'!$G$45)*100</f>
        <v>1.781203918648621</v>
      </c>
      <c r="D165" s="227">
        <f t="shared" ref="D165:D167" si="40">SUM(E165:G165)</f>
        <v>19.714423371731417</v>
      </c>
      <c r="E165" s="221">
        <f>('Pivot Table for Data Exchange'!$G$48)*100</f>
        <v>15.054093119004861</v>
      </c>
      <c r="F165" s="221">
        <f>('Pivot Table for Data Exchange'!$G$51)*100</f>
        <v>4.6603302527265553</v>
      </c>
      <c r="G165" s="223">
        <f>('Pivot Table for Data Exchange'!$G$54)*100</f>
        <v>0</v>
      </c>
      <c r="H165" s="67">
        <f>('Pivot Table for Data Exchange'!$G$57)*100</f>
        <v>0</v>
      </c>
      <c r="I165" s="87" t="s">
        <v>142</v>
      </c>
      <c r="J165" s="221">
        <f>('Pivot Table for Data Exchange'!$G$60)*100</f>
        <v>42.323651452282157</v>
      </c>
      <c r="K165" s="221">
        <f>('Pivot Table for Data Exchange'!$G$63)*100</f>
        <v>0</v>
      </c>
      <c r="L165" s="227">
        <f t="shared" ref="L165:L167" si="41">SUM(M165:O165)</f>
        <v>57.676348547717836</v>
      </c>
      <c r="M165" s="221">
        <f>('Pivot Table for Data Exchange'!$G$66)*100</f>
        <v>57.676348547717836</v>
      </c>
      <c r="N165" s="221">
        <f>('Pivot Table for Data Exchange'!$G$69)*100</f>
        <v>0</v>
      </c>
      <c r="O165" s="223">
        <f>('Pivot Table for Data Exchange'!$G$72)*100</f>
        <v>0</v>
      </c>
      <c r="P165" s="221">
        <f>('Pivot Table for Data Exchange'!$G$75)*100</f>
        <v>0</v>
      </c>
      <c r="Q165" s="97">
        <f t="shared" si="34"/>
        <v>99.999999999999986</v>
      </c>
      <c r="R165" s="97">
        <f t="shared" si="35"/>
        <v>100</v>
      </c>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row>
    <row r="166" spans="1:41" ht="15.75" customHeight="1">
      <c r="A166" s="65" t="s">
        <v>143</v>
      </c>
      <c r="B166" s="221">
        <f>('Pivot Table for Data Exchange'!$G$78)*100</f>
        <v>0</v>
      </c>
      <c r="C166" s="221">
        <f>('Pivot Table for Data Exchange'!$G$81)*100</f>
        <v>0</v>
      </c>
      <c r="D166" s="227">
        <f t="shared" si="40"/>
        <v>0</v>
      </c>
      <c r="E166" s="221">
        <f>('Pivot Table for Data Exchange'!$G$84)*100</f>
        <v>0</v>
      </c>
      <c r="F166" s="221">
        <f>('Pivot Table for Data Exchange'!$G$87)*100</f>
        <v>0</v>
      </c>
      <c r="G166" s="223">
        <f>('Pivot Table for Data Exchange'!$G$90)*100</f>
        <v>0</v>
      </c>
      <c r="H166" s="221">
        <f>('Pivot Table for Data Exchange'!$G$93)*100</f>
        <v>0</v>
      </c>
      <c r="I166" s="87" t="s">
        <v>143</v>
      </c>
      <c r="J166" s="221">
        <f>('Pivot Table for Data Exchange'!$G$96)*100</f>
        <v>0</v>
      </c>
      <c r="K166" s="221">
        <f>('Pivot Table for Data Exchange'!$G$99)*100</f>
        <v>0</v>
      </c>
      <c r="L166" s="227">
        <f t="shared" si="41"/>
        <v>0</v>
      </c>
      <c r="M166" s="221">
        <f>('Pivot Table for Data Exchange'!$G$102)*100</f>
        <v>0</v>
      </c>
      <c r="N166" s="221">
        <f>('Pivot Table for Data Exchange'!$G$105)*100</f>
        <v>0</v>
      </c>
      <c r="O166" s="223">
        <f>('Pivot Table for Data Exchange'!$G$108)*100</f>
        <v>0</v>
      </c>
      <c r="P166" s="221">
        <f>('Pivot Table for Data Exchange'!$G$111)*100</f>
        <v>0</v>
      </c>
      <c r="Q166" s="97">
        <f t="shared" si="34"/>
        <v>0</v>
      </c>
      <c r="R166" s="97">
        <f t="shared" si="35"/>
        <v>0</v>
      </c>
      <c r="S166" s="63"/>
      <c r="T166" s="74"/>
      <c r="U166" s="63"/>
      <c r="V166" s="63"/>
      <c r="W166" s="63"/>
      <c r="X166" s="63"/>
      <c r="Y166" s="63"/>
      <c r="Z166" s="63"/>
      <c r="AA166" s="63"/>
      <c r="AB166" s="63"/>
      <c r="AC166" s="63"/>
      <c r="AD166" s="63"/>
      <c r="AE166" s="63"/>
      <c r="AF166" s="63"/>
      <c r="AG166" s="63"/>
      <c r="AH166" s="63"/>
      <c r="AI166" s="63"/>
      <c r="AJ166" s="63"/>
      <c r="AK166" s="63"/>
      <c r="AL166" s="63"/>
      <c r="AM166" s="63"/>
      <c r="AN166" s="63"/>
      <c r="AO166" s="63"/>
    </row>
    <row r="167" spans="1:41" ht="15.75" customHeight="1">
      <c r="A167" s="65" t="s">
        <v>144</v>
      </c>
      <c r="B167" s="221">
        <f>('Pivot Table for Data Exchange'!$G$114)*100</f>
        <v>0</v>
      </c>
      <c r="C167" s="221">
        <f>('Pivot Table for Data Exchange'!$G$117)*100</f>
        <v>0</v>
      </c>
      <c r="D167" s="227">
        <f t="shared" si="40"/>
        <v>0</v>
      </c>
      <c r="E167" s="221">
        <f>('Pivot Table for Data Exchange'!$G$120)*100</f>
        <v>0</v>
      </c>
      <c r="F167" s="221">
        <f>('Pivot Table for Data Exchange'!$G$123)*100</f>
        <v>0</v>
      </c>
      <c r="G167" s="223">
        <f>('Pivot Table for Data Exchange'!$G$126)*100</f>
        <v>0</v>
      </c>
      <c r="H167" s="221">
        <f>('Pivot Table for Data Exchange'!$G$129)*100</f>
        <v>0</v>
      </c>
      <c r="I167" s="87" t="s">
        <v>144</v>
      </c>
      <c r="J167" s="221">
        <f>('Pivot Table for Data Exchange'!$G$132)*100</f>
        <v>0</v>
      </c>
      <c r="K167" s="221">
        <f>('Pivot Table for Data Exchange'!$G$135)*100</f>
        <v>0</v>
      </c>
      <c r="L167" s="227">
        <f t="shared" si="41"/>
        <v>0</v>
      </c>
      <c r="M167" s="221">
        <f>('Pivot Table for Data Exchange'!$G$138)*100</f>
        <v>0</v>
      </c>
      <c r="N167" s="221">
        <f>('Pivot Table for Data Exchange'!$G$141)*100</f>
        <v>0</v>
      </c>
      <c r="O167" s="223">
        <f>('Pivot Table for Data Exchange'!$G$144)*100</f>
        <v>0</v>
      </c>
      <c r="P167" s="221">
        <f>('Pivot Table for Data Exchange'!$G$147)*100</f>
        <v>0</v>
      </c>
      <c r="Q167" s="97">
        <f t="shared" si="34"/>
        <v>0</v>
      </c>
      <c r="R167" s="97">
        <f t="shared" si="35"/>
        <v>0</v>
      </c>
      <c r="S167" s="63"/>
      <c r="U167" s="63"/>
      <c r="V167" s="63"/>
      <c r="W167" s="63"/>
      <c r="X167" s="63"/>
      <c r="Y167" s="63"/>
      <c r="Z167" s="63"/>
      <c r="AA167" s="63"/>
      <c r="AB167" s="63"/>
      <c r="AC167" s="63"/>
      <c r="AD167" s="63"/>
      <c r="AE167" s="63"/>
      <c r="AF167" s="63"/>
      <c r="AG167" s="63"/>
      <c r="AH167" s="63"/>
      <c r="AI167" s="63"/>
      <c r="AJ167" s="63"/>
      <c r="AK167" s="63"/>
      <c r="AL167" s="63"/>
      <c r="AM167" s="63"/>
      <c r="AN167" s="63"/>
      <c r="AO167" s="63"/>
    </row>
    <row r="168" spans="1:41" ht="10.5" customHeight="1">
      <c r="A168" s="65"/>
      <c r="B168" s="221"/>
      <c r="C168" s="221"/>
      <c r="D168" s="227"/>
      <c r="E168" s="221"/>
      <c r="F168" s="221"/>
      <c r="G168" s="223"/>
      <c r="H168" s="221"/>
      <c r="I168" s="87"/>
      <c r="J168" s="221"/>
      <c r="K168" s="221"/>
      <c r="L168" s="227"/>
      <c r="M168" s="221"/>
      <c r="N168" s="221"/>
      <c r="O168" s="223"/>
      <c r="P168" s="221"/>
      <c r="Q168" s="97">
        <f t="shared" si="34"/>
        <v>0</v>
      </c>
      <c r="R168" s="97">
        <f t="shared" si="35"/>
        <v>0</v>
      </c>
      <c r="S168" s="63"/>
      <c r="U168" s="63"/>
      <c r="V168" s="63"/>
      <c r="W168" s="63"/>
      <c r="X168" s="63"/>
      <c r="Y168" s="63"/>
      <c r="Z168" s="63"/>
      <c r="AA168" s="63"/>
      <c r="AB168" s="63"/>
      <c r="AC168" s="63"/>
      <c r="AD168" s="63"/>
      <c r="AE168" s="63"/>
      <c r="AF168" s="63"/>
      <c r="AG168" s="63"/>
      <c r="AH168" s="63"/>
      <c r="AI168" s="63"/>
      <c r="AJ168" s="63"/>
      <c r="AK168" s="63"/>
      <c r="AL168" s="63"/>
      <c r="AM168" s="63"/>
      <c r="AN168" s="63"/>
      <c r="AO168" s="63"/>
    </row>
    <row r="169" spans="1:41" ht="15.75" customHeight="1">
      <c r="A169" s="65" t="s">
        <v>145</v>
      </c>
      <c r="B169" s="221">
        <f>('Pivot Table for Data Exchange'!$G$150)*100</f>
        <v>0</v>
      </c>
      <c r="C169" s="221">
        <f>('Pivot Table for Data Exchange'!$G$153)*100</f>
        <v>0</v>
      </c>
      <c r="D169" s="227">
        <f t="shared" ref="D169:D172" si="42">SUM(E169:G169)</f>
        <v>0</v>
      </c>
      <c r="E169" s="221">
        <f>('Pivot Table for Data Exchange'!$G$156)*100</f>
        <v>0</v>
      </c>
      <c r="F169" s="221">
        <f>('Pivot Table for Data Exchange'!$G$159)*100</f>
        <v>0</v>
      </c>
      <c r="G169" s="223">
        <f>('Pivot Table for Data Exchange'!$G$162)*100</f>
        <v>0</v>
      </c>
      <c r="H169" s="221">
        <f>('Pivot Table for Data Exchange'!$G$165)*100</f>
        <v>0</v>
      </c>
      <c r="I169" s="87" t="s">
        <v>145</v>
      </c>
      <c r="J169" s="221">
        <f>('Pivot Table for Data Exchange'!$G$168)*100</f>
        <v>0</v>
      </c>
      <c r="K169" s="221">
        <f>('Pivot Table for Data Exchange'!$G$171)*100</f>
        <v>0</v>
      </c>
      <c r="L169" s="227">
        <f t="shared" ref="L169:L172" si="43">SUM(M169:O169)</f>
        <v>0</v>
      </c>
      <c r="M169" s="221">
        <f>('Pivot Table for Data Exchange'!$G$174)*100</f>
        <v>0</v>
      </c>
      <c r="N169" s="221">
        <f>('Pivot Table for Data Exchange'!$G$177)*100</f>
        <v>0</v>
      </c>
      <c r="O169" s="223">
        <f>('Pivot Table for Data Exchange'!$G$180)*100</f>
        <v>0</v>
      </c>
      <c r="P169" s="221">
        <f>('Pivot Table for Data Exchange'!$G$183)*100</f>
        <v>0</v>
      </c>
      <c r="Q169" s="97">
        <f t="shared" si="34"/>
        <v>0</v>
      </c>
      <c r="R169" s="97">
        <f t="shared" si="35"/>
        <v>0</v>
      </c>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row>
    <row r="170" spans="1:41" ht="15.75" customHeight="1">
      <c r="A170" s="65" t="s">
        <v>146</v>
      </c>
      <c r="B170" s="221">
        <f>('Pivot Table for Data Exchange'!$G$186)*100</f>
        <v>0</v>
      </c>
      <c r="C170" s="221">
        <f>('Pivot Table for Data Exchange'!$G$189)*100</f>
        <v>0</v>
      </c>
      <c r="D170" s="227">
        <f t="shared" si="42"/>
        <v>0</v>
      </c>
      <c r="E170" s="221">
        <f>('Pivot Table for Data Exchange'!$G$192)*100</f>
        <v>0</v>
      </c>
      <c r="F170" s="221">
        <f>('Pivot Table for Data Exchange'!$G$195)*100</f>
        <v>0</v>
      </c>
      <c r="G170" s="223">
        <f>('Pivot Table for Data Exchange'!$G$198)*100</f>
        <v>0</v>
      </c>
      <c r="H170" s="221">
        <f>('Pivot Table for Data Exchange'!$G$201)*100</f>
        <v>0</v>
      </c>
      <c r="I170" s="87" t="s">
        <v>146</v>
      </c>
      <c r="J170" s="221">
        <f>('Pivot Table for Data Exchange'!$G$204)*100</f>
        <v>0</v>
      </c>
      <c r="K170" s="221">
        <f>('Pivot Table for Data Exchange'!$G$207)*100</f>
        <v>0</v>
      </c>
      <c r="L170" s="227">
        <f t="shared" si="43"/>
        <v>0</v>
      </c>
      <c r="M170" s="221">
        <f>('Pivot Table for Data Exchange'!$G$210)*100</f>
        <v>0</v>
      </c>
      <c r="N170" s="221">
        <f>('Pivot Table for Data Exchange'!$G$213)*100</f>
        <v>0</v>
      </c>
      <c r="O170" s="223">
        <f>('Pivot Table for Data Exchange'!$G$216)*100</f>
        <v>0</v>
      </c>
      <c r="P170" s="221">
        <f>('Pivot Table for Data Exchange'!$G$219)*100</f>
        <v>0</v>
      </c>
      <c r="Q170" s="97">
        <f t="shared" si="34"/>
        <v>0</v>
      </c>
      <c r="R170" s="97">
        <f t="shared" si="35"/>
        <v>0</v>
      </c>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row>
    <row r="171" spans="1:41" ht="15.75" customHeight="1">
      <c r="A171" s="65" t="s">
        <v>147</v>
      </c>
      <c r="B171" s="221">
        <f>('Pivot Table for Data Exchange'!$G$222)*100</f>
        <v>0</v>
      </c>
      <c r="C171" s="221">
        <f>('Pivot Table for Data Exchange'!$G$225)*100</f>
        <v>0</v>
      </c>
      <c r="D171" s="227">
        <f t="shared" si="42"/>
        <v>0</v>
      </c>
      <c r="E171" s="221">
        <f>('Pivot Table for Data Exchange'!$G$228)*100</f>
        <v>0</v>
      </c>
      <c r="F171" s="221">
        <f>('Pivot Table for Data Exchange'!$G$231)*100</f>
        <v>0</v>
      </c>
      <c r="G171" s="223">
        <f>('Pivot Table for Data Exchange'!$G$234)*100</f>
        <v>0</v>
      </c>
      <c r="H171" s="221">
        <f>('Pivot Table for Data Exchange'!$G$237)*100</f>
        <v>0</v>
      </c>
      <c r="I171" s="87" t="s">
        <v>147</v>
      </c>
      <c r="J171" s="221">
        <f>('Pivot Table for Data Exchange'!$G$240)*100</f>
        <v>0</v>
      </c>
      <c r="K171" s="221">
        <f>('Pivot Table for Data Exchange'!$G$243)*100</f>
        <v>0</v>
      </c>
      <c r="L171" s="227">
        <f t="shared" si="43"/>
        <v>0</v>
      </c>
      <c r="M171" s="221">
        <f>('Pivot Table for Data Exchange'!$G$246)*100</f>
        <v>0</v>
      </c>
      <c r="N171" s="221">
        <f>('Pivot Table for Data Exchange'!$G$249)*100</f>
        <v>0</v>
      </c>
      <c r="O171" s="223">
        <f>('Pivot Table for Data Exchange'!$G$252)*100</f>
        <v>0</v>
      </c>
      <c r="P171" s="221">
        <f>('Pivot Table for Data Exchange'!$G$255)*100</f>
        <v>0</v>
      </c>
      <c r="Q171" s="97">
        <f t="shared" si="34"/>
        <v>0</v>
      </c>
      <c r="R171" s="97">
        <f t="shared" si="35"/>
        <v>0</v>
      </c>
      <c r="S171" s="63"/>
      <c r="T171" s="74"/>
      <c r="U171" s="63"/>
      <c r="V171" s="63"/>
      <c r="W171" s="63"/>
      <c r="X171" s="63"/>
      <c r="Y171" s="63"/>
      <c r="Z171" s="63"/>
      <c r="AA171" s="63"/>
      <c r="AB171" s="63"/>
      <c r="AC171" s="63"/>
      <c r="AD171" s="63"/>
      <c r="AE171" s="63"/>
      <c r="AF171" s="63"/>
      <c r="AG171" s="63"/>
      <c r="AH171" s="63"/>
      <c r="AI171" s="63"/>
      <c r="AJ171" s="63"/>
      <c r="AK171" s="63"/>
      <c r="AL171" s="63"/>
      <c r="AM171" s="63"/>
      <c r="AN171" s="63"/>
      <c r="AO171" s="63"/>
    </row>
    <row r="172" spans="1:41" ht="15.75" customHeight="1">
      <c r="A172" s="65" t="s">
        <v>177</v>
      </c>
      <c r="B172" s="221">
        <f>('Pivot Table for Data Exchange'!$G$258)*100</f>
        <v>84.085978852375703</v>
      </c>
      <c r="C172" s="221">
        <f>('Pivot Table for Data Exchange'!$G$261)*100</f>
        <v>2.1593881320424937</v>
      </c>
      <c r="D172" s="227">
        <f t="shared" si="42"/>
        <v>13.754633015581808</v>
      </c>
      <c r="E172" s="221">
        <f>('Pivot Table for Data Exchange'!$G$264)*100</f>
        <v>13.754633015581808</v>
      </c>
      <c r="F172" s="221">
        <f>('Pivot Table for Data Exchange'!$G$267)*100</f>
        <v>0</v>
      </c>
      <c r="G172" s="223">
        <f>('Pivot Table for Data Exchange'!$G$270)*100</f>
        <v>0</v>
      </c>
      <c r="H172" s="221">
        <f>('Pivot Table for Data Exchange'!$G$273)*100</f>
        <v>0</v>
      </c>
      <c r="I172" s="87" t="s">
        <v>177</v>
      </c>
      <c r="J172" s="221">
        <f>('Pivot Table for Data Exchange'!$G$276)*100</f>
        <v>75.239005736137671</v>
      </c>
      <c r="K172" s="221">
        <f>('Pivot Table for Data Exchange'!$G$279)*100</f>
        <v>16.555130656469089</v>
      </c>
      <c r="L172" s="227">
        <f t="shared" si="43"/>
        <v>8.2058636073932441</v>
      </c>
      <c r="M172" s="221">
        <f>('Pivot Table for Data Exchange'!$G$282)*100</f>
        <v>8.2058636073932441</v>
      </c>
      <c r="N172" s="221">
        <f>('Pivot Table for Data Exchange'!$G$285)*100</f>
        <v>0</v>
      </c>
      <c r="O172" s="223">
        <f>('Pivot Table for Data Exchange'!$G$288)*100</f>
        <v>0</v>
      </c>
      <c r="P172" s="221">
        <f>('Pivot Table for Data Exchange'!$G$291)*100</f>
        <v>0</v>
      </c>
      <c r="Q172" s="97">
        <f t="shared" si="34"/>
        <v>100</v>
      </c>
      <c r="R172" s="97">
        <f t="shared" si="35"/>
        <v>100</v>
      </c>
      <c r="S172" s="63"/>
      <c r="U172" s="63"/>
      <c r="V172" s="63"/>
      <c r="W172" s="63"/>
      <c r="X172" s="63"/>
      <c r="Y172" s="63"/>
      <c r="Z172" s="63"/>
      <c r="AA172" s="63"/>
      <c r="AB172" s="63"/>
      <c r="AC172" s="63"/>
      <c r="AD172" s="63"/>
      <c r="AE172" s="63"/>
      <c r="AF172" s="63"/>
      <c r="AG172" s="63"/>
      <c r="AH172" s="63"/>
      <c r="AI172" s="63"/>
      <c r="AJ172" s="63"/>
      <c r="AK172" s="63"/>
      <c r="AL172" s="63"/>
      <c r="AM172" s="63"/>
      <c r="AN172" s="63"/>
      <c r="AO172" s="63"/>
    </row>
    <row r="173" spans="1:41" ht="11.25" customHeight="1">
      <c r="A173" s="65"/>
      <c r="B173" s="221"/>
      <c r="C173" s="221"/>
      <c r="D173" s="227"/>
      <c r="E173" s="221"/>
      <c r="F173" s="221"/>
      <c r="G173" s="223"/>
      <c r="H173" s="221"/>
      <c r="I173" s="87"/>
      <c r="J173" s="221"/>
      <c r="K173" s="221"/>
      <c r="L173" s="227"/>
      <c r="M173" s="221"/>
      <c r="N173" s="221"/>
      <c r="O173" s="223"/>
      <c r="P173" s="221"/>
      <c r="Q173" s="97">
        <f t="shared" si="34"/>
        <v>0</v>
      </c>
      <c r="R173" s="97">
        <f t="shared" si="35"/>
        <v>0</v>
      </c>
      <c r="S173" s="63"/>
      <c r="U173" s="63"/>
      <c r="V173" s="63"/>
      <c r="W173" s="63"/>
      <c r="X173" s="63"/>
      <c r="Y173" s="63"/>
      <c r="Z173" s="63"/>
      <c r="AA173" s="63"/>
      <c r="AB173" s="63"/>
      <c r="AC173" s="63"/>
      <c r="AD173" s="63"/>
      <c r="AE173" s="63"/>
      <c r="AF173" s="63"/>
      <c r="AG173" s="63"/>
      <c r="AH173" s="63"/>
      <c r="AI173" s="63"/>
      <c r="AJ173" s="63"/>
      <c r="AK173" s="63"/>
      <c r="AL173" s="63"/>
      <c r="AM173" s="63"/>
      <c r="AN173" s="63"/>
      <c r="AO173" s="63"/>
    </row>
    <row r="174" spans="1:41" ht="15.75" customHeight="1">
      <c r="A174" s="65" t="s">
        <v>148</v>
      </c>
      <c r="B174" s="221">
        <f>('Pivot Table for Data Exchange'!$G$294)*100</f>
        <v>51.556280203880789</v>
      </c>
      <c r="C174" s="221">
        <f>('Pivot Table for Data Exchange'!$G$297)*100</f>
        <v>0</v>
      </c>
      <c r="D174" s="227">
        <f t="shared" ref="D174:D176" si="44">SUM(E174:G174)</f>
        <v>48.443719796119218</v>
      </c>
      <c r="E174" s="221">
        <f>('Pivot Table for Data Exchange'!$G$300)*100</f>
        <v>48.443719796119218</v>
      </c>
      <c r="F174" s="221">
        <f>('Pivot Table for Data Exchange'!$G$303)*100</f>
        <v>0</v>
      </c>
      <c r="G174" s="223">
        <f>('Pivot Table for Data Exchange'!$G$306)*100</f>
        <v>0</v>
      </c>
      <c r="H174" s="221">
        <f>('Pivot Table for Data Exchange'!$G$309)*100</f>
        <v>0</v>
      </c>
      <c r="I174" s="87" t="s">
        <v>148</v>
      </c>
      <c r="J174" s="221">
        <f>('Pivot Table for Data Exchange'!$G$312)*100</f>
        <v>64.328322596039129</v>
      </c>
      <c r="K174" s="221">
        <f>('Pivot Table for Data Exchange'!$G$315)*100</f>
        <v>7.7308518253400145</v>
      </c>
      <c r="L174" s="227">
        <f t="shared" ref="L174:L176" si="45">SUM(M174:O174)</f>
        <v>27.940825578620853</v>
      </c>
      <c r="M174" s="221">
        <f>('Pivot Table for Data Exchange'!$G$318)*100</f>
        <v>27.940825578620853</v>
      </c>
      <c r="N174" s="221">
        <f>('Pivot Table for Data Exchange'!$G$321)*100</f>
        <v>0</v>
      </c>
      <c r="O174" s="223">
        <f>('Pivot Table for Data Exchange'!$G$324)*100</f>
        <v>0</v>
      </c>
      <c r="P174" s="221">
        <f>('Pivot Table for Data Exchange'!$G$327)*100</f>
        <v>0</v>
      </c>
      <c r="Q174" s="97">
        <f t="shared" si="34"/>
        <v>100</v>
      </c>
      <c r="R174" s="97">
        <f t="shared" si="35"/>
        <v>100</v>
      </c>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row>
    <row r="175" spans="1:41" ht="15.75" customHeight="1">
      <c r="A175" s="65" t="s">
        <v>149</v>
      </c>
      <c r="B175" s="221">
        <f>('Pivot Table for Data Exchange'!$G$330)*100</f>
        <v>76.800720691648849</v>
      </c>
      <c r="C175" s="221">
        <f>('Pivot Table for Data Exchange'!$G$333)*100</f>
        <v>5.2297204630712759</v>
      </c>
      <c r="D175" s="227">
        <f t="shared" si="44"/>
        <v>17.96955884527987</v>
      </c>
      <c r="E175" s="221">
        <f>('Pivot Table for Data Exchange'!$G$336)*100</f>
        <v>17.549043335619107</v>
      </c>
      <c r="F175" s="221">
        <f>('Pivot Table for Data Exchange'!$G$339)*100</f>
        <v>0.42051550966076395</v>
      </c>
      <c r="G175" s="223">
        <f>('Pivot Table for Data Exchange'!$G$342)*100</f>
        <v>0</v>
      </c>
      <c r="H175" s="221">
        <f>('Pivot Table for Data Exchange'!$G$345)*100</f>
        <v>0</v>
      </c>
      <c r="I175" s="87" t="s">
        <v>149</v>
      </c>
      <c r="J175" s="221">
        <f>('Pivot Table for Data Exchange'!$G$348)*100</f>
        <v>67.239541131817987</v>
      </c>
      <c r="K175" s="221">
        <f>('Pivot Table for Data Exchange'!$G$351)*100</f>
        <v>4.3456010917309902</v>
      </c>
      <c r="L175" s="227">
        <f t="shared" si="45"/>
        <v>28.414857776451019</v>
      </c>
      <c r="M175" s="221">
        <f>('Pivot Table for Data Exchange'!$G$354)*100</f>
        <v>27.647234423642796</v>
      </c>
      <c r="N175" s="221">
        <f>('Pivot Table for Data Exchange'!$G$357)*100</f>
        <v>0.76762335280822214</v>
      </c>
      <c r="O175" s="223">
        <f>('Pivot Table for Data Exchange'!$G$360)*100</f>
        <v>0</v>
      </c>
      <c r="P175" s="221">
        <f>('Pivot Table for Data Exchange'!$G$363)*100</f>
        <v>0</v>
      </c>
      <c r="Q175" s="97">
        <f t="shared" si="34"/>
        <v>100</v>
      </c>
      <c r="R175" s="97">
        <f t="shared" si="35"/>
        <v>99.999999999999986</v>
      </c>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row>
    <row r="176" spans="1:41" ht="15.75" customHeight="1">
      <c r="A176" s="65" t="s">
        <v>150</v>
      </c>
      <c r="B176" s="221">
        <f>('Pivot Table for Data Exchange'!$G$366)*100</f>
        <v>81.877996114582245</v>
      </c>
      <c r="C176" s="221">
        <f>('Pivot Table for Data Exchange'!$G$369)*100</f>
        <v>0.81222470002939484</v>
      </c>
      <c r="D176" s="227">
        <f t="shared" si="44"/>
        <v>17.309779185388354</v>
      </c>
      <c r="E176" s="221">
        <f>('Pivot Table for Data Exchange'!$G$372)*100</f>
        <v>11.240084780787736</v>
      </c>
      <c r="F176" s="221">
        <f>('Pivot Table for Data Exchange'!$G$375)*100</f>
        <v>5.1580136188533379</v>
      </c>
      <c r="G176" s="223">
        <f>('Pivot Table for Data Exchange'!$G$378)*100</f>
        <v>0.91168078574727984</v>
      </c>
      <c r="H176" s="221">
        <f>('Pivot Table for Data Exchange'!$G$381)*100</f>
        <v>0</v>
      </c>
      <c r="I176" s="87" t="s">
        <v>150</v>
      </c>
      <c r="J176" s="221">
        <f>('Pivot Table for Data Exchange'!$G$384)*100</f>
        <v>50.660083951369103</v>
      </c>
      <c r="K176" s="221">
        <f>('Pivot Table for Data Exchange'!$G$387)*100</f>
        <v>0.94390917592814105</v>
      </c>
      <c r="L176" s="227">
        <f t="shared" si="45"/>
        <v>48.396006872702763</v>
      </c>
      <c r="M176" s="221">
        <f>('Pivot Table for Data Exchange'!$G$390)*100</f>
        <v>35.638008656125628</v>
      </c>
      <c r="N176" s="221">
        <f>('Pivot Table for Data Exchange'!$G$393)*100</f>
        <v>11.111594423541183</v>
      </c>
      <c r="O176" s="223">
        <f>('Pivot Table for Data Exchange'!$G$396)*100</f>
        <v>1.6464037930359512</v>
      </c>
      <c r="P176" s="221">
        <f>('Pivot Table for Data Exchange'!$G$399)*100</f>
        <v>0</v>
      </c>
      <c r="Q176" s="97">
        <f t="shared" si="34"/>
        <v>99.999999999999986</v>
      </c>
      <c r="R176" s="97">
        <f t="shared" si="35"/>
        <v>100</v>
      </c>
      <c r="S176" s="63"/>
      <c r="T176" s="74"/>
      <c r="U176" s="63"/>
      <c r="V176" s="63"/>
      <c r="W176" s="63"/>
      <c r="X176" s="63"/>
      <c r="Y176" s="63"/>
      <c r="Z176" s="63"/>
      <c r="AA176" s="63"/>
      <c r="AB176" s="63"/>
      <c r="AC176" s="63"/>
      <c r="AD176" s="63"/>
      <c r="AE176" s="63"/>
      <c r="AF176" s="63"/>
      <c r="AG176" s="63"/>
      <c r="AH176" s="63"/>
      <c r="AI176" s="63"/>
      <c r="AJ176" s="63"/>
      <c r="AK176" s="63"/>
      <c r="AL176" s="63"/>
      <c r="AM176" s="63"/>
      <c r="AN176" s="63"/>
      <c r="AO176" s="63"/>
    </row>
    <row r="177" spans="1:41" ht="15.75" customHeight="1">
      <c r="A177" s="65" t="s">
        <v>151</v>
      </c>
      <c r="B177" s="221">
        <f>('Pivot Table for Data Exchange'!$G$402)*100</f>
        <v>94.30645855055883</v>
      </c>
      <c r="C177" s="221">
        <f>('Pivot Table for Data Exchange'!$G$405)*100</f>
        <v>0.47697653626755721</v>
      </c>
      <c r="D177" s="227">
        <f>SUM(E177:G177)</f>
        <v>5.2165649131736052</v>
      </c>
      <c r="E177" s="221">
        <f>('Pivot Table for Data Exchange'!$G$408)*100</f>
        <v>5.2165649131736052</v>
      </c>
      <c r="F177" s="221">
        <f>('Pivot Table for Data Exchange'!$G$411)*100</f>
        <v>0</v>
      </c>
      <c r="G177" s="223">
        <f>('Pivot Table for Data Exchange'!$G$414)*100</f>
        <v>0</v>
      </c>
      <c r="H177" s="221">
        <f>('Pivot Table for Data Exchange'!$G$417)*100</f>
        <v>0</v>
      </c>
      <c r="I177" s="87" t="s">
        <v>151</v>
      </c>
      <c r="J177" s="221">
        <f>('Pivot Table for Data Exchange'!$G$420)*100</f>
        <v>63.467281593770089</v>
      </c>
      <c r="K177" s="221">
        <f>('Pivot Table for Data Exchange'!$G$423)*100</f>
        <v>12.418251238044835</v>
      </c>
      <c r="L177" s="227">
        <f>SUM(M177:O177)</f>
        <v>24.114467168185083</v>
      </c>
      <c r="M177" s="221">
        <f>('Pivot Table for Data Exchange'!$G$426)*100</f>
        <v>24.114467168185083</v>
      </c>
      <c r="N177" s="221">
        <f>('Pivot Table for Data Exchange'!$G$429)*100</f>
        <v>0</v>
      </c>
      <c r="O177" s="223">
        <f>('Pivot Table for Data Exchange'!$G$432)*100</f>
        <v>0</v>
      </c>
      <c r="P177" s="221">
        <f>('Pivot Table for Data Exchange'!$G$435)*100</f>
        <v>0</v>
      </c>
      <c r="Q177" s="97">
        <f t="shared" si="34"/>
        <v>99.999999999999986</v>
      </c>
      <c r="R177" s="97">
        <f t="shared" si="35"/>
        <v>100.00000000000001</v>
      </c>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row>
    <row r="178" spans="1:41" ht="11.25" customHeight="1">
      <c r="A178" s="65"/>
      <c r="B178" s="221"/>
      <c r="C178" s="221"/>
      <c r="D178" s="227"/>
      <c r="E178" s="221"/>
      <c r="F178" s="221"/>
      <c r="G178" s="223"/>
      <c r="H178" s="221"/>
      <c r="I178" s="87"/>
      <c r="J178" s="221"/>
      <c r="K178" s="221"/>
      <c r="L178" s="227"/>
      <c r="M178" s="221"/>
      <c r="N178" s="221"/>
      <c r="O178" s="223"/>
      <c r="P178" s="221"/>
      <c r="Q178" s="97">
        <f t="shared" si="34"/>
        <v>0</v>
      </c>
      <c r="R178" s="97">
        <f t="shared" si="35"/>
        <v>0</v>
      </c>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row>
    <row r="179" spans="1:41" ht="15.75" customHeight="1">
      <c r="A179" s="65" t="s">
        <v>152</v>
      </c>
      <c r="B179" s="221">
        <f>('Pivot Table for Data Exchange'!$G$438)*100</f>
        <v>83.271783868538591</v>
      </c>
      <c r="C179" s="221">
        <f>('Pivot Table for Data Exchange'!$G$441)*100</f>
        <v>7.990427167039746</v>
      </c>
      <c r="D179" s="227">
        <f>SUM(E179:G179)</f>
        <v>8.6238021064358747</v>
      </c>
      <c r="E179" s="221">
        <f>('Pivot Table for Data Exchange'!$G$444)*100</f>
        <v>7.7614218957922869</v>
      </c>
      <c r="F179" s="221">
        <f>('Pivot Table for Data Exchange'!$G$447)*100</f>
        <v>0.86238021064358739</v>
      </c>
      <c r="G179" s="68">
        <f>('Pivot Table for Data Exchange'!$G$450)*100</f>
        <v>0</v>
      </c>
      <c r="H179" s="221">
        <f>('Pivot Table for Data Exchange'!$G$453)*100</f>
        <v>0.11398685798578517</v>
      </c>
      <c r="I179" s="87" t="s">
        <v>152</v>
      </c>
      <c r="J179" s="221">
        <f>('Pivot Table for Data Exchange'!$G$456)*100</f>
        <v>20.975392825378002</v>
      </c>
      <c r="K179" s="221">
        <f>('Pivot Table for Data Exchange'!$G$459)*100</f>
        <v>0</v>
      </c>
      <c r="L179" s="227">
        <f>SUM(M179:O179)</f>
        <v>78.980136377112359</v>
      </c>
      <c r="M179" s="221">
        <f>('Pivot Table for Data Exchange'!$G$462)*100</f>
        <v>78.935665579602727</v>
      </c>
      <c r="N179" s="67">
        <f>('Pivot Table for Data Exchange'!$G$465)*100</f>
        <v>4.447079750963534E-2</v>
      </c>
      <c r="O179" s="223">
        <f>('Pivot Table for Data Exchange'!$G$468)*100</f>
        <v>0</v>
      </c>
      <c r="P179" s="67">
        <f>('Pivot Table for Data Exchange'!$G$471)*100</f>
        <v>4.447079750963534E-2</v>
      </c>
      <c r="Q179" s="97">
        <f t="shared" si="34"/>
        <v>99.999999999999986</v>
      </c>
      <c r="R179" s="97">
        <f t="shared" si="35"/>
        <v>100</v>
      </c>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row>
    <row r="180" spans="1:41" ht="15.75" customHeight="1">
      <c r="A180" s="65" t="s">
        <v>153</v>
      </c>
      <c r="B180" s="221">
        <f>('Pivot Table for Data Exchange'!$G$474)*100</f>
        <v>60.05395698760011</v>
      </c>
      <c r="C180" s="221">
        <f>('Pivot Table for Data Exchange'!$G$477)*100</f>
        <v>3.5795440038808182</v>
      </c>
      <c r="D180" s="227">
        <f>SUM(E180:G180)</f>
        <v>36.366499008519078</v>
      </c>
      <c r="E180" s="221">
        <f>('Pivot Table for Data Exchange'!$G$480)*100</f>
        <v>35.246508540352849</v>
      </c>
      <c r="F180" s="221">
        <f>('Pivot Table for Data Exchange'!$G$483)*100</f>
        <v>1.1199904681662285</v>
      </c>
      <c r="G180" s="223">
        <f>('Pivot Table for Data Exchange'!$G$486)*100</f>
        <v>0</v>
      </c>
      <c r="H180" s="221">
        <f>('Pivot Table for Data Exchange'!$G$489)*100</f>
        <v>0</v>
      </c>
      <c r="I180" s="87" t="s">
        <v>153</v>
      </c>
      <c r="J180" s="221">
        <f>('Pivot Table for Data Exchange'!$G$492)*100</f>
        <v>31.127373417721522</v>
      </c>
      <c r="K180" s="221">
        <f>('Pivot Table for Data Exchange'!$G$495)*100</f>
        <v>3.5719936708860764</v>
      </c>
      <c r="L180" s="227">
        <f>SUM(M180:O180)</f>
        <v>65.300632911392412</v>
      </c>
      <c r="M180" s="221">
        <f>('Pivot Table for Data Exchange'!$G$498)*100</f>
        <v>63.6748417721519</v>
      </c>
      <c r="N180" s="221">
        <f>('Pivot Table for Data Exchange'!$G$501)*100</f>
        <v>0.92563291139240511</v>
      </c>
      <c r="O180" s="223">
        <f>('Pivot Table for Data Exchange'!$G$504)*100</f>
        <v>0.70015822784810122</v>
      </c>
      <c r="P180" s="221">
        <f>('Pivot Table for Data Exchange'!$G$507)*100</f>
        <v>0</v>
      </c>
      <c r="Q180" s="97">
        <f t="shared" si="34"/>
        <v>100</v>
      </c>
      <c r="R180" s="97">
        <f t="shared" si="35"/>
        <v>100.00000000000001</v>
      </c>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row>
    <row r="181" spans="1:41" ht="15.75" customHeight="1">
      <c r="A181" s="65" t="s">
        <v>154</v>
      </c>
      <c r="B181" s="221">
        <f>('Pivot Table for Data Exchange'!$G$510)*100</f>
        <v>99.73287823699637</v>
      </c>
      <c r="C181" s="221">
        <f>('Pivot Table for Data Exchange'!$G$513)*100</f>
        <v>0.26712176300363583</v>
      </c>
      <c r="D181" s="227">
        <f t="shared" ref="D181" si="46">SUM(E181:G181)</f>
        <v>0</v>
      </c>
      <c r="E181" s="221">
        <f>('Pivot Table for Data Exchange'!$G$516)*100</f>
        <v>0</v>
      </c>
      <c r="F181" s="67">
        <f>('Pivot Table for Data Exchange'!$G$519)*100</f>
        <v>0</v>
      </c>
      <c r="G181" s="223">
        <f>('Pivot Table for Data Exchange'!$G$522)*100</f>
        <v>0</v>
      </c>
      <c r="H181" s="221">
        <f>('Pivot Table for Data Exchange'!$G$525)*100</f>
        <v>0</v>
      </c>
      <c r="I181" s="87" t="s">
        <v>154</v>
      </c>
      <c r="J181" s="221">
        <f>('Pivot Table for Data Exchange'!$G$528)*100</f>
        <v>98.661933369743309</v>
      </c>
      <c r="K181" s="221">
        <f>('Pivot Table for Data Exchange'!$G$531)*100</f>
        <v>1.3380666302566904</v>
      </c>
      <c r="L181" s="227">
        <f t="shared" ref="L181" si="47">SUM(M181:O181)</f>
        <v>0</v>
      </c>
      <c r="M181" s="221">
        <f>('Pivot Table for Data Exchange'!$G$534)*100</f>
        <v>0</v>
      </c>
      <c r="N181" s="221">
        <f>('Pivot Table for Data Exchange'!$G$537)*100</f>
        <v>0</v>
      </c>
      <c r="O181" s="223">
        <f>('Pivot Table for Data Exchange'!$G$540)*100</f>
        <v>0</v>
      </c>
      <c r="P181" s="221">
        <f>('Pivot Table for Data Exchange'!$G$543)*100</f>
        <v>0</v>
      </c>
      <c r="Q181" s="97">
        <f t="shared" si="34"/>
        <v>100</v>
      </c>
      <c r="R181" s="97">
        <f t="shared" si="35"/>
        <v>100</v>
      </c>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row>
    <row r="182" spans="1:41" ht="15.75" customHeight="1">
      <c r="A182" s="39" t="s">
        <v>155</v>
      </c>
      <c r="B182" s="224">
        <f>('Pivot Table for Data Exchange'!$G$546)*100</f>
        <v>86.61295476331766</v>
      </c>
      <c r="C182" s="224">
        <f>('Pivot Table for Data Exchange'!$G$549)*100</f>
        <v>5.4909389692792256</v>
      </c>
      <c r="D182" s="228">
        <f>SUM(E182:G182)</f>
        <v>7.8961062674031135</v>
      </c>
      <c r="E182" s="224">
        <f>('Pivot Table for Data Exchange'!$G$552)*100</f>
        <v>7.8961062674031135</v>
      </c>
      <c r="F182" s="224">
        <f>('Pivot Table for Data Exchange'!$G$555)*100</f>
        <v>0</v>
      </c>
      <c r="G182" s="225">
        <f>('Pivot Table for Data Exchange'!$G$558)*100</f>
        <v>0</v>
      </c>
      <c r="H182" s="224">
        <f>('Pivot Table for Data Exchange'!$G$561)*100</f>
        <v>0</v>
      </c>
      <c r="I182" s="230" t="s">
        <v>155</v>
      </c>
      <c r="J182" s="224">
        <f>('Pivot Table for Data Exchange'!$G$564)*100</f>
        <v>57.079545454545453</v>
      </c>
      <c r="K182" s="224">
        <f>('Pivot Table for Data Exchange'!$G$567)*100</f>
        <v>0</v>
      </c>
      <c r="L182" s="228">
        <f>SUM(M182:O182)</f>
        <v>42.920454545454547</v>
      </c>
      <c r="M182" s="224">
        <f>('Pivot Table for Data Exchange'!$G$570)*100</f>
        <v>42.920454545454547</v>
      </c>
      <c r="N182" s="224">
        <f>('Pivot Table for Data Exchange'!$G$573)*100</f>
        <v>0</v>
      </c>
      <c r="O182" s="225">
        <f>('Pivot Table for Data Exchange'!$G$576)*100</f>
        <v>0</v>
      </c>
      <c r="P182" s="224">
        <f>('Pivot Table for Data Exchange'!$G$579)*100</f>
        <v>0</v>
      </c>
      <c r="Q182" s="97">
        <f t="shared" si="34"/>
        <v>100</v>
      </c>
      <c r="R182" s="97">
        <f t="shared" si="35"/>
        <v>100</v>
      </c>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row>
    <row r="183" spans="1:41" s="25" customFormat="1" ht="12.75" customHeight="1">
      <c r="A183" s="691" t="s">
        <v>175</v>
      </c>
      <c r="B183" s="69"/>
      <c r="C183" s="69"/>
      <c r="D183" s="70"/>
      <c r="E183" s="69"/>
      <c r="F183" s="70"/>
      <c r="G183" s="70"/>
      <c r="H183" s="69"/>
      <c r="I183" s="691" t="s">
        <v>175</v>
      </c>
      <c r="J183" s="69"/>
      <c r="K183" s="69"/>
      <c r="L183" s="70"/>
      <c r="M183" s="69"/>
      <c r="N183" s="70"/>
      <c r="O183" s="70"/>
      <c r="P183" s="69"/>
      <c r="Q183" s="97"/>
      <c r="R183" s="97"/>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row>
    <row r="184" spans="1:41" s="25" customFormat="1" ht="8.25" customHeight="1">
      <c r="A184" s="78"/>
      <c r="B184" s="111"/>
      <c r="C184" s="111"/>
      <c r="D184" s="79"/>
      <c r="E184" s="111"/>
      <c r="F184" s="111"/>
      <c r="G184" s="112"/>
      <c r="H184" s="112"/>
      <c r="I184" s="78"/>
      <c r="J184" s="111"/>
      <c r="K184" s="111"/>
      <c r="L184" s="79"/>
      <c r="M184" s="111"/>
      <c r="N184" s="111"/>
      <c r="O184" s="111"/>
      <c r="P184" s="112"/>
      <c r="Q184" s="97"/>
      <c r="R184" s="97"/>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row>
    <row r="185" spans="1:41" s="25" customFormat="1" ht="13.5" customHeight="1">
      <c r="A185" s="24"/>
      <c r="B185" s="76"/>
      <c r="H185" s="27" t="s">
        <v>899</v>
      </c>
      <c r="I185" s="24"/>
      <c r="P185" s="27" t="s">
        <v>899</v>
      </c>
      <c r="Q185" s="97"/>
      <c r="R185" s="97"/>
    </row>
    <row r="186" spans="1:41" ht="18">
      <c r="A186" s="16" t="s">
        <v>206</v>
      </c>
      <c r="B186" s="34"/>
      <c r="C186" s="34"/>
      <c r="D186" s="34"/>
      <c r="E186" s="34"/>
      <c r="F186" s="34"/>
      <c r="G186" s="34"/>
      <c r="H186" s="35"/>
      <c r="I186" s="16" t="s">
        <v>221</v>
      </c>
      <c r="J186" s="19"/>
      <c r="K186" s="19"/>
      <c r="L186" s="34"/>
      <c r="M186" s="19"/>
      <c r="N186" s="19"/>
      <c r="O186" s="19"/>
      <c r="P186" s="19"/>
      <c r="Q186" s="97"/>
      <c r="R186" s="97"/>
    </row>
    <row r="187" spans="1:41">
      <c r="A187" s="18"/>
      <c r="B187" s="19"/>
      <c r="C187" s="19"/>
      <c r="D187" s="19"/>
      <c r="E187" s="19"/>
      <c r="F187" s="19"/>
      <c r="G187" s="19"/>
      <c r="H187" s="36"/>
      <c r="I187" s="18"/>
      <c r="J187" s="19"/>
      <c r="K187" s="19"/>
      <c r="L187" s="19"/>
      <c r="M187" s="19"/>
      <c r="N187" s="19"/>
      <c r="O187" s="19"/>
      <c r="P187" s="19"/>
      <c r="Q187" s="97"/>
      <c r="R187" s="97"/>
    </row>
    <row r="188" spans="1:41" ht="15.75">
      <c r="A188" s="37" t="s">
        <v>162</v>
      </c>
      <c r="B188" s="19"/>
      <c r="C188" s="19"/>
      <c r="D188" s="19"/>
      <c r="E188" s="19"/>
      <c r="F188" s="19"/>
      <c r="G188" s="19"/>
      <c r="H188" s="36"/>
      <c r="I188" s="37" t="s">
        <v>163</v>
      </c>
      <c r="J188" s="19"/>
      <c r="K188" s="19"/>
      <c r="L188" s="19"/>
      <c r="M188" s="19"/>
      <c r="N188" s="19"/>
      <c r="O188" s="19"/>
      <c r="P188" s="19"/>
      <c r="Q188" s="97"/>
      <c r="R188" s="97"/>
    </row>
    <row r="189" spans="1:41" ht="15.75">
      <c r="A189" s="37" t="s">
        <v>270</v>
      </c>
      <c r="B189" s="19"/>
      <c r="C189" s="19"/>
      <c r="D189" s="19"/>
      <c r="E189" s="19"/>
      <c r="F189" s="19"/>
      <c r="G189" s="19"/>
      <c r="H189" s="36"/>
      <c r="I189" s="37" t="s">
        <v>270</v>
      </c>
      <c r="J189" s="19"/>
      <c r="K189" s="19"/>
      <c r="L189" s="19"/>
      <c r="M189" s="19"/>
      <c r="N189" s="19"/>
      <c r="O189" s="19"/>
      <c r="P189" s="19"/>
      <c r="Q189" s="97"/>
      <c r="R189" s="97"/>
    </row>
    <row r="190" spans="1:41">
      <c r="A190" s="39"/>
      <c r="B190" s="40"/>
      <c r="C190" s="40"/>
      <c r="D190" s="40"/>
      <c r="E190" s="40"/>
      <c r="F190" s="40"/>
      <c r="G190" s="40"/>
      <c r="H190" s="40"/>
      <c r="I190" s="41"/>
      <c r="L190" s="42"/>
      <c r="P190" s="39"/>
      <c r="Q190" s="97"/>
      <c r="R190" s="97"/>
    </row>
    <row r="191" spans="1:41" s="48" customFormat="1">
      <c r="A191" s="43"/>
      <c r="B191" s="44" t="s">
        <v>164</v>
      </c>
      <c r="C191" s="44"/>
      <c r="D191" s="44"/>
      <c r="E191" s="44"/>
      <c r="F191" s="44"/>
      <c r="G191" s="44"/>
      <c r="H191" s="45"/>
      <c r="I191" s="43"/>
      <c r="J191" s="44" t="s">
        <v>164</v>
      </c>
      <c r="K191" s="44"/>
      <c r="L191" s="44"/>
      <c r="M191" s="44"/>
      <c r="N191" s="44"/>
      <c r="O191" s="44"/>
      <c r="P191" s="45"/>
      <c r="Q191" s="97"/>
      <c r="R191" s="97"/>
    </row>
    <row r="192" spans="1:41" s="48" customFormat="1">
      <c r="A192" s="43"/>
      <c r="B192" s="44" t="s">
        <v>165</v>
      </c>
      <c r="C192" s="44"/>
      <c r="D192" s="670" t="s">
        <v>166</v>
      </c>
      <c r="E192" s="668"/>
      <c r="F192" s="668"/>
      <c r="G192" s="668"/>
      <c r="H192" s="49" t="s">
        <v>39</v>
      </c>
      <c r="I192" s="43"/>
      <c r="J192" s="44" t="s">
        <v>165</v>
      </c>
      <c r="K192" s="44"/>
      <c r="L192" s="670" t="s">
        <v>166</v>
      </c>
      <c r="M192" s="668"/>
      <c r="N192" s="668"/>
      <c r="O192" s="668"/>
      <c r="P192" s="49" t="s">
        <v>39</v>
      </c>
      <c r="Q192" s="97"/>
      <c r="R192" s="97"/>
    </row>
    <row r="193" spans="1:41" s="48" customFormat="1" ht="40.5" customHeight="1">
      <c r="A193" s="43"/>
      <c r="B193" s="50" t="s">
        <v>167</v>
      </c>
      <c r="C193" s="51" t="s">
        <v>168</v>
      </c>
      <c r="D193" s="52" t="s">
        <v>169</v>
      </c>
      <c r="E193" s="53" t="s">
        <v>7</v>
      </c>
      <c r="F193" s="50" t="s">
        <v>170</v>
      </c>
      <c r="G193" s="54" t="s">
        <v>171</v>
      </c>
      <c r="H193" s="55" t="s">
        <v>172</v>
      </c>
      <c r="I193" s="43"/>
      <c r="J193" s="50" t="s">
        <v>167</v>
      </c>
      <c r="K193" s="51" t="s">
        <v>168</v>
      </c>
      <c r="L193" s="52" t="s">
        <v>169</v>
      </c>
      <c r="M193" s="53" t="s">
        <v>7</v>
      </c>
      <c r="N193" s="50" t="s">
        <v>170</v>
      </c>
      <c r="O193" s="54" t="s">
        <v>171</v>
      </c>
      <c r="P193" s="55" t="s">
        <v>172</v>
      </c>
      <c r="Q193" s="97"/>
      <c r="R193" s="97"/>
      <c r="T193" s="73"/>
    </row>
    <row r="194" spans="1:41" ht="15.75" customHeight="1">
      <c r="A194" s="62" t="s">
        <v>141</v>
      </c>
      <c r="B194" s="221">
        <f>('Pivot Table for Data Exchange'!$H$6)*100</f>
        <v>33.448306137039218</v>
      </c>
      <c r="C194" s="221">
        <f>('Pivot Table for Data Exchange'!$H$9)*100</f>
        <v>5.8447992574847296</v>
      </c>
      <c r="D194" s="227">
        <f>SUM(E194:G194)</f>
        <v>60.706894605476045</v>
      </c>
      <c r="E194" s="221">
        <f>('Pivot Table for Data Exchange'!$H$12)*100</f>
        <v>60.706894605476045</v>
      </c>
      <c r="F194" s="221">
        <f>('Pivot Table for Data Exchange'!$H$15)*100</f>
        <v>0</v>
      </c>
      <c r="G194" s="60">
        <f>('Pivot Table for Data Exchange'!$H$18)*100</f>
        <v>0</v>
      </c>
      <c r="H194" s="221">
        <f>('Pivot Table for Data Exchange'!$H$21)*100</f>
        <v>0</v>
      </c>
      <c r="I194" s="229" t="s">
        <v>141</v>
      </c>
      <c r="J194" s="221">
        <f>('Pivot Table for Data Exchange'!$H$24)*100</f>
        <v>0</v>
      </c>
      <c r="K194" s="221">
        <f>('Pivot Table for Data Exchange'!$H$27)*100</f>
        <v>0</v>
      </c>
      <c r="L194" s="227">
        <f>SUM(M194:O194)</f>
        <v>0</v>
      </c>
      <c r="M194" s="221">
        <f>('Pivot Table for Data Exchange'!$H$30)*100</f>
        <v>0</v>
      </c>
      <c r="N194" s="221">
        <f>('Pivot Table for Data Exchange'!$H$33)*100</f>
        <v>0</v>
      </c>
      <c r="O194" s="60">
        <f>('Pivot Table for Data Exchange'!$H$36)*100</f>
        <v>0</v>
      </c>
      <c r="P194" s="221">
        <f>('Pivot Table for Data Exchange'!$H$39)*100</f>
        <v>0</v>
      </c>
      <c r="Q194" s="97">
        <f t="shared" si="34"/>
        <v>100</v>
      </c>
      <c r="R194" s="97">
        <f t="shared" si="35"/>
        <v>0</v>
      </c>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row>
    <row r="195" spans="1:41" ht="15.75" customHeight="1">
      <c r="A195" s="65" t="s">
        <v>142</v>
      </c>
      <c r="B195" s="221">
        <f>('Pivot Table for Data Exchange'!$H$42)*100</f>
        <v>85.301748404546402</v>
      </c>
      <c r="C195" s="221">
        <f>('Pivot Table for Data Exchange'!$H$45)*100</f>
        <v>0.88857218221832024</v>
      </c>
      <c r="D195" s="227">
        <f t="shared" ref="D195:D197" si="48">SUM(E195:G195)</f>
        <v>13.809679413235278</v>
      </c>
      <c r="E195" s="221">
        <f>('Pivot Table for Data Exchange'!$H$48)*100</f>
        <v>13.652594654393846</v>
      </c>
      <c r="F195" s="221">
        <f>('Pivot Table for Data Exchange'!$H$51)*100</f>
        <v>0.157084758841431</v>
      </c>
      <c r="G195" s="223">
        <f>('Pivot Table for Data Exchange'!$H$54)*100</f>
        <v>0</v>
      </c>
      <c r="H195" s="221">
        <f>('Pivot Table for Data Exchange'!$H$57)*100</f>
        <v>0</v>
      </c>
      <c r="I195" s="87" t="s">
        <v>142</v>
      </c>
      <c r="J195" s="221">
        <f>('Pivot Table for Data Exchange'!$H$60)*100</f>
        <v>69.259962049335869</v>
      </c>
      <c r="K195" s="221">
        <f>('Pivot Table for Data Exchange'!$H$63)*100</f>
        <v>0</v>
      </c>
      <c r="L195" s="227">
        <f t="shared" ref="L195:L197" si="49">SUM(M195:O195)</f>
        <v>30.740037950664135</v>
      </c>
      <c r="M195" s="221">
        <f>('Pivot Table for Data Exchange'!$H$66)*100</f>
        <v>30.740037950664135</v>
      </c>
      <c r="N195" s="221">
        <f>('Pivot Table for Data Exchange'!$H$69)*100</f>
        <v>0</v>
      </c>
      <c r="O195" s="223">
        <f>('Pivot Table for Data Exchange'!$H$72)*100</f>
        <v>0</v>
      </c>
      <c r="P195" s="221">
        <f>('Pivot Table for Data Exchange'!$H$75)*100</f>
        <v>0</v>
      </c>
      <c r="Q195" s="97">
        <f t="shared" si="34"/>
        <v>100</v>
      </c>
      <c r="R195" s="97">
        <f t="shared" si="35"/>
        <v>100</v>
      </c>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row>
    <row r="196" spans="1:41" ht="15.75" customHeight="1">
      <c r="A196" s="65" t="s">
        <v>143</v>
      </c>
      <c r="B196" s="221">
        <f>('Pivot Table for Data Exchange'!$H$78)*100</f>
        <v>0</v>
      </c>
      <c r="C196" s="221">
        <f>('Pivot Table for Data Exchange'!$H$81)*100</f>
        <v>0</v>
      </c>
      <c r="D196" s="227">
        <f t="shared" si="48"/>
        <v>0</v>
      </c>
      <c r="E196" s="221">
        <f>('Pivot Table for Data Exchange'!$H$84)*100</f>
        <v>0</v>
      </c>
      <c r="F196" s="221">
        <f>('Pivot Table for Data Exchange'!$H$87)*100</f>
        <v>0</v>
      </c>
      <c r="G196" s="223">
        <f>('Pivot Table for Data Exchange'!$H$90)*100</f>
        <v>0</v>
      </c>
      <c r="H196" s="221">
        <f>('Pivot Table for Data Exchange'!$H$93)*100</f>
        <v>0</v>
      </c>
      <c r="I196" s="87" t="s">
        <v>143</v>
      </c>
      <c r="J196" s="221">
        <f>('Pivot Table for Data Exchange'!$H$96)*100</f>
        <v>0</v>
      </c>
      <c r="K196" s="221">
        <f>('Pivot Table for Data Exchange'!$H$99)*100</f>
        <v>0</v>
      </c>
      <c r="L196" s="227">
        <f t="shared" si="49"/>
        <v>0</v>
      </c>
      <c r="M196" s="221">
        <f>('Pivot Table for Data Exchange'!$H$102)*100</f>
        <v>0</v>
      </c>
      <c r="N196" s="221">
        <f>('Pivot Table for Data Exchange'!$H$105)*100</f>
        <v>0</v>
      </c>
      <c r="O196" s="223">
        <f>('Pivot Table for Data Exchange'!$H$108)*100</f>
        <v>0</v>
      </c>
      <c r="P196" s="221">
        <f>('Pivot Table for Data Exchange'!$H$111)*100</f>
        <v>0</v>
      </c>
      <c r="Q196" s="97">
        <f t="shared" si="34"/>
        <v>0</v>
      </c>
      <c r="R196" s="97">
        <f t="shared" si="35"/>
        <v>0</v>
      </c>
      <c r="S196" s="63"/>
      <c r="T196" s="74"/>
      <c r="U196" s="63"/>
      <c r="V196" s="63"/>
      <c r="W196" s="63"/>
      <c r="X196" s="63"/>
      <c r="Y196" s="63"/>
      <c r="Z196" s="63"/>
      <c r="AA196" s="63"/>
      <c r="AB196" s="63"/>
      <c r="AC196" s="63"/>
      <c r="AD196" s="63"/>
      <c r="AE196" s="63"/>
      <c r="AF196" s="63"/>
      <c r="AG196" s="63"/>
      <c r="AH196" s="63"/>
      <c r="AI196" s="63"/>
      <c r="AJ196" s="63"/>
      <c r="AK196" s="63"/>
      <c r="AL196" s="63"/>
      <c r="AM196" s="63"/>
      <c r="AN196" s="63"/>
      <c r="AO196" s="63"/>
    </row>
    <row r="197" spans="1:41" ht="15.75" customHeight="1">
      <c r="A197" s="65" t="s">
        <v>174</v>
      </c>
      <c r="B197" s="221">
        <f>('Pivot Table for Data Exchange'!$H$114)*100</f>
        <v>100</v>
      </c>
      <c r="C197" s="221">
        <f>('Pivot Table for Data Exchange'!$H$117)*100</f>
        <v>0</v>
      </c>
      <c r="D197" s="227">
        <f t="shared" si="48"/>
        <v>0</v>
      </c>
      <c r="E197" s="221">
        <f>('Pivot Table for Data Exchange'!$H$120)*100</f>
        <v>0</v>
      </c>
      <c r="F197" s="221">
        <f>('Pivot Table for Data Exchange'!$H$123)*100</f>
        <v>0</v>
      </c>
      <c r="G197" s="223">
        <f>('Pivot Table for Data Exchange'!$H$126)*100</f>
        <v>0</v>
      </c>
      <c r="H197" s="221">
        <f>('Pivot Table for Data Exchange'!$H$129)*100</f>
        <v>0</v>
      </c>
      <c r="I197" s="87" t="s">
        <v>144</v>
      </c>
      <c r="J197" s="221">
        <f>('Pivot Table for Data Exchange'!$H$132)*100</f>
        <v>0</v>
      </c>
      <c r="K197" s="221">
        <f>('Pivot Table for Data Exchange'!$H$135)*100</f>
        <v>0</v>
      </c>
      <c r="L197" s="227">
        <f t="shared" si="49"/>
        <v>0</v>
      </c>
      <c r="M197" s="221">
        <f>('Pivot Table for Data Exchange'!$H$138)*100</f>
        <v>0</v>
      </c>
      <c r="N197" s="221">
        <f>('Pivot Table for Data Exchange'!$H$141)*100</f>
        <v>0</v>
      </c>
      <c r="O197" s="223">
        <f>('Pivot Table for Data Exchange'!$H$144)*100</f>
        <v>0</v>
      </c>
      <c r="P197" s="221">
        <f>('Pivot Table for Data Exchange'!$H$147)*100</f>
        <v>0</v>
      </c>
      <c r="Q197" s="97">
        <f t="shared" si="34"/>
        <v>100</v>
      </c>
      <c r="R197" s="97">
        <f t="shared" si="35"/>
        <v>0</v>
      </c>
      <c r="S197" s="63"/>
      <c r="U197" s="63"/>
      <c r="V197" s="63"/>
      <c r="W197" s="63"/>
      <c r="X197" s="63"/>
      <c r="Y197" s="63"/>
      <c r="Z197" s="63"/>
      <c r="AA197" s="63"/>
      <c r="AB197" s="63"/>
      <c r="AC197" s="63"/>
      <c r="AD197" s="63"/>
      <c r="AE197" s="63"/>
      <c r="AF197" s="63"/>
      <c r="AG197" s="63"/>
      <c r="AH197" s="63"/>
      <c r="AI197" s="63"/>
      <c r="AJ197" s="63"/>
      <c r="AK197" s="63"/>
      <c r="AL197" s="63"/>
      <c r="AM197" s="63"/>
      <c r="AN197" s="63"/>
      <c r="AO197" s="63"/>
    </row>
    <row r="198" spans="1:41" ht="15.75" customHeight="1">
      <c r="A198" s="65"/>
      <c r="B198" s="221"/>
      <c r="C198" s="221"/>
      <c r="D198" s="227"/>
      <c r="E198" s="221"/>
      <c r="F198" s="221"/>
      <c r="G198" s="223"/>
      <c r="H198" s="221"/>
      <c r="I198" s="87"/>
      <c r="J198" s="221"/>
      <c r="K198" s="221"/>
      <c r="L198" s="227"/>
      <c r="M198" s="221"/>
      <c r="N198" s="221"/>
      <c r="O198" s="223"/>
      <c r="P198" s="221"/>
      <c r="Q198" s="97">
        <f t="shared" si="34"/>
        <v>0</v>
      </c>
      <c r="R198" s="97">
        <f t="shared" si="35"/>
        <v>0</v>
      </c>
      <c r="S198" s="63"/>
      <c r="U198" s="63"/>
      <c r="V198" s="63"/>
      <c r="W198" s="63"/>
      <c r="X198" s="63"/>
      <c r="Y198" s="63"/>
      <c r="Z198" s="63"/>
      <c r="AA198" s="63"/>
      <c r="AB198" s="63"/>
      <c r="AC198" s="63"/>
      <c r="AD198" s="63"/>
      <c r="AE198" s="63"/>
      <c r="AF198" s="63"/>
      <c r="AG198" s="63"/>
      <c r="AH198" s="63"/>
      <c r="AI198" s="63"/>
      <c r="AJ198" s="63"/>
      <c r="AK198" s="63"/>
      <c r="AL198" s="63"/>
      <c r="AM198" s="63"/>
      <c r="AN198" s="63"/>
      <c r="AO198" s="63"/>
    </row>
    <row r="199" spans="1:41" ht="15.75" customHeight="1">
      <c r="A199" s="65" t="s">
        <v>145</v>
      </c>
      <c r="B199" s="221">
        <f>('Pivot Table for Data Exchange'!$H$150)*100</f>
        <v>0</v>
      </c>
      <c r="C199" s="221">
        <f>('Pivot Table for Data Exchange'!$H$153)*100</f>
        <v>0</v>
      </c>
      <c r="D199" s="227">
        <f t="shared" ref="D199:D202" si="50">SUM(E199:G199)</f>
        <v>0</v>
      </c>
      <c r="E199" s="221">
        <f>('Pivot Table for Data Exchange'!$H$156)*100</f>
        <v>0</v>
      </c>
      <c r="F199" s="221">
        <f>('Pivot Table for Data Exchange'!$H$159)*100</f>
        <v>0</v>
      </c>
      <c r="G199" s="223">
        <f>('Pivot Table for Data Exchange'!$H$162)*100</f>
        <v>0</v>
      </c>
      <c r="H199" s="221">
        <f>('Pivot Table for Data Exchange'!$H$165)*100</f>
        <v>0</v>
      </c>
      <c r="I199" s="87" t="s">
        <v>145</v>
      </c>
      <c r="J199" s="221">
        <f>('Pivot Table for Data Exchange'!$H$168)*100</f>
        <v>0</v>
      </c>
      <c r="K199" s="221">
        <f>('Pivot Table for Data Exchange'!$H$171)*100</f>
        <v>0</v>
      </c>
      <c r="L199" s="227">
        <f t="shared" ref="L199:L202" si="51">SUM(M199:O199)</f>
        <v>0</v>
      </c>
      <c r="M199" s="221">
        <f>('Pivot Table for Data Exchange'!$H$174)*100</f>
        <v>0</v>
      </c>
      <c r="N199" s="221">
        <f>('Pivot Table for Data Exchange'!$H$177)*100</f>
        <v>0</v>
      </c>
      <c r="O199" s="223">
        <f>('Pivot Table for Data Exchange'!$H$180)*100</f>
        <v>0</v>
      </c>
      <c r="P199" s="221">
        <f>('Pivot Table for Data Exchange'!$H$183)*100</f>
        <v>0</v>
      </c>
      <c r="Q199" s="97">
        <f t="shared" si="34"/>
        <v>0</v>
      </c>
      <c r="R199" s="97">
        <f t="shared" si="35"/>
        <v>0</v>
      </c>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row>
    <row r="200" spans="1:41" ht="15.75" customHeight="1">
      <c r="A200" s="65" t="s">
        <v>146</v>
      </c>
      <c r="B200" s="221">
        <f>('Pivot Table for Data Exchange'!$H$186)*100</f>
        <v>0</v>
      </c>
      <c r="C200" s="221">
        <f>('Pivot Table for Data Exchange'!$H$189)*100</f>
        <v>0</v>
      </c>
      <c r="D200" s="227">
        <f t="shared" si="50"/>
        <v>0</v>
      </c>
      <c r="E200" s="221">
        <f>('Pivot Table for Data Exchange'!$H$192)*100</f>
        <v>0</v>
      </c>
      <c r="F200" s="221">
        <f>('Pivot Table for Data Exchange'!$H$195)*100</f>
        <v>0</v>
      </c>
      <c r="G200" s="223">
        <f>('Pivot Table for Data Exchange'!$H$198)*100</f>
        <v>0</v>
      </c>
      <c r="H200" s="221">
        <f>('Pivot Table for Data Exchange'!$H$201)*100</f>
        <v>0</v>
      </c>
      <c r="I200" s="87" t="s">
        <v>146</v>
      </c>
      <c r="J200" s="221">
        <f>('Pivot Table for Data Exchange'!$H$204)*100</f>
        <v>0</v>
      </c>
      <c r="K200" s="221">
        <f>('Pivot Table for Data Exchange'!$H$207)*100</f>
        <v>0</v>
      </c>
      <c r="L200" s="227">
        <f t="shared" si="51"/>
        <v>0</v>
      </c>
      <c r="M200" s="221">
        <f>('Pivot Table for Data Exchange'!$H$210)*100</f>
        <v>0</v>
      </c>
      <c r="N200" s="221">
        <f>('Pivot Table for Data Exchange'!$H$213)*100</f>
        <v>0</v>
      </c>
      <c r="O200" s="223">
        <f>('Pivot Table for Data Exchange'!$H$216)*100</f>
        <v>0</v>
      </c>
      <c r="P200" s="221">
        <f>('Pivot Table for Data Exchange'!$H$219)*100</f>
        <v>0</v>
      </c>
      <c r="Q200" s="97">
        <f t="shared" si="34"/>
        <v>0</v>
      </c>
      <c r="R200" s="97">
        <f t="shared" si="35"/>
        <v>0</v>
      </c>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row>
    <row r="201" spans="1:41" ht="15.75" customHeight="1">
      <c r="A201" s="65" t="s">
        <v>147</v>
      </c>
      <c r="B201" s="221">
        <f>('Pivot Table for Data Exchange'!$H$222)*100</f>
        <v>0</v>
      </c>
      <c r="C201" s="221">
        <f>('Pivot Table for Data Exchange'!$H$225)*100</f>
        <v>0</v>
      </c>
      <c r="D201" s="227">
        <f t="shared" si="50"/>
        <v>0</v>
      </c>
      <c r="E201" s="221">
        <f>('Pivot Table for Data Exchange'!$H$228)*100</f>
        <v>0</v>
      </c>
      <c r="F201" s="221">
        <f>('Pivot Table for Data Exchange'!$H$231)*100</f>
        <v>0</v>
      </c>
      <c r="G201" s="223">
        <f>('Pivot Table for Data Exchange'!$H$234)*100</f>
        <v>0</v>
      </c>
      <c r="H201" s="221">
        <f>('Pivot Table for Data Exchange'!$H$237)*100</f>
        <v>0</v>
      </c>
      <c r="I201" s="87" t="s">
        <v>147</v>
      </c>
      <c r="J201" s="221">
        <f>('Pivot Table for Data Exchange'!$H$240)*100</f>
        <v>0</v>
      </c>
      <c r="K201" s="221">
        <f>('Pivot Table for Data Exchange'!$H$243)*100</f>
        <v>0</v>
      </c>
      <c r="L201" s="227">
        <f t="shared" si="51"/>
        <v>0</v>
      </c>
      <c r="M201" s="221">
        <f>('Pivot Table for Data Exchange'!$H$246)*100</f>
        <v>0</v>
      </c>
      <c r="N201" s="221">
        <f>('Pivot Table for Data Exchange'!$H$249)*100</f>
        <v>0</v>
      </c>
      <c r="O201" s="223">
        <f>('Pivot Table for Data Exchange'!$H$252)*100</f>
        <v>0</v>
      </c>
      <c r="P201" s="221">
        <f>('Pivot Table for Data Exchange'!$H$255)*100</f>
        <v>0</v>
      </c>
      <c r="Q201" s="97">
        <f t="shared" si="34"/>
        <v>0</v>
      </c>
      <c r="R201" s="97">
        <f t="shared" si="35"/>
        <v>0</v>
      </c>
      <c r="S201" s="63"/>
      <c r="T201" s="74"/>
      <c r="U201" s="63"/>
      <c r="V201" s="63"/>
      <c r="W201" s="63"/>
      <c r="X201" s="63"/>
      <c r="Y201" s="63"/>
      <c r="Z201" s="63"/>
      <c r="AA201" s="63"/>
      <c r="AB201" s="63"/>
      <c r="AC201" s="63"/>
      <c r="AD201" s="63"/>
      <c r="AE201" s="63"/>
      <c r="AF201" s="63"/>
      <c r="AG201" s="63"/>
      <c r="AH201" s="63"/>
      <c r="AI201" s="63"/>
      <c r="AJ201" s="63"/>
      <c r="AK201" s="63"/>
      <c r="AL201" s="63"/>
      <c r="AM201" s="63"/>
      <c r="AN201" s="63"/>
      <c r="AO201" s="63"/>
    </row>
    <row r="202" spans="1:41" ht="15.75" customHeight="1">
      <c r="A202" s="65" t="s">
        <v>177</v>
      </c>
      <c r="B202" s="221">
        <f>('Pivot Table for Data Exchange'!$H$258)*100</f>
        <v>100</v>
      </c>
      <c r="C202" s="221">
        <f>('Pivot Table for Data Exchange'!$H$261)*100</f>
        <v>0</v>
      </c>
      <c r="D202" s="227">
        <f t="shared" si="50"/>
        <v>0</v>
      </c>
      <c r="E202" s="221">
        <f>('Pivot Table for Data Exchange'!$H$264)*100</f>
        <v>0</v>
      </c>
      <c r="F202" s="221">
        <f>('Pivot Table for Data Exchange'!$H$267)*100</f>
        <v>0</v>
      </c>
      <c r="G202" s="223">
        <f>('Pivot Table for Data Exchange'!$H$270)*100</f>
        <v>0</v>
      </c>
      <c r="H202" s="221">
        <f>('Pivot Table for Data Exchange'!$H$273)*100</f>
        <v>0</v>
      </c>
      <c r="I202" s="87" t="s">
        <v>177</v>
      </c>
      <c r="J202" s="221">
        <f>('Pivot Table for Data Exchange'!$H$276)*100</f>
        <v>100</v>
      </c>
      <c r="K202" s="221">
        <f>('Pivot Table for Data Exchange'!$H$279)*100</f>
        <v>0</v>
      </c>
      <c r="L202" s="227">
        <f t="shared" si="51"/>
        <v>0</v>
      </c>
      <c r="M202" s="221">
        <f>('Pivot Table for Data Exchange'!$H$282)*100</f>
        <v>0</v>
      </c>
      <c r="N202" s="221">
        <f>('Pivot Table for Data Exchange'!$H$285)*100</f>
        <v>0</v>
      </c>
      <c r="O202" s="223">
        <f>('Pivot Table for Data Exchange'!$H$288)*100</f>
        <v>0</v>
      </c>
      <c r="P202" s="221">
        <f>('Pivot Table for Data Exchange'!$H$291)*100</f>
        <v>0</v>
      </c>
      <c r="Q202" s="97">
        <f t="shared" ref="Q202:Q265" si="52">SUM(B202,C202,D202,H202)</f>
        <v>100</v>
      </c>
      <c r="R202" s="97">
        <f t="shared" ref="R202:R216" si="53">SUM(J202,K202,L202,P202)</f>
        <v>100</v>
      </c>
      <c r="S202" s="63"/>
      <c r="U202" s="63"/>
      <c r="V202" s="63"/>
      <c r="W202" s="63"/>
      <c r="X202" s="63"/>
      <c r="Y202" s="63"/>
      <c r="Z202" s="63"/>
      <c r="AA202" s="63"/>
      <c r="AB202" s="63"/>
      <c r="AC202" s="63"/>
      <c r="AD202" s="63"/>
      <c r="AE202" s="63"/>
      <c r="AF202" s="63"/>
      <c r="AG202" s="63"/>
      <c r="AH202" s="63"/>
      <c r="AI202" s="63"/>
      <c r="AJ202" s="63"/>
      <c r="AK202" s="63"/>
      <c r="AL202" s="63"/>
      <c r="AM202" s="63"/>
      <c r="AN202" s="63"/>
      <c r="AO202" s="63"/>
    </row>
    <row r="203" spans="1:41" ht="11.25" customHeight="1">
      <c r="A203" s="65"/>
      <c r="B203" s="221"/>
      <c r="C203" s="221"/>
      <c r="D203" s="227"/>
      <c r="E203" s="221"/>
      <c r="F203" s="221"/>
      <c r="G203" s="223"/>
      <c r="H203" s="221"/>
      <c r="I203" s="87"/>
      <c r="J203" s="221"/>
      <c r="K203" s="221"/>
      <c r="L203" s="227"/>
      <c r="M203" s="221"/>
      <c r="N203" s="221"/>
      <c r="O203" s="223"/>
      <c r="P203" s="221"/>
      <c r="Q203" s="97">
        <f t="shared" si="52"/>
        <v>0</v>
      </c>
      <c r="R203" s="97">
        <f t="shared" si="53"/>
        <v>0</v>
      </c>
      <c r="S203" s="63"/>
      <c r="U203" s="63"/>
      <c r="V203" s="63"/>
      <c r="W203" s="63"/>
      <c r="X203" s="63"/>
      <c r="Y203" s="63"/>
      <c r="Z203" s="63"/>
      <c r="AA203" s="63"/>
      <c r="AB203" s="63"/>
      <c r="AC203" s="63"/>
      <c r="AD203" s="63"/>
      <c r="AE203" s="63"/>
      <c r="AF203" s="63"/>
      <c r="AG203" s="63"/>
      <c r="AH203" s="63"/>
      <c r="AI203" s="63"/>
      <c r="AJ203" s="63"/>
      <c r="AK203" s="63"/>
      <c r="AL203" s="63"/>
      <c r="AM203" s="63"/>
      <c r="AN203" s="63"/>
      <c r="AO203" s="63"/>
    </row>
    <row r="204" spans="1:41" ht="15.75" customHeight="1">
      <c r="A204" s="65" t="s">
        <v>148</v>
      </c>
      <c r="B204" s="221">
        <f>('Pivot Table for Data Exchange'!$H$294)*100</f>
        <v>0</v>
      </c>
      <c r="C204" s="221">
        <f>('Pivot Table for Data Exchange'!$H$297)*100</f>
        <v>0</v>
      </c>
      <c r="D204" s="227">
        <f t="shared" ref="D204:D206" si="54">SUM(E204:G204)</f>
        <v>0</v>
      </c>
      <c r="E204" s="221">
        <f>('Pivot Table for Data Exchange'!$H$300)*100</f>
        <v>0</v>
      </c>
      <c r="F204" s="221">
        <f>('Pivot Table for Data Exchange'!$H$303)*100</f>
        <v>0</v>
      </c>
      <c r="G204" s="223">
        <f>('Pivot Table for Data Exchange'!$H$306)*100</f>
        <v>0</v>
      </c>
      <c r="H204" s="221">
        <f>('Pivot Table for Data Exchange'!$H$309)*100</f>
        <v>0</v>
      </c>
      <c r="I204" s="87" t="s">
        <v>148</v>
      </c>
      <c r="J204" s="221">
        <f>('Pivot Table for Data Exchange'!$H$312)*100</f>
        <v>0</v>
      </c>
      <c r="K204" s="221">
        <f>('Pivot Table for Data Exchange'!$H$315)*100</f>
        <v>0</v>
      </c>
      <c r="L204" s="227">
        <f t="shared" ref="L204:L206" si="55">SUM(M204:O204)</f>
        <v>0</v>
      </c>
      <c r="M204" s="221">
        <f>('Pivot Table for Data Exchange'!$H$318)*100</f>
        <v>0</v>
      </c>
      <c r="N204" s="221">
        <f>('Pivot Table for Data Exchange'!$H$321)*100</f>
        <v>0</v>
      </c>
      <c r="O204" s="223">
        <f>('Pivot Table for Data Exchange'!$H$324)*100</f>
        <v>0</v>
      </c>
      <c r="P204" s="221">
        <f>('Pivot Table for Data Exchange'!$H$327)*100</f>
        <v>0</v>
      </c>
      <c r="Q204" s="97">
        <f t="shared" si="52"/>
        <v>0</v>
      </c>
      <c r="R204" s="97">
        <f t="shared" si="53"/>
        <v>0</v>
      </c>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row>
    <row r="205" spans="1:41" ht="15.75" customHeight="1">
      <c r="A205" s="65" t="s">
        <v>149</v>
      </c>
      <c r="B205" s="221">
        <f>('Pivot Table for Data Exchange'!$H$330)*100</f>
        <v>89.239008021328928</v>
      </c>
      <c r="C205" s="221">
        <f>('Pivot Table for Data Exchange'!$H$333)*100</f>
        <v>0.7538670160196741</v>
      </c>
      <c r="D205" s="227">
        <f t="shared" si="54"/>
        <v>10.007124962651405</v>
      </c>
      <c r="E205" s="221">
        <f>('Pivot Table for Data Exchange'!$H$336)*100</f>
        <v>9.6290422671171481</v>
      </c>
      <c r="F205" s="221">
        <f>('Pivot Table for Data Exchange'!$H$339)*100</f>
        <v>0.25684341170792246</v>
      </c>
      <c r="G205" s="223">
        <f>('Pivot Table for Data Exchange'!$H$342)*100</f>
        <v>0.1212392838263348</v>
      </c>
      <c r="H205" s="221">
        <f>('Pivot Table for Data Exchange'!$H$345)*100</f>
        <v>0</v>
      </c>
      <c r="I205" s="87" t="s">
        <v>149</v>
      </c>
      <c r="J205" s="221">
        <f>('Pivot Table for Data Exchange'!$H$348)*100</f>
        <v>81.05263157894737</v>
      </c>
      <c r="K205" s="221">
        <f>('Pivot Table for Data Exchange'!$H$351)*100</f>
        <v>3.3082706766917291</v>
      </c>
      <c r="L205" s="227">
        <f t="shared" si="55"/>
        <v>15.639097744360903</v>
      </c>
      <c r="M205" s="221">
        <f>('Pivot Table for Data Exchange'!$H$354)*100</f>
        <v>15.639097744360903</v>
      </c>
      <c r="N205" s="221">
        <f>('Pivot Table for Data Exchange'!$H$357)*100</f>
        <v>0</v>
      </c>
      <c r="O205" s="223">
        <f>('Pivot Table for Data Exchange'!$H$360)*100</f>
        <v>0</v>
      </c>
      <c r="P205" s="221">
        <f>('Pivot Table for Data Exchange'!$H$363)*100</f>
        <v>0</v>
      </c>
      <c r="Q205" s="97">
        <f t="shared" si="52"/>
        <v>100</v>
      </c>
      <c r="R205" s="97">
        <f t="shared" si="53"/>
        <v>100</v>
      </c>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row>
    <row r="206" spans="1:41" ht="15.75" customHeight="1">
      <c r="A206" s="65" t="s">
        <v>150</v>
      </c>
      <c r="B206" s="221">
        <f>('Pivot Table for Data Exchange'!$H$366)*100</f>
        <v>76.505151172388494</v>
      </c>
      <c r="C206" s="221">
        <f>('Pivot Table for Data Exchange'!$H$369)*100</f>
        <v>1.9271804591727553</v>
      </c>
      <c r="D206" s="227">
        <f t="shared" si="54"/>
        <v>21.567668368438753</v>
      </c>
      <c r="E206" s="221">
        <f>('Pivot Table for Data Exchange'!$H$372)*100</f>
        <v>20.155299440555165</v>
      </c>
      <c r="F206" s="221">
        <f>('Pivot Table for Data Exchange'!$H$375)*100</f>
        <v>1.4123689278835867</v>
      </c>
      <c r="G206" s="223">
        <f>('Pivot Table for Data Exchange'!$H$378)*100</f>
        <v>0</v>
      </c>
      <c r="H206" s="221">
        <f>('Pivot Table for Data Exchange'!$H$381)*100</f>
        <v>0</v>
      </c>
      <c r="I206" s="87" t="s">
        <v>150</v>
      </c>
      <c r="J206" s="221">
        <f>('Pivot Table for Data Exchange'!$H$384)*100</f>
        <v>0</v>
      </c>
      <c r="K206" s="221">
        <f>('Pivot Table for Data Exchange'!$H$387)*100</f>
        <v>0</v>
      </c>
      <c r="L206" s="227">
        <f t="shared" si="55"/>
        <v>0</v>
      </c>
      <c r="M206" s="221">
        <f>('Pivot Table for Data Exchange'!$H$390)*100</f>
        <v>0</v>
      </c>
      <c r="N206" s="221">
        <f>('Pivot Table for Data Exchange'!$H$393)*100</f>
        <v>0</v>
      </c>
      <c r="O206" s="223">
        <f>('Pivot Table for Data Exchange'!$H$396)*100</f>
        <v>0</v>
      </c>
      <c r="P206" s="221">
        <f>('Pivot Table for Data Exchange'!$H$399)*100</f>
        <v>0</v>
      </c>
      <c r="Q206" s="97">
        <f t="shared" si="52"/>
        <v>100</v>
      </c>
      <c r="R206" s="97">
        <f t="shared" si="53"/>
        <v>0</v>
      </c>
      <c r="S206" s="63"/>
      <c r="T206" s="74"/>
      <c r="U206" s="63"/>
      <c r="V206" s="63"/>
      <c r="W206" s="63"/>
      <c r="X206" s="63"/>
      <c r="Y206" s="63"/>
      <c r="Z206" s="63"/>
      <c r="AA206" s="63"/>
      <c r="AB206" s="63"/>
      <c r="AC206" s="63"/>
      <c r="AD206" s="63"/>
      <c r="AE206" s="63"/>
      <c r="AF206" s="63"/>
      <c r="AG206" s="63"/>
      <c r="AH206" s="63"/>
      <c r="AI206" s="63"/>
      <c r="AJ206" s="63"/>
      <c r="AK206" s="63"/>
      <c r="AL206" s="63"/>
      <c r="AM206" s="63"/>
      <c r="AN206" s="63"/>
      <c r="AO206" s="63"/>
    </row>
    <row r="207" spans="1:41" ht="15.75" customHeight="1">
      <c r="A207" s="65" t="s">
        <v>151</v>
      </c>
      <c r="B207" s="221">
        <f>('Pivot Table for Data Exchange'!$H$402)*100</f>
        <v>87.37175845806307</v>
      </c>
      <c r="C207" s="221">
        <f>('Pivot Table for Data Exchange'!$H$405)*100</f>
        <v>4.7478764019710153</v>
      </c>
      <c r="D207" s="227">
        <f>SUM(E207:G207)</f>
        <v>7.8803651399659165</v>
      </c>
      <c r="E207" s="221">
        <f>('Pivot Table for Data Exchange'!$H$408)*100</f>
        <v>7.5395326102751765</v>
      </c>
      <c r="F207" s="221">
        <f>('Pivot Table for Data Exchange'!$H$411)*100</f>
        <v>0.25839861553298021</v>
      </c>
      <c r="G207" s="223">
        <f>('Pivot Table for Data Exchange'!$H$414)*100</f>
        <v>8.2433914157760538E-2</v>
      </c>
      <c r="H207" s="221">
        <f>('Pivot Table for Data Exchange'!$H$417)*100</f>
        <v>0</v>
      </c>
      <c r="I207" s="87" t="s">
        <v>151</v>
      </c>
      <c r="J207" s="221">
        <f>('Pivot Table for Data Exchange'!$H$420)*100</f>
        <v>51.289453425712082</v>
      </c>
      <c r="K207" s="221">
        <f>('Pivot Table for Data Exchange'!$H$423)*100</f>
        <v>5.6389530408006161</v>
      </c>
      <c r="L207" s="227">
        <f>SUM(M207:O207)</f>
        <v>43.071593533487295</v>
      </c>
      <c r="M207" s="221">
        <f>('Pivot Table for Data Exchange'!$H$426)*100</f>
        <v>43.071593533487295</v>
      </c>
      <c r="N207" s="221">
        <f>('Pivot Table for Data Exchange'!$H$429)*100</f>
        <v>0</v>
      </c>
      <c r="O207" s="223">
        <f>('Pivot Table for Data Exchange'!$H$432)*100</f>
        <v>0</v>
      </c>
      <c r="P207" s="221">
        <f>('Pivot Table for Data Exchange'!$H$435)*100</f>
        <v>0</v>
      </c>
      <c r="Q207" s="97">
        <f t="shared" si="52"/>
        <v>100</v>
      </c>
      <c r="R207" s="97">
        <f t="shared" si="53"/>
        <v>100</v>
      </c>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row>
    <row r="208" spans="1:41" ht="11.25" customHeight="1">
      <c r="A208" s="65"/>
      <c r="B208" s="221"/>
      <c r="C208" s="221"/>
      <c r="D208" s="227"/>
      <c r="E208" s="221"/>
      <c r="F208" s="221"/>
      <c r="G208" s="223"/>
      <c r="H208" s="221"/>
      <c r="I208" s="87"/>
      <c r="J208" s="221"/>
      <c r="K208" s="221"/>
      <c r="L208" s="227"/>
      <c r="M208" s="221"/>
      <c r="N208" s="221"/>
      <c r="O208" s="223"/>
      <c r="P208" s="221"/>
      <c r="Q208" s="97">
        <f t="shared" si="52"/>
        <v>0</v>
      </c>
      <c r="R208" s="97">
        <f t="shared" si="53"/>
        <v>0</v>
      </c>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row>
    <row r="209" spans="1:41" ht="15.75" customHeight="1">
      <c r="A209" s="65" t="s">
        <v>152</v>
      </c>
      <c r="B209" s="221">
        <f>('Pivot Table for Data Exchange'!$H$438)*100</f>
        <v>0</v>
      </c>
      <c r="C209" s="221">
        <f>('Pivot Table for Data Exchange'!$H$441)*100</f>
        <v>0</v>
      </c>
      <c r="D209" s="227">
        <f>SUM(E209:G209)</f>
        <v>0</v>
      </c>
      <c r="E209" s="221">
        <f>('Pivot Table for Data Exchange'!$H$444)*100</f>
        <v>0</v>
      </c>
      <c r="F209" s="221">
        <f>('Pivot Table for Data Exchange'!$H$447)*100</f>
        <v>0</v>
      </c>
      <c r="G209" s="223">
        <f>('Pivot Table for Data Exchange'!$H$450)*100</f>
        <v>0</v>
      </c>
      <c r="H209" s="221">
        <f>('Pivot Table for Data Exchange'!$H$453)*100</f>
        <v>0</v>
      </c>
      <c r="I209" s="87" t="s">
        <v>152</v>
      </c>
      <c r="J209" s="221">
        <f>('Pivot Table for Data Exchange'!$H$456)*100</f>
        <v>0</v>
      </c>
      <c r="K209" s="221">
        <f>('Pivot Table for Data Exchange'!$H$459)*100</f>
        <v>0</v>
      </c>
      <c r="L209" s="227">
        <f>SUM(M209:O209)</f>
        <v>0</v>
      </c>
      <c r="M209" s="221">
        <f>('Pivot Table for Data Exchange'!$H$462)*100</f>
        <v>0</v>
      </c>
      <c r="N209" s="221">
        <f>('Pivot Table for Data Exchange'!$H$465)*100</f>
        <v>0</v>
      </c>
      <c r="O209" s="223">
        <f>('Pivot Table for Data Exchange'!$H$468)*100</f>
        <v>0</v>
      </c>
      <c r="P209" s="221">
        <f>('Pivot Table for Data Exchange'!$H$471)*100</f>
        <v>0</v>
      </c>
      <c r="Q209" s="97">
        <f t="shared" si="52"/>
        <v>0</v>
      </c>
      <c r="R209" s="97">
        <f t="shared" si="53"/>
        <v>0</v>
      </c>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row>
    <row r="210" spans="1:41" ht="15.75" customHeight="1">
      <c r="A210" s="65" t="s">
        <v>153</v>
      </c>
      <c r="B210" s="221">
        <f>('Pivot Table for Data Exchange'!$H$474)*100</f>
        <v>99.620173788408138</v>
      </c>
      <c r="C210" s="221">
        <f>('Pivot Table for Data Exchange'!$H$477)*100</f>
        <v>7.1665322941861509E-2</v>
      </c>
      <c r="D210" s="227">
        <f>SUM(E210:G210)</f>
        <v>0.30816088865000446</v>
      </c>
      <c r="E210" s="221">
        <f>('Pivot Table for Data Exchange'!$H$480)*100</f>
        <v>0.27232822717907373</v>
      </c>
      <c r="F210" s="221">
        <f>('Pivot Table for Data Exchange'!$H$483)*100</f>
        <v>0</v>
      </c>
      <c r="G210" s="68">
        <f>('Pivot Table for Data Exchange'!$H$486)*100</f>
        <v>3.5832661470930754E-2</v>
      </c>
      <c r="H210" s="221">
        <f>('Pivot Table for Data Exchange'!$H$489)*100</f>
        <v>0</v>
      </c>
      <c r="I210" s="87" t="s">
        <v>153</v>
      </c>
      <c r="J210" s="221">
        <f>('Pivot Table for Data Exchange'!$H$492)*100</f>
        <v>84.540540540540547</v>
      </c>
      <c r="K210" s="221">
        <f>('Pivot Table for Data Exchange'!$H$495)*100</f>
        <v>0.32432432432432429</v>
      </c>
      <c r="L210" s="227">
        <f>SUM(M210:O210)</f>
        <v>15.135135135135137</v>
      </c>
      <c r="M210" s="221">
        <f>('Pivot Table for Data Exchange'!$H$498)*100</f>
        <v>15.135135135135137</v>
      </c>
      <c r="N210" s="221">
        <f>('Pivot Table for Data Exchange'!$H$501)*100</f>
        <v>0</v>
      </c>
      <c r="O210" s="223">
        <f>('Pivot Table for Data Exchange'!$H$504)*100</f>
        <v>0</v>
      </c>
      <c r="P210" s="221">
        <f>('Pivot Table for Data Exchange'!$H$507)*100</f>
        <v>0</v>
      </c>
      <c r="Q210" s="97">
        <f t="shared" si="52"/>
        <v>100.00000000000001</v>
      </c>
      <c r="R210" s="97">
        <f t="shared" si="53"/>
        <v>100</v>
      </c>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row>
    <row r="211" spans="1:41" ht="15.75" customHeight="1">
      <c r="A211" s="65" t="s">
        <v>154</v>
      </c>
      <c r="B211" s="221">
        <f>('Pivot Table for Data Exchange'!$H$510)*100</f>
        <v>86.947653323396153</v>
      </c>
      <c r="C211" s="221">
        <f>('Pivot Table for Data Exchange'!$H$513)*100</f>
        <v>0.78255241532155262</v>
      </c>
      <c r="D211" s="227">
        <f t="shared" ref="D211" si="56">SUM(E211:G211)</f>
        <v>12.269794261282287</v>
      </c>
      <c r="E211" s="221">
        <f>('Pivot Table for Data Exchange'!$H$516)*100</f>
        <v>12.269794261282287</v>
      </c>
      <c r="F211" s="221">
        <f>('Pivot Table for Data Exchange'!$H$519)*100</f>
        <v>0</v>
      </c>
      <c r="G211" s="223">
        <f>('Pivot Table for Data Exchange'!$H$522)*100</f>
        <v>0</v>
      </c>
      <c r="H211" s="221">
        <f>('Pivot Table for Data Exchange'!$H$525)*100</f>
        <v>0</v>
      </c>
      <c r="I211" s="87" t="s">
        <v>154</v>
      </c>
      <c r="J211" s="221">
        <f>('Pivot Table for Data Exchange'!$H$528)*100</f>
        <v>0</v>
      </c>
      <c r="K211" s="221">
        <f>('Pivot Table for Data Exchange'!$H$531)*100</f>
        <v>0</v>
      </c>
      <c r="L211" s="227">
        <f t="shared" ref="L211" si="57">SUM(M211:O211)</f>
        <v>0</v>
      </c>
      <c r="M211" s="221">
        <f>('Pivot Table for Data Exchange'!$H$534)*100</f>
        <v>0</v>
      </c>
      <c r="N211" s="221">
        <f>('Pivot Table for Data Exchange'!$H$537)*100</f>
        <v>0</v>
      </c>
      <c r="O211" s="223">
        <f>('Pivot Table for Data Exchange'!$H$540)*100</f>
        <v>0</v>
      </c>
      <c r="P211" s="221">
        <f>('Pivot Table for Data Exchange'!$H$543)*100</f>
        <v>0</v>
      </c>
      <c r="Q211" s="97">
        <f t="shared" si="52"/>
        <v>99.999999999999986</v>
      </c>
      <c r="R211" s="97">
        <f t="shared" si="53"/>
        <v>0</v>
      </c>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row>
    <row r="212" spans="1:41" ht="15.75" customHeight="1">
      <c r="A212" s="39" t="s">
        <v>155</v>
      </c>
      <c r="B212" s="224">
        <f>('Pivot Table for Data Exchange'!$H$546)*100</f>
        <v>76.135313254024467</v>
      </c>
      <c r="C212" s="224">
        <f>('Pivot Table for Data Exchange'!$H$549)*100</f>
        <v>7.4994297924444497</v>
      </c>
      <c r="D212" s="228">
        <f>SUM(E212:G212)</f>
        <v>16.365256953531084</v>
      </c>
      <c r="E212" s="224">
        <f>('Pivot Table for Data Exchange'!$H$552)*100</f>
        <v>15.151615187928405</v>
      </c>
      <c r="F212" s="224">
        <f>('Pivot Table for Data Exchange'!$H$555)*100</f>
        <v>1.2136417656026794</v>
      </c>
      <c r="G212" s="233">
        <f>('Pivot Table for Data Exchange'!$H$558)*100</f>
        <v>0</v>
      </c>
      <c r="H212" s="224">
        <f>('Pivot Table for Data Exchange'!$H$561)*100</f>
        <v>0</v>
      </c>
      <c r="I212" s="230" t="s">
        <v>155</v>
      </c>
      <c r="J212" s="224">
        <f>('Pivot Table for Data Exchange'!$H$564)*100</f>
        <v>39.376218323586741</v>
      </c>
      <c r="K212" s="224">
        <f>('Pivot Table for Data Exchange'!$H$567)*100</f>
        <v>13.157894736842104</v>
      </c>
      <c r="L212" s="228">
        <f>SUM(M212:O212)</f>
        <v>47.465886939571149</v>
      </c>
      <c r="M212" s="224">
        <f>('Pivot Table for Data Exchange'!$H$570)*100</f>
        <v>47.465886939571149</v>
      </c>
      <c r="N212" s="224">
        <f>('Pivot Table for Data Exchange'!$H$573)*100</f>
        <v>0</v>
      </c>
      <c r="O212" s="225">
        <f>('Pivot Table for Data Exchange'!$H$576)*100</f>
        <v>0</v>
      </c>
      <c r="P212" s="224">
        <f>('Pivot Table for Data Exchange'!$H$579)*100</f>
        <v>0</v>
      </c>
      <c r="Q212" s="97">
        <f t="shared" si="52"/>
        <v>100</v>
      </c>
      <c r="R212" s="97">
        <f t="shared" si="53"/>
        <v>100</v>
      </c>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row>
    <row r="213" spans="1:41" s="25" customFormat="1" ht="12" customHeight="1">
      <c r="A213" s="691" t="s">
        <v>175</v>
      </c>
      <c r="B213" s="69"/>
      <c r="C213" s="69"/>
      <c r="D213" s="70"/>
      <c r="E213" s="69"/>
      <c r="F213" s="70"/>
      <c r="G213" s="70"/>
      <c r="H213" s="69"/>
      <c r="I213" s="691" t="s">
        <v>175</v>
      </c>
      <c r="J213" s="69"/>
      <c r="K213" s="69"/>
      <c r="L213" s="70"/>
      <c r="M213" s="69"/>
      <c r="N213" s="70"/>
      <c r="O213" s="70"/>
      <c r="P213" s="69"/>
      <c r="Q213" s="97">
        <f t="shared" si="52"/>
        <v>0</v>
      </c>
      <c r="R213" s="97">
        <f t="shared" si="53"/>
        <v>0</v>
      </c>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row>
    <row r="214" spans="1:41" s="25" customFormat="1" ht="22.5" customHeight="1">
      <c r="A214" s="666" t="s">
        <v>176</v>
      </c>
      <c r="B214" s="685"/>
      <c r="C214" s="685"/>
      <c r="D214" s="685"/>
      <c r="E214" s="685"/>
      <c r="F214" s="685"/>
      <c r="G214" s="685"/>
      <c r="H214" s="685"/>
      <c r="I214" s="666"/>
      <c r="J214" s="685"/>
      <c r="K214" s="685"/>
      <c r="L214" s="685"/>
      <c r="M214" s="685"/>
      <c r="N214" s="685"/>
      <c r="O214" s="685"/>
      <c r="P214" s="685"/>
      <c r="Q214" s="97">
        <f t="shared" si="52"/>
        <v>0</v>
      </c>
      <c r="R214" s="97">
        <f t="shared" si="53"/>
        <v>0</v>
      </c>
    </row>
    <row r="215" spans="1:41" s="25" customFormat="1" ht="10.5" customHeight="1">
      <c r="A215" s="78"/>
      <c r="B215" s="111"/>
      <c r="C215" s="111"/>
      <c r="D215" s="79"/>
      <c r="E215" s="111"/>
      <c r="F215" s="111"/>
      <c r="G215" s="112"/>
      <c r="H215" s="112"/>
      <c r="I215" s="78"/>
      <c r="J215" s="111"/>
      <c r="K215" s="111"/>
      <c r="L215" s="79"/>
      <c r="M215" s="111"/>
      <c r="N215" s="111"/>
      <c r="O215" s="111"/>
      <c r="P215" s="112"/>
      <c r="Q215" s="97"/>
      <c r="R215" s="97"/>
    </row>
    <row r="216" spans="1:41" s="25" customFormat="1">
      <c r="H216" s="27" t="s">
        <v>899</v>
      </c>
      <c r="P216" s="27" t="s">
        <v>899</v>
      </c>
      <c r="Q216" s="97">
        <f t="shared" si="52"/>
        <v>0</v>
      </c>
      <c r="R216" s="97">
        <f t="shared" si="53"/>
        <v>0</v>
      </c>
    </row>
    <row r="217" spans="1:41" ht="18">
      <c r="A217" s="16" t="s">
        <v>207</v>
      </c>
      <c r="B217" s="34"/>
      <c r="C217" s="34"/>
      <c r="D217" s="34"/>
      <c r="E217" s="34"/>
      <c r="F217" s="34"/>
      <c r="G217" s="34"/>
      <c r="H217" s="35"/>
      <c r="I217" s="65"/>
      <c r="J217" s="65"/>
      <c r="K217" s="65"/>
      <c r="L217" s="65"/>
      <c r="M217" s="65"/>
      <c r="N217" s="65"/>
      <c r="O217" s="65"/>
      <c r="P217" s="65"/>
      <c r="Q217" s="97">
        <f t="shared" si="52"/>
        <v>0</v>
      </c>
    </row>
    <row r="218" spans="1:41">
      <c r="A218" s="18"/>
      <c r="B218" s="19"/>
      <c r="C218" s="19"/>
      <c r="D218" s="19"/>
      <c r="E218" s="19"/>
      <c r="F218" s="19"/>
      <c r="G218" s="19"/>
      <c r="H218" s="36"/>
      <c r="I218" s="65"/>
      <c r="J218" s="65"/>
      <c r="K218" s="65"/>
      <c r="L218" s="65"/>
      <c r="M218" s="65"/>
      <c r="N218" s="65"/>
      <c r="O218" s="65"/>
      <c r="P218" s="65"/>
      <c r="Q218" s="97">
        <f t="shared" si="52"/>
        <v>0</v>
      </c>
    </row>
    <row r="219" spans="1:41" ht="15.75">
      <c r="A219" s="37" t="s">
        <v>162</v>
      </c>
      <c r="B219" s="19"/>
      <c r="C219" s="19"/>
      <c r="D219" s="19"/>
      <c r="E219" s="19"/>
      <c r="F219" s="19"/>
      <c r="G219" s="19"/>
      <c r="H219" s="36"/>
      <c r="I219" s="80"/>
      <c r="J219" s="65"/>
      <c r="K219" s="65"/>
      <c r="L219" s="36"/>
      <c r="M219" s="65"/>
      <c r="N219" s="65"/>
      <c r="O219" s="65"/>
      <c r="P219" s="65"/>
      <c r="Q219" s="97">
        <f t="shared" si="52"/>
        <v>0</v>
      </c>
    </row>
    <row r="220" spans="1:41" ht="15.75">
      <c r="A220" s="37" t="s">
        <v>271</v>
      </c>
      <c r="B220" s="19"/>
      <c r="C220" s="19"/>
      <c r="D220" s="19"/>
      <c r="E220" s="19"/>
      <c r="F220" s="19"/>
      <c r="G220" s="19"/>
      <c r="H220" s="36"/>
      <c r="I220" s="80"/>
      <c r="J220" s="65"/>
      <c r="K220" s="65"/>
      <c r="L220" s="65"/>
      <c r="M220" s="65"/>
      <c r="N220" s="65"/>
      <c r="O220" s="65"/>
      <c r="P220" s="65"/>
      <c r="Q220" s="97">
        <f t="shared" si="52"/>
        <v>0</v>
      </c>
    </row>
    <row r="221" spans="1:41">
      <c r="A221" s="39"/>
      <c r="B221" s="40"/>
      <c r="C221" s="40"/>
      <c r="D221" s="40"/>
      <c r="E221" s="40"/>
      <c r="F221" s="40"/>
      <c r="G221" s="40"/>
      <c r="H221" s="40"/>
      <c r="I221" s="80"/>
      <c r="J221" s="65"/>
      <c r="K221" s="65"/>
      <c r="L221" s="65"/>
      <c r="M221" s="65"/>
      <c r="N221" s="65"/>
      <c r="O221" s="65"/>
      <c r="P221" s="65"/>
      <c r="Q221" s="97">
        <f t="shared" si="52"/>
        <v>0</v>
      </c>
    </row>
    <row r="222" spans="1:41">
      <c r="A222" s="43"/>
      <c r="B222" s="44" t="s">
        <v>164</v>
      </c>
      <c r="C222" s="44"/>
      <c r="D222" s="44"/>
      <c r="E222" s="44"/>
      <c r="F222" s="44"/>
      <c r="G222" s="44"/>
      <c r="H222" s="45"/>
      <c r="I222" s="80"/>
      <c r="J222" s="65"/>
      <c r="K222" s="65"/>
      <c r="L222" s="65"/>
      <c r="M222" s="65"/>
      <c r="N222" s="65"/>
      <c r="O222" s="65"/>
      <c r="P222" s="65"/>
      <c r="Q222" s="97">
        <f t="shared" si="52"/>
        <v>0</v>
      </c>
    </row>
    <row r="223" spans="1:41">
      <c r="A223" s="43"/>
      <c r="B223" s="44" t="s">
        <v>165</v>
      </c>
      <c r="C223" s="44"/>
      <c r="D223" s="670" t="s">
        <v>166</v>
      </c>
      <c r="E223" s="668"/>
      <c r="F223" s="668"/>
      <c r="G223" s="668"/>
      <c r="H223" s="49" t="s">
        <v>39</v>
      </c>
      <c r="I223" s="80"/>
      <c r="J223" s="65"/>
      <c r="K223" s="65"/>
      <c r="L223" s="65"/>
      <c r="M223" s="65"/>
      <c r="N223" s="65"/>
      <c r="O223" s="65"/>
      <c r="P223" s="65"/>
      <c r="Q223" s="97">
        <f t="shared" si="52"/>
        <v>0</v>
      </c>
    </row>
    <row r="224" spans="1:41" ht="36">
      <c r="A224" s="43"/>
      <c r="B224" s="50" t="s">
        <v>167</v>
      </c>
      <c r="C224" s="51" t="s">
        <v>168</v>
      </c>
      <c r="D224" s="52" t="s">
        <v>169</v>
      </c>
      <c r="E224" s="53" t="s">
        <v>7</v>
      </c>
      <c r="F224" s="50" t="s">
        <v>170</v>
      </c>
      <c r="G224" s="54" t="s">
        <v>171</v>
      </c>
      <c r="H224" s="55" t="s">
        <v>172</v>
      </c>
      <c r="I224" s="73"/>
      <c r="J224" s="48"/>
      <c r="K224" s="48"/>
      <c r="L224" s="48"/>
      <c r="M224" s="48"/>
      <c r="N224" s="48"/>
      <c r="O224" s="48"/>
      <c r="P224" s="65"/>
      <c r="Q224" s="97">
        <f t="shared" si="52"/>
        <v>0</v>
      </c>
    </row>
    <row r="225" spans="1:41" ht="15.75" customHeight="1">
      <c r="A225" s="62" t="s">
        <v>141</v>
      </c>
      <c r="B225" s="221">
        <f>('Pivot Table for Data Exchange'!$O$6)*100</f>
        <v>69.086793205116109</v>
      </c>
      <c r="C225" s="221">
        <f>('Pivot Table for Data Exchange'!$O$9)*100</f>
        <v>12.201884436610113</v>
      </c>
      <c r="D225" s="227">
        <f>SUM(E225:G225)</f>
        <v>18.711322358273787</v>
      </c>
      <c r="E225" s="221">
        <f>('Pivot Table for Data Exchange'!$O$12)*100</f>
        <v>18.204381629890772</v>
      </c>
      <c r="F225" s="221">
        <f>('Pivot Table for Data Exchange'!$O$15)*100</f>
        <v>0.31750028854124041</v>
      </c>
      <c r="G225" s="60">
        <f>('Pivot Table for Data Exchange'!$O$18)*100</f>
        <v>0.18944043984177447</v>
      </c>
      <c r="H225" s="234">
        <f>('Pivot Table for Data Exchange'!$O$21)*100</f>
        <v>0</v>
      </c>
      <c r="I225" s="64"/>
      <c r="J225" s="64"/>
      <c r="K225" s="64"/>
      <c r="L225" s="64"/>
      <c r="M225" s="64"/>
      <c r="N225" s="64"/>
      <c r="O225" s="64"/>
      <c r="P225" s="81"/>
      <c r="Q225" s="97">
        <f t="shared" si="52"/>
        <v>100.00000000000001</v>
      </c>
      <c r="R225" s="97"/>
      <c r="Z225" s="63"/>
      <c r="AA225" s="63"/>
      <c r="AB225" s="63"/>
      <c r="AC225" s="63"/>
      <c r="AD225" s="63"/>
      <c r="AE225" s="63"/>
      <c r="AF225" s="63"/>
      <c r="AG225" s="63"/>
      <c r="AH225" s="63"/>
      <c r="AI225" s="63"/>
      <c r="AJ225" s="63"/>
      <c r="AK225" s="63"/>
      <c r="AL225" s="63"/>
      <c r="AM225" s="63"/>
      <c r="AN225" s="63"/>
      <c r="AO225" s="63"/>
    </row>
    <row r="226" spans="1:41" ht="15.75" customHeight="1">
      <c r="A226" s="65" t="s">
        <v>142</v>
      </c>
      <c r="B226" s="221">
        <f>('Pivot Table for Data Exchange'!$O$42)*100</f>
        <v>67.566079834828997</v>
      </c>
      <c r="C226" s="221">
        <f>('Pivot Table for Data Exchange'!$O$45)*100</f>
        <v>8.2885232941422444</v>
      </c>
      <c r="D226" s="227">
        <f t="shared" ref="D226:D228" si="58">SUM(E226:G226)</f>
        <v>24.140986648459524</v>
      </c>
      <c r="E226" s="221">
        <f>('Pivot Table for Data Exchange'!$O$48)*100</f>
        <v>23.118795061857455</v>
      </c>
      <c r="F226" s="221">
        <f>('Pivot Table for Data Exchange'!$O$51)*100</f>
        <v>1.0181080471861146</v>
      </c>
      <c r="G226" s="232">
        <f>('Pivot Table for Data Exchange'!$O$54)*100</f>
        <v>4.0835394159558589E-3</v>
      </c>
      <c r="H226" s="61">
        <f>('Pivot Table for Data Exchange'!$O$57)*100</f>
        <v>4.4102225692323272E-3</v>
      </c>
      <c r="I226" s="64"/>
      <c r="J226" s="64"/>
      <c r="K226" s="64"/>
      <c r="L226" s="64"/>
      <c r="M226" s="64"/>
      <c r="N226" s="64"/>
      <c r="O226" s="64"/>
      <c r="P226" s="81"/>
      <c r="Q226" s="97">
        <f t="shared" si="52"/>
        <v>99.999999999999986</v>
      </c>
      <c r="R226" s="97"/>
      <c r="Z226" s="63"/>
      <c r="AA226" s="63"/>
      <c r="AB226" s="63"/>
      <c r="AC226" s="63"/>
      <c r="AD226" s="63"/>
      <c r="AE226" s="63"/>
      <c r="AF226" s="63"/>
      <c r="AG226" s="63"/>
      <c r="AH226" s="63"/>
      <c r="AI226" s="63"/>
      <c r="AJ226" s="63"/>
      <c r="AK226" s="63"/>
      <c r="AL226" s="63"/>
      <c r="AM226" s="63"/>
      <c r="AN226" s="63"/>
      <c r="AO226" s="63"/>
    </row>
    <row r="227" spans="1:41" ht="15.75" customHeight="1">
      <c r="A227" s="65" t="s">
        <v>143</v>
      </c>
      <c r="B227" s="221">
        <f>('Pivot Table for Data Exchange'!$O$78)*100</f>
        <v>90.021067348175606</v>
      </c>
      <c r="C227" s="221">
        <f>('Pivot Table for Data Exchange'!$O$81)*100</f>
        <v>0</v>
      </c>
      <c r="D227" s="227">
        <f t="shared" si="58"/>
        <v>9.9789326518243939</v>
      </c>
      <c r="E227" s="221">
        <f>('Pivot Table for Data Exchange'!$O$84)*100</f>
        <v>9.2401324966250566</v>
      </c>
      <c r="F227" s="221">
        <f>('Pivot Table for Data Exchange'!$O$87)*100</f>
        <v>0.30238218157681246</v>
      </c>
      <c r="G227" s="223">
        <f>('Pivot Table for Data Exchange'!$O$90)*100</f>
        <v>0.43641797362252571</v>
      </c>
      <c r="H227" s="221">
        <f>('Pivot Table for Data Exchange'!$O$93)*100</f>
        <v>0</v>
      </c>
      <c r="I227" s="64"/>
      <c r="J227" s="64"/>
      <c r="K227" s="64"/>
      <c r="L227" s="64"/>
      <c r="M227" s="64"/>
      <c r="N227" s="64"/>
      <c r="O227" s="64"/>
      <c r="P227" s="81"/>
      <c r="Q227" s="97">
        <f t="shared" si="52"/>
        <v>100</v>
      </c>
      <c r="R227" s="97"/>
      <c r="Z227" s="63"/>
      <c r="AA227" s="63"/>
      <c r="AB227" s="63"/>
      <c r="AC227" s="63"/>
      <c r="AD227" s="63"/>
      <c r="AE227" s="63"/>
      <c r="AF227" s="63"/>
      <c r="AG227" s="63"/>
      <c r="AH227" s="63"/>
      <c r="AI227" s="63"/>
      <c r="AJ227" s="63"/>
      <c r="AK227" s="63"/>
      <c r="AL227" s="63"/>
      <c r="AM227" s="63"/>
      <c r="AN227" s="63"/>
      <c r="AO227" s="63"/>
    </row>
    <row r="228" spans="1:41" ht="15.75" customHeight="1">
      <c r="A228" s="65" t="s">
        <v>174</v>
      </c>
      <c r="B228" s="221">
        <f>('Pivot Table for Data Exchange'!$O$114)*100</f>
        <v>77.158610418795774</v>
      </c>
      <c r="C228" s="221">
        <f>('Pivot Table for Data Exchange'!$O$117)*100</f>
        <v>3.1580680794216747</v>
      </c>
      <c r="D228" s="227">
        <f t="shared" si="58"/>
        <v>19.642008728004466</v>
      </c>
      <c r="E228" s="221">
        <f>('Pivot Table for Data Exchange'!$O$120)*100</f>
        <v>18.775458135943797</v>
      </c>
      <c r="F228" s="221">
        <f>('Pivot Table for Data Exchange'!$O$123)*100</f>
        <v>0.7955612873302903</v>
      </c>
      <c r="G228" s="223">
        <f>('Pivot Table for Data Exchange'!$O$126)*100</f>
        <v>7.0989304730379413E-2</v>
      </c>
      <c r="H228" s="67">
        <f>('Pivot Table for Data Exchange'!$O$129)*100</f>
        <v>4.1312773778076295E-2</v>
      </c>
      <c r="I228" s="64"/>
      <c r="J228" s="64"/>
      <c r="K228" s="64"/>
      <c r="L228" s="64"/>
      <c r="M228" s="64"/>
      <c r="N228" s="64"/>
      <c r="O228" s="64"/>
      <c r="P228" s="81"/>
      <c r="Q228" s="97">
        <f t="shared" si="52"/>
        <v>99.999999999999986</v>
      </c>
      <c r="R228" s="97"/>
      <c r="Z228" s="63"/>
      <c r="AA228" s="63"/>
      <c r="AB228" s="63"/>
      <c r="AC228" s="63"/>
      <c r="AD228" s="63"/>
      <c r="AE228" s="63"/>
      <c r="AF228" s="63"/>
      <c r="AG228" s="63"/>
      <c r="AH228" s="63"/>
      <c r="AI228" s="63"/>
      <c r="AJ228" s="63"/>
      <c r="AK228" s="63"/>
      <c r="AL228" s="63"/>
      <c r="AM228" s="63"/>
      <c r="AN228" s="63"/>
      <c r="AO228" s="63"/>
    </row>
    <row r="229" spans="1:41" ht="15.75" customHeight="1">
      <c r="A229" s="65"/>
      <c r="B229" s="221"/>
      <c r="C229" s="221"/>
      <c r="D229" s="227"/>
      <c r="E229" s="221"/>
      <c r="F229" s="221"/>
      <c r="G229" s="223"/>
      <c r="H229" s="221"/>
      <c r="I229" s="64"/>
      <c r="J229" s="64"/>
      <c r="K229" s="64"/>
      <c r="L229" s="64"/>
      <c r="M229" s="64"/>
      <c r="N229" s="64"/>
      <c r="O229" s="64"/>
      <c r="P229" s="81"/>
      <c r="Q229" s="97">
        <f t="shared" si="52"/>
        <v>0</v>
      </c>
      <c r="R229" s="97"/>
      <c r="Z229" s="63"/>
      <c r="AA229" s="63"/>
      <c r="AB229" s="63"/>
      <c r="AC229" s="63"/>
      <c r="AD229" s="63"/>
      <c r="AE229" s="63"/>
      <c r="AF229" s="63"/>
      <c r="AG229" s="63"/>
      <c r="AH229" s="63"/>
      <c r="AI229" s="63"/>
      <c r="AJ229" s="63"/>
      <c r="AK229" s="63"/>
      <c r="AL229" s="63"/>
      <c r="AM229" s="63"/>
      <c r="AN229" s="63"/>
      <c r="AO229" s="63"/>
    </row>
    <row r="230" spans="1:41" ht="15.75" customHeight="1">
      <c r="A230" s="65" t="s">
        <v>145</v>
      </c>
      <c r="B230" s="221">
        <f>('Pivot Table for Data Exchange'!$O$150)*100</f>
        <v>0</v>
      </c>
      <c r="C230" s="221">
        <f>('Pivot Table for Data Exchange'!$O$153)*100</f>
        <v>0</v>
      </c>
      <c r="D230" s="227">
        <f t="shared" ref="D230:D233" si="59">SUM(E230:G230)</f>
        <v>0</v>
      </c>
      <c r="E230" s="221">
        <f>('Pivot Table for Data Exchange'!$O$156)*100</f>
        <v>0</v>
      </c>
      <c r="F230" s="221">
        <f>('Pivot Table for Data Exchange'!$O$159)*100</f>
        <v>0</v>
      </c>
      <c r="G230" s="223">
        <f>('Pivot Table for Data Exchange'!$O$162)*100</f>
        <v>0</v>
      </c>
      <c r="H230" s="221">
        <f>('Pivot Table for Data Exchange'!$O$165)*100</f>
        <v>0</v>
      </c>
      <c r="I230" s="64"/>
      <c r="J230" s="64"/>
      <c r="K230" s="64"/>
      <c r="L230" s="64"/>
      <c r="M230" s="64"/>
      <c r="N230" s="64"/>
      <c r="O230" s="64"/>
      <c r="P230" s="81"/>
      <c r="Q230" s="97">
        <f t="shared" si="52"/>
        <v>0</v>
      </c>
      <c r="R230" s="97"/>
      <c r="Z230" s="63"/>
      <c r="AA230" s="63"/>
      <c r="AB230" s="63"/>
      <c r="AC230" s="63"/>
      <c r="AD230" s="63"/>
      <c r="AE230" s="63"/>
      <c r="AF230" s="63"/>
      <c r="AG230" s="63"/>
      <c r="AH230" s="63"/>
      <c r="AI230" s="63"/>
      <c r="AJ230" s="63"/>
      <c r="AK230" s="63"/>
      <c r="AL230" s="63"/>
      <c r="AM230" s="63"/>
      <c r="AN230" s="63"/>
      <c r="AO230" s="63"/>
    </row>
    <row r="231" spans="1:41" ht="15.75" customHeight="1">
      <c r="A231" s="65" t="s">
        <v>146</v>
      </c>
      <c r="B231" s="221">
        <f>('Pivot Table for Data Exchange'!$O$186)*100</f>
        <v>61.828362028374308</v>
      </c>
      <c r="C231" s="221">
        <f>('Pivot Table for Data Exchange'!$O$189)*100</f>
        <v>4.5940044083225855</v>
      </c>
      <c r="D231" s="227">
        <f t="shared" si="59"/>
        <v>33.57763356330311</v>
      </c>
      <c r="E231" s="221">
        <f>('Pivot Table for Data Exchange'!$O$192)*100</f>
        <v>33.263114077288954</v>
      </c>
      <c r="F231" s="221">
        <f>('Pivot Table for Data Exchange'!$O$195)*100</f>
        <v>0.10051794378365098</v>
      </c>
      <c r="G231" s="223">
        <f>('Pivot Table for Data Exchange'!$O$198)*100</f>
        <v>0.21400154223050202</v>
      </c>
      <c r="H231" s="221">
        <f>('Pivot Table for Data Exchange'!$O$201)*100</f>
        <v>0</v>
      </c>
      <c r="I231" s="64"/>
      <c r="J231" s="64"/>
      <c r="K231" s="64"/>
      <c r="L231" s="64"/>
      <c r="M231" s="64"/>
      <c r="N231" s="64"/>
      <c r="O231" s="64"/>
      <c r="P231" s="81"/>
      <c r="Q231" s="97">
        <f t="shared" si="52"/>
        <v>100</v>
      </c>
      <c r="R231" s="97"/>
      <c r="Z231" s="63"/>
      <c r="AA231" s="63"/>
      <c r="AB231" s="63"/>
      <c r="AC231" s="63"/>
      <c r="AD231" s="63"/>
      <c r="AE231" s="63"/>
      <c r="AF231" s="63"/>
      <c r="AG231" s="63"/>
      <c r="AH231" s="63"/>
      <c r="AI231" s="63"/>
      <c r="AJ231" s="63"/>
      <c r="AK231" s="63"/>
      <c r="AL231" s="63"/>
      <c r="AM231" s="63"/>
      <c r="AN231" s="63"/>
      <c r="AO231" s="63"/>
    </row>
    <row r="232" spans="1:41" ht="15.75" customHeight="1">
      <c r="A232" s="65" t="s">
        <v>147</v>
      </c>
      <c r="B232" s="221">
        <f>('Pivot Table for Data Exchange'!$O$222)*100</f>
        <v>0</v>
      </c>
      <c r="C232" s="221">
        <f>('Pivot Table for Data Exchange'!$O$225)*100</f>
        <v>0</v>
      </c>
      <c r="D232" s="227">
        <f t="shared" si="59"/>
        <v>0</v>
      </c>
      <c r="E232" s="221">
        <f>('Pivot Table for Data Exchange'!$O$228)*100</f>
        <v>0</v>
      </c>
      <c r="F232" s="221">
        <f>('Pivot Table for Data Exchange'!$O$231)*100</f>
        <v>0</v>
      </c>
      <c r="G232" s="223">
        <f>('Pivot Table for Data Exchange'!$O$234)*100</f>
        <v>0</v>
      </c>
      <c r="H232" s="221">
        <f>('Pivot Table for Data Exchange'!$O$237)*100</f>
        <v>0</v>
      </c>
      <c r="I232" s="64"/>
      <c r="J232" s="64"/>
      <c r="K232" s="64"/>
      <c r="L232" s="64"/>
      <c r="M232" s="64"/>
      <c r="N232" s="64"/>
      <c r="O232" s="64"/>
      <c r="P232" s="81"/>
      <c r="Q232" s="97">
        <f t="shared" si="52"/>
        <v>0</v>
      </c>
      <c r="R232" s="97"/>
      <c r="Z232" s="63"/>
      <c r="AA232" s="63"/>
      <c r="AB232" s="63"/>
      <c r="AC232" s="63"/>
      <c r="AD232" s="63"/>
      <c r="AE232" s="63"/>
      <c r="AF232" s="63"/>
      <c r="AG232" s="63"/>
      <c r="AH232" s="63"/>
      <c r="AI232" s="63"/>
      <c r="AJ232" s="63"/>
      <c r="AK232" s="63"/>
      <c r="AL232" s="63"/>
      <c r="AM232" s="63"/>
      <c r="AN232" s="63"/>
      <c r="AO232" s="63"/>
    </row>
    <row r="233" spans="1:41" ht="15.75" customHeight="1">
      <c r="A233" s="65" t="s">
        <v>177</v>
      </c>
      <c r="B233" s="221">
        <f>('Pivot Table for Data Exchange'!$O$258)*100</f>
        <v>75.149534406065769</v>
      </c>
      <c r="C233" s="221">
        <f>('Pivot Table for Data Exchange'!$O$261)*100</f>
        <v>8.2278370022185445</v>
      </c>
      <c r="D233" s="227">
        <f t="shared" si="59"/>
        <v>16.622628591715689</v>
      </c>
      <c r="E233" s="221">
        <f>('Pivot Table for Data Exchange'!$O$264)*100</f>
        <v>16.440141680561656</v>
      </c>
      <c r="F233" s="221">
        <f>('Pivot Table for Data Exchange'!$O$267)*100</f>
        <v>0.18248691115403379</v>
      </c>
      <c r="G233" s="68">
        <f>('Pivot Table for Data Exchange'!$O$270)*100</f>
        <v>0</v>
      </c>
      <c r="H233" s="61">
        <f>('Pivot Table for Data Exchange'!$O$273)*100</f>
        <v>0</v>
      </c>
      <c r="I233" s="64"/>
      <c r="J233" s="64"/>
      <c r="K233" s="64"/>
      <c r="L233" s="64"/>
      <c r="M233" s="64"/>
      <c r="N233" s="64"/>
      <c r="O233" s="64"/>
      <c r="P233" s="81"/>
      <c r="Q233" s="97">
        <f t="shared" si="52"/>
        <v>100</v>
      </c>
      <c r="R233" s="97"/>
      <c r="Z233" s="63"/>
      <c r="AA233" s="63"/>
      <c r="AB233" s="63"/>
      <c r="AC233" s="63"/>
      <c r="AD233" s="63"/>
      <c r="AE233" s="63"/>
      <c r="AF233" s="63"/>
      <c r="AG233" s="63"/>
      <c r="AH233" s="63"/>
      <c r="AI233" s="63"/>
      <c r="AJ233" s="63"/>
      <c r="AK233" s="63"/>
      <c r="AL233" s="63"/>
      <c r="AM233" s="63"/>
      <c r="AN233" s="63"/>
      <c r="AO233" s="63"/>
    </row>
    <row r="234" spans="1:41" ht="15.75" customHeight="1">
      <c r="A234" s="65"/>
      <c r="B234" s="221"/>
      <c r="C234" s="221"/>
      <c r="D234" s="227"/>
      <c r="E234" s="221"/>
      <c r="F234" s="221"/>
      <c r="G234" s="223"/>
      <c r="H234" s="221"/>
      <c r="I234" s="64"/>
      <c r="J234" s="64"/>
      <c r="K234" s="64"/>
      <c r="L234" s="64"/>
      <c r="M234" s="64"/>
      <c r="N234" s="64"/>
      <c r="O234" s="64"/>
      <c r="P234" s="81"/>
      <c r="Q234" s="97">
        <f t="shared" si="52"/>
        <v>0</v>
      </c>
      <c r="R234" s="97"/>
      <c r="Z234" s="63"/>
      <c r="AA234" s="63"/>
      <c r="AB234" s="63"/>
      <c r="AC234" s="63"/>
      <c r="AD234" s="63"/>
      <c r="AE234" s="63"/>
      <c r="AF234" s="63"/>
      <c r="AG234" s="63"/>
      <c r="AH234" s="63"/>
      <c r="AI234" s="63"/>
      <c r="AJ234" s="63"/>
      <c r="AK234" s="63"/>
      <c r="AL234" s="63"/>
      <c r="AM234" s="63"/>
      <c r="AN234" s="63"/>
      <c r="AO234" s="63"/>
    </row>
    <row r="235" spans="1:41" ht="15.75" customHeight="1">
      <c r="A235" s="65" t="s">
        <v>179</v>
      </c>
      <c r="B235" s="221">
        <f>('Pivot Table for Data Exchange'!$O$294)*100</f>
        <v>79.924525341452167</v>
      </c>
      <c r="C235" s="221">
        <f>('Pivot Table for Data Exchange'!$O$297)*100</f>
        <v>0</v>
      </c>
      <c r="D235" s="227">
        <f t="shared" ref="D235:D237" si="60">SUM(E235:G235)</f>
        <v>20.075474658547829</v>
      </c>
      <c r="E235" s="221">
        <f>('Pivot Table for Data Exchange'!$O$300)*100</f>
        <v>20.075474658547829</v>
      </c>
      <c r="F235" s="221">
        <f>('Pivot Table for Data Exchange'!$O$303)*100</f>
        <v>0</v>
      </c>
      <c r="G235" s="223">
        <f>('Pivot Table for Data Exchange'!$O$306)*100</f>
        <v>0</v>
      </c>
      <c r="H235" s="221">
        <f>('Pivot Table for Data Exchange'!$O$309)*100</f>
        <v>0</v>
      </c>
      <c r="I235" s="64"/>
      <c r="J235" s="64"/>
      <c r="K235" s="64"/>
      <c r="L235" s="64"/>
      <c r="M235" s="64"/>
      <c r="N235" s="64"/>
      <c r="O235" s="64"/>
      <c r="P235" s="81"/>
      <c r="Q235" s="97">
        <f t="shared" si="52"/>
        <v>100</v>
      </c>
      <c r="R235" s="97"/>
      <c r="Z235" s="63"/>
      <c r="AA235" s="63"/>
      <c r="AB235" s="63"/>
      <c r="AC235" s="63"/>
      <c r="AD235" s="63"/>
      <c r="AE235" s="63"/>
      <c r="AF235" s="63"/>
      <c r="AG235" s="63"/>
      <c r="AH235" s="63"/>
      <c r="AI235" s="63"/>
      <c r="AJ235" s="63"/>
      <c r="AK235" s="63"/>
      <c r="AL235" s="63"/>
      <c r="AM235" s="63"/>
      <c r="AN235" s="63"/>
      <c r="AO235" s="63"/>
    </row>
    <row r="236" spans="1:41" ht="15.75" customHeight="1">
      <c r="A236" s="65" t="s">
        <v>149</v>
      </c>
      <c r="B236" s="221">
        <f>('Pivot Table for Data Exchange'!$O$330)*100</f>
        <v>61.970395615508814</v>
      </c>
      <c r="C236" s="221">
        <f>('Pivot Table for Data Exchange'!$O$333)*100</f>
        <v>1.644889135977375</v>
      </c>
      <c r="D236" s="227">
        <f t="shared" si="60"/>
        <v>36.384715248513814</v>
      </c>
      <c r="E236" s="221">
        <f>('Pivot Table for Data Exchange'!$O$336)*100</f>
        <v>35.840064229457987</v>
      </c>
      <c r="F236" s="221">
        <f>('Pivot Table for Data Exchange'!$O$339)*100</f>
        <v>0.45729575539154405</v>
      </c>
      <c r="G236" s="223">
        <f>('Pivot Table for Data Exchange'!$O$342)*100</f>
        <v>8.735526366428753E-2</v>
      </c>
      <c r="H236" s="221">
        <f>('Pivot Table for Data Exchange'!$O$345)*100</f>
        <v>0</v>
      </c>
      <c r="I236" s="64"/>
      <c r="J236" s="64"/>
      <c r="K236" s="64"/>
      <c r="L236" s="64"/>
      <c r="M236" s="64"/>
      <c r="N236" s="64"/>
      <c r="O236" s="64"/>
      <c r="P236" s="81"/>
      <c r="Q236" s="97">
        <f t="shared" si="52"/>
        <v>100</v>
      </c>
      <c r="R236" s="97"/>
      <c r="Z236" s="63"/>
      <c r="AA236" s="63"/>
      <c r="AB236" s="63"/>
      <c r="AC236" s="63"/>
      <c r="AD236" s="63"/>
      <c r="AE236" s="63"/>
      <c r="AF236" s="63"/>
      <c r="AG236" s="63"/>
      <c r="AH236" s="63"/>
      <c r="AI236" s="63"/>
      <c r="AJ236" s="63"/>
      <c r="AK236" s="63"/>
      <c r="AL236" s="63"/>
      <c r="AM236" s="63"/>
      <c r="AN236" s="63"/>
      <c r="AO236" s="63"/>
    </row>
    <row r="237" spans="1:41" ht="15.75" customHeight="1">
      <c r="A237" s="65" t="s">
        <v>150</v>
      </c>
      <c r="B237" s="221">
        <f>('Pivot Table for Data Exchange'!$O$366)*100</f>
        <v>69.090822271034284</v>
      </c>
      <c r="C237" s="221">
        <f>('Pivot Table for Data Exchange'!$O$369)*100</f>
        <v>6.4342025796263593</v>
      </c>
      <c r="D237" s="227">
        <f t="shared" si="60"/>
        <v>24.448611254961726</v>
      </c>
      <c r="E237" s="221">
        <f>('Pivot Table for Data Exchange'!$O$372)*100</f>
        <v>22.254355086684754</v>
      </c>
      <c r="F237" s="221">
        <f>('Pivot Table for Data Exchange'!$O$375)*100</f>
        <v>2.062436696388819</v>
      </c>
      <c r="G237" s="223">
        <f>('Pivot Table for Data Exchange'!$O$378)*100</f>
        <v>0.13181947188815252</v>
      </c>
      <c r="H237" s="67">
        <f>('Pivot Table for Data Exchange'!$O$381)*100</f>
        <v>2.6363894377630506E-2</v>
      </c>
      <c r="I237" s="64"/>
      <c r="J237" s="64"/>
      <c r="K237" s="64"/>
      <c r="L237" s="64"/>
      <c r="M237" s="64"/>
      <c r="N237" s="64"/>
      <c r="O237" s="64"/>
      <c r="P237" s="81"/>
      <c r="Q237" s="97">
        <f t="shared" si="52"/>
        <v>100</v>
      </c>
      <c r="R237" s="97"/>
      <c r="Z237" s="63"/>
      <c r="AA237" s="63"/>
      <c r="AB237" s="63"/>
      <c r="AC237" s="63"/>
      <c r="AD237" s="63"/>
      <c r="AE237" s="63"/>
      <c r="AF237" s="63"/>
      <c r="AG237" s="63"/>
      <c r="AH237" s="63"/>
      <c r="AI237" s="63"/>
      <c r="AJ237" s="63"/>
      <c r="AK237" s="63"/>
      <c r="AL237" s="63"/>
      <c r="AM237" s="63"/>
      <c r="AN237" s="63"/>
      <c r="AO237" s="63"/>
    </row>
    <row r="238" spans="1:41" ht="15.75" customHeight="1">
      <c r="A238" s="65" t="s">
        <v>151</v>
      </c>
      <c r="B238" s="221">
        <f>('Pivot Table for Data Exchange'!$O$402)*100</f>
        <v>75.165144664681875</v>
      </c>
      <c r="C238" s="221">
        <f>('Pivot Table for Data Exchange'!$O$405)*100</f>
        <v>4.9877516955413448</v>
      </c>
      <c r="D238" s="227">
        <f>SUM(E238:G238)</f>
        <v>19.847103639776787</v>
      </c>
      <c r="E238" s="221">
        <f>('Pivot Table for Data Exchange'!$O$408)*100</f>
        <v>18.946289050364562</v>
      </c>
      <c r="F238" s="221">
        <f>('Pivot Table for Data Exchange'!$O$411)*100</f>
        <v>0.76372016542727161</v>
      </c>
      <c r="G238" s="223">
        <f>('Pivot Table for Data Exchange'!$O$414)*100</f>
        <v>0.13709442398495009</v>
      </c>
      <c r="H238" s="221">
        <f>('Pivot Table for Data Exchange'!$O$417)*100</f>
        <v>0</v>
      </c>
      <c r="I238" s="64"/>
      <c r="J238" s="64"/>
      <c r="K238" s="64"/>
      <c r="L238" s="64"/>
      <c r="M238" s="64"/>
      <c r="N238" s="64"/>
      <c r="O238" s="64"/>
      <c r="P238" s="81"/>
      <c r="Q238" s="97">
        <f t="shared" si="52"/>
        <v>100.00000000000001</v>
      </c>
      <c r="R238" s="97"/>
      <c r="Z238" s="63"/>
      <c r="AA238" s="63"/>
      <c r="AB238" s="63"/>
      <c r="AC238" s="63"/>
      <c r="AD238" s="63"/>
      <c r="AE238" s="63"/>
      <c r="AF238" s="63"/>
      <c r="AG238" s="63"/>
      <c r="AH238" s="63"/>
      <c r="AI238" s="63"/>
      <c r="AJ238" s="63"/>
      <c r="AK238" s="63"/>
      <c r="AL238" s="63"/>
      <c r="AM238" s="63"/>
      <c r="AN238" s="63"/>
      <c r="AO238" s="63"/>
    </row>
    <row r="239" spans="1:41" ht="10.5" customHeight="1">
      <c r="A239" s="65"/>
      <c r="B239" s="221"/>
      <c r="C239" s="221"/>
      <c r="D239" s="227"/>
      <c r="E239" s="221"/>
      <c r="F239" s="221"/>
      <c r="G239" s="223"/>
      <c r="H239" s="221"/>
      <c r="I239" s="64"/>
      <c r="J239" s="64"/>
      <c r="K239" s="64"/>
      <c r="L239" s="64"/>
      <c r="M239" s="64"/>
      <c r="N239" s="64"/>
      <c r="O239" s="64"/>
      <c r="P239" s="81"/>
      <c r="Q239" s="97">
        <f t="shared" si="52"/>
        <v>0</v>
      </c>
      <c r="R239" s="97"/>
      <c r="Z239" s="63"/>
      <c r="AA239" s="63"/>
      <c r="AB239" s="63"/>
      <c r="AC239" s="63"/>
      <c r="AD239" s="63"/>
      <c r="AE239" s="63"/>
      <c r="AF239" s="63"/>
      <c r="AG239" s="63"/>
      <c r="AH239" s="63"/>
      <c r="AI239" s="63"/>
      <c r="AJ239" s="63"/>
      <c r="AK239" s="63"/>
      <c r="AL239" s="63"/>
      <c r="AM239" s="63"/>
      <c r="AN239" s="63"/>
      <c r="AO239" s="63"/>
    </row>
    <row r="240" spans="1:41" ht="15.75" customHeight="1">
      <c r="A240" s="65" t="s">
        <v>152</v>
      </c>
      <c r="B240" s="221">
        <f>('Pivot Table for Data Exchange'!$O$438)*100</f>
        <v>44.69356371292173</v>
      </c>
      <c r="C240" s="221">
        <f>('Pivot Table for Data Exchange'!$O$441)*100</f>
        <v>29.830153336381237</v>
      </c>
      <c r="D240" s="227">
        <f>SUM(E240:G240)</f>
        <v>25.307855139470323</v>
      </c>
      <c r="E240" s="221">
        <f>('Pivot Table for Data Exchange'!$O$444)*100</f>
        <v>18.70609260949886</v>
      </c>
      <c r="F240" s="221">
        <f>('Pivot Table for Data Exchange'!$O$447)*100</f>
        <v>1.9856480930767169</v>
      </c>
      <c r="G240" s="223">
        <f>('Pivot Table for Data Exchange'!$O$450)*100</f>
        <v>4.6161144368947484</v>
      </c>
      <c r="H240" s="221">
        <f>('Pivot Table for Data Exchange'!$O$453)*100</f>
        <v>0.16842781122670536</v>
      </c>
      <c r="I240" s="64"/>
      <c r="J240" s="64"/>
      <c r="K240" s="64"/>
      <c r="L240" s="64"/>
      <c r="M240" s="64"/>
      <c r="N240" s="64"/>
      <c r="O240" s="64"/>
      <c r="P240" s="81"/>
      <c r="Q240" s="97">
        <f t="shared" si="52"/>
        <v>100</v>
      </c>
      <c r="R240" s="97"/>
      <c r="Z240" s="63"/>
      <c r="AA240" s="63"/>
      <c r="AB240" s="63"/>
      <c r="AC240" s="63"/>
      <c r="AD240" s="63"/>
      <c r="AE240" s="63"/>
      <c r="AF240" s="63"/>
      <c r="AG240" s="63"/>
      <c r="AH240" s="63"/>
      <c r="AI240" s="63"/>
      <c r="AJ240" s="63"/>
      <c r="AK240" s="63"/>
      <c r="AL240" s="63"/>
      <c r="AM240" s="63"/>
      <c r="AN240" s="63"/>
      <c r="AO240" s="63"/>
    </row>
    <row r="241" spans="1:41" ht="15.75" customHeight="1">
      <c r="A241" s="65" t="s">
        <v>153</v>
      </c>
      <c r="B241" s="221">
        <f>('Pivot Table for Data Exchange'!$O$474)*100</f>
        <v>64.535492717824724</v>
      </c>
      <c r="C241" s="221">
        <f>('Pivot Table for Data Exchange'!$O$477)*100</f>
        <v>12.332239386441328</v>
      </c>
      <c r="D241" s="227">
        <f>SUM(E241:G241)</f>
        <v>23.13226789573395</v>
      </c>
      <c r="E241" s="221">
        <f>('Pivot Table for Data Exchange'!$O$480)*100</f>
        <v>22.383080958282115</v>
      </c>
      <c r="F241" s="221">
        <f>('Pivot Table for Data Exchange'!$O$483)*100</f>
        <v>0.47744529423823495</v>
      </c>
      <c r="G241" s="223">
        <f>('Pivot Table for Data Exchange'!$O$486)*100</f>
        <v>0.2717416432136005</v>
      </c>
      <c r="H241" s="221">
        <f>('Pivot Table for Data Exchange'!$O$489)*100</f>
        <v>0</v>
      </c>
      <c r="I241" s="64"/>
      <c r="J241" s="64"/>
      <c r="K241" s="64"/>
      <c r="L241" s="64"/>
      <c r="M241" s="64"/>
      <c r="N241" s="64"/>
      <c r="O241" s="64"/>
      <c r="P241" s="81"/>
      <c r="Q241" s="97">
        <f t="shared" si="52"/>
        <v>100</v>
      </c>
      <c r="R241" s="97"/>
      <c r="Z241" s="63"/>
      <c r="AA241" s="63"/>
      <c r="AB241" s="63"/>
      <c r="AC241" s="63"/>
      <c r="AD241" s="63"/>
      <c r="AE241" s="63"/>
      <c r="AF241" s="63"/>
      <c r="AG241" s="63"/>
      <c r="AH241" s="63"/>
      <c r="AI241" s="63"/>
      <c r="AJ241" s="63"/>
      <c r="AK241" s="63"/>
      <c r="AL241" s="63"/>
      <c r="AM241" s="63"/>
      <c r="AN241" s="63"/>
      <c r="AO241" s="63"/>
    </row>
    <row r="242" spans="1:41" ht="15.75" customHeight="1">
      <c r="A242" s="65" t="s">
        <v>154</v>
      </c>
      <c r="B242" s="221">
        <f>('Pivot Table for Data Exchange'!$O$510)*100</f>
        <v>60.582861653948193</v>
      </c>
      <c r="C242" s="221">
        <f>('Pivot Table for Data Exchange'!$O$513)*100</f>
        <v>11.917112974979851</v>
      </c>
      <c r="D242" s="227">
        <f t="shared" ref="D242" si="61">SUM(E242:G242)</f>
        <v>27.500025371071956</v>
      </c>
      <c r="E242" s="221">
        <f>('Pivot Table for Data Exchange'!$O$516)*100</f>
        <v>25.820647352248223</v>
      </c>
      <c r="F242" s="221">
        <f>('Pivot Table for Data Exchange'!$O$519)*100</f>
        <v>1.6793780188237331</v>
      </c>
      <c r="G242" s="223">
        <f>('Pivot Table for Data Exchange'!$O$522)*100</f>
        <v>0</v>
      </c>
      <c r="H242" s="221">
        <f>('Pivot Table for Data Exchange'!$O$525)*100</f>
        <v>0</v>
      </c>
      <c r="I242" s="64"/>
      <c r="J242" s="64"/>
      <c r="K242" s="64"/>
      <c r="L242" s="64"/>
      <c r="M242" s="64"/>
      <c r="N242" s="64"/>
      <c r="O242" s="64"/>
      <c r="P242" s="81"/>
      <c r="Q242" s="97">
        <f t="shared" si="52"/>
        <v>100</v>
      </c>
      <c r="R242" s="97"/>
      <c r="Z242" s="63"/>
      <c r="AA242" s="63"/>
      <c r="AB242" s="63"/>
      <c r="AC242" s="63"/>
      <c r="AD242" s="63"/>
      <c r="AE242" s="63"/>
      <c r="AF242" s="63"/>
      <c r="AG242" s="63"/>
      <c r="AH242" s="63"/>
      <c r="AI242" s="63"/>
      <c r="AJ242" s="63"/>
      <c r="AK242" s="63"/>
      <c r="AL242" s="63"/>
      <c r="AM242" s="63"/>
      <c r="AN242" s="63"/>
      <c r="AO242" s="63"/>
    </row>
    <row r="243" spans="1:41" ht="15.75" customHeight="1">
      <c r="A243" s="39" t="s">
        <v>155</v>
      </c>
      <c r="B243" s="224">
        <f>('Pivot Table for Data Exchange'!$O$546)*100</f>
        <v>61.895307927405455</v>
      </c>
      <c r="C243" s="224">
        <f>('Pivot Table for Data Exchange'!$O$549)*100</f>
        <v>17.075601184328832</v>
      </c>
      <c r="D243" s="228">
        <f>SUM(E243:G243)</f>
        <v>21.029090888265713</v>
      </c>
      <c r="E243" s="224">
        <f>('Pivot Table for Data Exchange'!$O$552)*100</f>
        <v>19.025429471919914</v>
      </c>
      <c r="F243" s="224">
        <f>('Pivot Table for Data Exchange'!$O$555)*100</f>
        <v>1.7024249724630185</v>
      </c>
      <c r="G243" s="225">
        <f>('Pivot Table for Data Exchange'!$O$558)*100</f>
        <v>0.3012364438827812</v>
      </c>
      <c r="H243" s="224">
        <f>('Pivot Table for Data Exchange'!$O$561)*100</f>
        <v>0</v>
      </c>
      <c r="I243" s="64"/>
      <c r="J243" s="64"/>
      <c r="K243" s="64"/>
      <c r="L243" s="64"/>
      <c r="M243" s="64"/>
      <c r="N243" s="64"/>
      <c r="O243" s="64"/>
      <c r="P243" s="81"/>
      <c r="Q243" s="97">
        <f t="shared" si="52"/>
        <v>100</v>
      </c>
      <c r="R243" s="97"/>
      <c r="Z243" s="63"/>
      <c r="AA243" s="63"/>
      <c r="AB243" s="63"/>
      <c r="AC243" s="63"/>
      <c r="AD243" s="63"/>
      <c r="AE243" s="63"/>
      <c r="AF243" s="63"/>
      <c r="AG243" s="63"/>
      <c r="AH243" s="63"/>
      <c r="AI243" s="63"/>
      <c r="AJ243" s="63"/>
      <c r="AK243" s="63"/>
      <c r="AL243" s="63"/>
      <c r="AM243" s="63"/>
      <c r="AN243" s="63"/>
      <c r="AO243" s="63"/>
    </row>
    <row r="244" spans="1:41" s="25" customFormat="1" ht="14.25" customHeight="1">
      <c r="A244" s="691" t="s">
        <v>175</v>
      </c>
      <c r="B244" s="69"/>
      <c r="C244" s="69"/>
      <c r="D244" s="70"/>
      <c r="E244" s="69"/>
      <c r="F244" s="70"/>
      <c r="G244" s="70"/>
      <c r="H244" s="69"/>
      <c r="I244" s="24"/>
      <c r="J244" s="69"/>
      <c r="K244" s="69"/>
      <c r="L244" s="70"/>
      <c r="M244" s="69"/>
      <c r="N244" s="70"/>
      <c r="O244" s="70"/>
      <c r="P244" s="69"/>
      <c r="Q244" s="97">
        <f t="shared" si="52"/>
        <v>0</v>
      </c>
      <c r="R244" s="10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row>
    <row r="245" spans="1:41" s="25" customFormat="1" ht="24" customHeight="1">
      <c r="A245" s="666" t="s">
        <v>180</v>
      </c>
      <c r="B245" s="693"/>
      <c r="C245" s="693"/>
      <c r="D245" s="693"/>
      <c r="E245" s="693"/>
      <c r="F245" s="693"/>
      <c r="G245" s="693"/>
      <c r="H245" s="693"/>
      <c r="I245" s="24"/>
      <c r="P245" s="77"/>
      <c r="Q245" s="97">
        <f t="shared" si="52"/>
        <v>0</v>
      </c>
      <c r="R245" s="106"/>
    </row>
    <row r="246" spans="1:41" ht="12" customHeight="1">
      <c r="A246" s="65"/>
      <c r="B246" s="83"/>
      <c r="C246" s="83"/>
      <c r="D246" s="84"/>
      <c r="E246" s="83"/>
      <c r="F246" s="84"/>
      <c r="G246" s="84"/>
      <c r="H246" s="83"/>
      <c r="I246" s="65"/>
      <c r="J246" s="83"/>
      <c r="K246" s="83"/>
      <c r="L246" s="84"/>
      <c r="M246" s="83"/>
      <c r="N246" s="84"/>
      <c r="O246" s="84"/>
      <c r="P246" s="83"/>
      <c r="Q246" s="97">
        <f t="shared" si="52"/>
        <v>0</v>
      </c>
      <c r="R246" s="97"/>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row>
    <row r="247" spans="1:41" s="25" customFormat="1">
      <c r="H247" s="27" t="s">
        <v>899</v>
      </c>
      <c r="I247" s="26"/>
      <c r="J247" s="26"/>
      <c r="K247" s="26"/>
      <c r="L247" s="26"/>
      <c r="M247" s="26"/>
      <c r="N247" s="26"/>
      <c r="O247" s="26"/>
      <c r="P247" s="26"/>
      <c r="Q247" s="97">
        <f t="shared" si="52"/>
        <v>0</v>
      </c>
      <c r="R247" s="105"/>
    </row>
    <row r="248" spans="1:41" ht="18">
      <c r="A248" s="16" t="s">
        <v>208</v>
      </c>
      <c r="B248" s="34"/>
      <c r="C248" s="34"/>
      <c r="D248" s="34"/>
      <c r="E248" s="34"/>
      <c r="F248" s="34"/>
      <c r="G248" s="34"/>
      <c r="H248" s="35"/>
      <c r="I248" s="80"/>
      <c r="J248" s="65"/>
      <c r="K248" s="65"/>
      <c r="L248" s="65"/>
      <c r="M248" s="65"/>
      <c r="N248" s="65"/>
      <c r="O248" s="65"/>
      <c r="P248" s="65"/>
      <c r="Q248" s="97">
        <f t="shared" si="52"/>
        <v>0</v>
      </c>
    </row>
    <row r="249" spans="1:41">
      <c r="A249" s="18"/>
      <c r="B249" s="19"/>
      <c r="C249" s="19"/>
      <c r="D249" s="19"/>
      <c r="E249" s="19"/>
      <c r="F249" s="19"/>
      <c r="G249" s="19"/>
      <c r="H249" s="36"/>
      <c r="I249" s="80"/>
      <c r="J249" s="65"/>
      <c r="K249" s="65"/>
      <c r="L249" s="65"/>
      <c r="M249" s="65"/>
      <c r="N249" s="65"/>
      <c r="O249" s="65"/>
      <c r="P249" s="65"/>
      <c r="Q249" s="97">
        <f t="shared" si="52"/>
        <v>0</v>
      </c>
    </row>
    <row r="250" spans="1:41" ht="15.75">
      <c r="A250" s="37" t="s">
        <v>162</v>
      </c>
      <c r="B250" s="19"/>
      <c r="C250" s="19"/>
      <c r="D250" s="19"/>
      <c r="E250" s="19"/>
      <c r="F250" s="19"/>
      <c r="G250" s="19"/>
      <c r="H250" s="36"/>
      <c r="I250" s="80"/>
      <c r="J250" s="65"/>
      <c r="K250" s="65"/>
      <c r="L250" s="65"/>
      <c r="M250" s="65"/>
      <c r="N250" s="65"/>
      <c r="O250" s="65"/>
      <c r="P250" s="65"/>
      <c r="Q250" s="97">
        <f t="shared" si="52"/>
        <v>0</v>
      </c>
    </row>
    <row r="251" spans="1:41" ht="15.75">
      <c r="A251" s="37" t="s">
        <v>272</v>
      </c>
      <c r="B251" s="19"/>
      <c r="C251" s="19"/>
      <c r="D251" s="19"/>
      <c r="E251" s="19"/>
      <c r="F251" s="19"/>
      <c r="G251" s="19"/>
      <c r="H251" s="36"/>
      <c r="I251" s="80"/>
      <c r="J251" s="65"/>
      <c r="K251" s="65"/>
      <c r="L251" s="65"/>
      <c r="M251" s="65"/>
      <c r="N251" s="65"/>
      <c r="O251" s="65"/>
      <c r="P251" s="65"/>
      <c r="Q251" s="97">
        <f t="shared" si="52"/>
        <v>0</v>
      </c>
    </row>
    <row r="252" spans="1:41">
      <c r="A252" s="39"/>
      <c r="B252" s="40"/>
      <c r="C252" s="40"/>
      <c r="D252" s="40"/>
      <c r="E252" s="40"/>
      <c r="F252" s="40"/>
      <c r="G252" s="40"/>
      <c r="H252" s="40"/>
      <c r="I252" s="80"/>
      <c r="J252" s="65"/>
      <c r="K252" s="65"/>
      <c r="L252" s="65"/>
      <c r="M252" s="65"/>
      <c r="N252" s="65"/>
      <c r="O252" s="65"/>
      <c r="P252" s="65"/>
      <c r="Q252" s="97">
        <f t="shared" si="52"/>
        <v>0</v>
      </c>
    </row>
    <row r="253" spans="1:41">
      <c r="A253" s="43"/>
      <c r="B253" s="44" t="s">
        <v>164</v>
      </c>
      <c r="C253" s="44"/>
      <c r="D253" s="44"/>
      <c r="E253" s="44"/>
      <c r="F253" s="44"/>
      <c r="G253" s="44"/>
      <c r="H253" s="45"/>
      <c r="I253" s="80"/>
      <c r="J253" s="65"/>
      <c r="K253" s="65"/>
      <c r="L253" s="65"/>
      <c r="M253" s="65"/>
      <c r="N253" s="65"/>
      <c r="O253" s="65"/>
      <c r="P253" s="65"/>
      <c r="Q253" s="97">
        <f t="shared" si="52"/>
        <v>0</v>
      </c>
    </row>
    <row r="254" spans="1:41">
      <c r="A254" s="43"/>
      <c r="B254" s="44" t="s">
        <v>165</v>
      </c>
      <c r="C254" s="44"/>
      <c r="D254" s="670" t="s">
        <v>166</v>
      </c>
      <c r="E254" s="668"/>
      <c r="F254" s="668"/>
      <c r="G254" s="668"/>
      <c r="H254" s="49" t="s">
        <v>39</v>
      </c>
      <c r="I254" s="80"/>
      <c r="J254" s="65"/>
      <c r="K254" s="65"/>
      <c r="L254" s="65"/>
      <c r="M254" s="65"/>
      <c r="N254" s="65"/>
      <c r="O254" s="65"/>
      <c r="P254" s="65"/>
      <c r="Q254" s="97">
        <f t="shared" si="52"/>
        <v>0</v>
      </c>
    </row>
    <row r="255" spans="1:41" ht="36">
      <c r="A255" s="43"/>
      <c r="B255" s="50" t="s">
        <v>167</v>
      </c>
      <c r="C255" s="51" t="s">
        <v>168</v>
      </c>
      <c r="D255" s="52" t="s">
        <v>169</v>
      </c>
      <c r="E255" s="53" t="s">
        <v>7</v>
      </c>
      <c r="F255" s="50" t="s">
        <v>170</v>
      </c>
      <c r="G255" s="54" t="s">
        <v>171</v>
      </c>
      <c r="H255" s="55" t="s">
        <v>172</v>
      </c>
      <c r="I255" s="80"/>
      <c r="J255" s="65"/>
      <c r="K255" s="65"/>
      <c r="L255" s="65"/>
      <c r="M255" s="65"/>
      <c r="N255" s="65"/>
      <c r="O255" s="65"/>
      <c r="P255" s="65"/>
      <c r="Q255" s="97">
        <f t="shared" si="52"/>
        <v>0</v>
      </c>
    </row>
    <row r="256" spans="1:41" ht="15.75" customHeight="1">
      <c r="A256" s="62" t="s">
        <v>141</v>
      </c>
      <c r="B256" s="221">
        <f>('Pivot Table for Data Exchange'!$K$6)*100</f>
        <v>0</v>
      </c>
      <c r="C256" s="221">
        <f>('Pivot Table for Data Exchange'!$K$9)*100</f>
        <v>0</v>
      </c>
      <c r="D256" s="227">
        <f>SUM(E256:G256)</f>
        <v>0</v>
      </c>
      <c r="E256" s="221">
        <f>('Pivot Table for Data Exchange'!$K$12)*100</f>
        <v>0</v>
      </c>
      <c r="F256" s="221">
        <f>('Pivot Table for Data Exchange'!$K$15)*100</f>
        <v>0</v>
      </c>
      <c r="G256" s="60">
        <f>('Pivot Table for Data Exchange'!$K$18)*100</f>
        <v>0</v>
      </c>
      <c r="H256" s="221">
        <f>('Pivot Table for Data Exchange'!$K$21)*100</f>
        <v>0</v>
      </c>
      <c r="I256" s="65"/>
      <c r="J256" s="81"/>
      <c r="K256" s="81"/>
      <c r="L256" s="81"/>
      <c r="M256" s="81"/>
      <c r="N256" s="81"/>
      <c r="O256" s="81"/>
      <c r="P256" s="81"/>
      <c r="Q256" s="97">
        <f t="shared" si="52"/>
        <v>0</v>
      </c>
      <c r="R256" s="97"/>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row>
    <row r="257" spans="1:41" ht="15.75" customHeight="1">
      <c r="A257" s="65" t="s">
        <v>142</v>
      </c>
      <c r="B257" s="221">
        <f>('Pivot Table for Data Exchange'!$K$42)*100</f>
        <v>0</v>
      </c>
      <c r="C257" s="221">
        <f>('Pivot Table for Data Exchange'!$K$45)*100</f>
        <v>0</v>
      </c>
      <c r="D257" s="227">
        <f t="shared" ref="D257:D259" si="62">SUM(E257:G257)</f>
        <v>0</v>
      </c>
      <c r="E257" s="221">
        <f>('Pivot Table for Data Exchange'!$K$48)*100</f>
        <v>0</v>
      </c>
      <c r="F257" s="221">
        <f>('Pivot Table for Data Exchange'!$K$51)*100</f>
        <v>0</v>
      </c>
      <c r="G257" s="223">
        <f>('Pivot Table for Data Exchange'!$K$54)*100</f>
        <v>0</v>
      </c>
      <c r="H257" s="221">
        <f>('Pivot Table for Data Exchange'!$K$57)*100</f>
        <v>0</v>
      </c>
      <c r="I257" s="65"/>
      <c r="J257" s="81"/>
      <c r="K257" s="81"/>
      <c r="L257" s="81"/>
      <c r="M257" s="81"/>
      <c r="N257" s="81"/>
      <c r="O257" s="81"/>
      <c r="P257" s="81"/>
      <c r="Q257" s="97">
        <f t="shared" si="52"/>
        <v>0</v>
      </c>
      <c r="R257" s="97"/>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row>
    <row r="258" spans="1:41" ht="15.75" customHeight="1">
      <c r="A258" s="65" t="s">
        <v>143</v>
      </c>
      <c r="B258" s="221">
        <f>('Pivot Table for Data Exchange'!$K$78)*100</f>
        <v>0</v>
      </c>
      <c r="C258" s="221">
        <f>('Pivot Table for Data Exchange'!$K$81)*100</f>
        <v>0</v>
      </c>
      <c r="D258" s="227">
        <f t="shared" si="62"/>
        <v>0</v>
      </c>
      <c r="E258" s="221">
        <f>('Pivot Table for Data Exchange'!$K$84)*100</f>
        <v>0</v>
      </c>
      <c r="F258" s="221">
        <f>('Pivot Table for Data Exchange'!$K$87)*100</f>
        <v>0</v>
      </c>
      <c r="G258" s="223">
        <f>('Pivot Table for Data Exchange'!$K$90)*100</f>
        <v>0</v>
      </c>
      <c r="H258" s="221">
        <f>('Pivot Table for Data Exchange'!$K$93)*100</f>
        <v>0</v>
      </c>
      <c r="I258" s="65"/>
      <c r="J258" s="81"/>
      <c r="K258" s="81"/>
      <c r="L258" s="81"/>
      <c r="M258" s="81"/>
      <c r="N258" s="81"/>
      <c r="O258" s="81"/>
      <c r="P258" s="81"/>
      <c r="Q258" s="97">
        <f t="shared" si="52"/>
        <v>0</v>
      </c>
      <c r="R258" s="97"/>
      <c r="S258" s="63"/>
      <c r="T258" s="74"/>
      <c r="U258" s="63"/>
      <c r="V258" s="63"/>
      <c r="W258" s="63"/>
      <c r="X258" s="63"/>
      <c r="Y258" s="63"/>
      <c r="Z258" s="63"/>
      <c r="AA258" s="63"/>
      <c r="AB258" s="63"/>
      <c r="AC258" s="63"/>
      <c r="AD258" s="63"/>
      <c r="AE258" s="63"/>
      <c r="AF258" s="63"/>
      <c r="AG258" s="63"/>
      <c r="AH258" s="63"/>
      <c r="AI258" s="63"/>
      <c r="AJ258" s="63"/>
      <c r="AK258" s="63"/>
      <c r="AL258" s="63"/>
      <c r="AM258" s="63"/>
      <c r="AN258" s="63"/>
      <c r="AO258" s="63"/>
    </row>
    <row r="259" spans="1:41" ht="15.75" customHeight="1">
      <c r="A259" s="65" t="s">
        <v>174</v>
      </c>
      <c r="B259" s="221">
        <f>('Pivot Table for Data Exchange'!$K$114)*100</f>
        <v>76.694712233059832</v>
      </c>
      <c r="C259" s="221">
        <f>('Pivot Table for Data Exchange'!$K$117)*100</f>
        <v>3.4953868582808405</v>
      </c>
      <c r="D259" s="227">
        <f t="shared" si="62"/>
        <v>19.752904508338684</v>
      </c>
      <c r="E259" s="221">
        <f>('Pivot Table for Data Exchange'!$K$120)*100</f>
        <v>18.765345082429572</v>
      </c>
      <c r="F259" s="221">
        <f>('Pivot Table for Data Exchange'!$K$123)*100</f>
        <v>0.9066384355558833</v>
      </c>
      <c r="G259" s="223">
        <f>('Pivot Table for Data Exchange'!$K$126)*100</f>
        <v>8.092099035322807E-2</v>
      </c>
      <c r="H259" s="221">
        <f>('Pivot Table for Data Exchange'!$K$129)*100</f>
        <v>5.6996400320649065E-2</v>
      </c>
      <c r="I259" s="65"/>
      <c r="J259" s="81"/>
      <c r="K259" s="81"/>
      <c r="L259" s="81"/>
      <c r="M259" s="81"/>
      <c r="N259" s="81"/>
      <c r="O259" s="81"/>
      <c r="P259" s="81"/>
      <c r="Q259" s="97">
        <f t="shared" si="52"/>
        <v>100</v>
      </c>
      <c r="R259" s="97"/>
      <c r="S259" s="63"/>
      <c r="U259" s="63"/>
      <c r="V259" s="63"/>
      <c r="W259" s="63"/>
      <c r="X259" s="63"/>
      <c r="Y259" s="63"/>
      <c r="Z259" s="63"/>
      <c r="AA259" s="63"/>
      <c r="AB259" s="63"/>
      <c r="AC259" s="63"/>
      <c r="AD259" s="63"/>
      <c r="AE259" s="63"/>
      <c r="AF259" s="63"/>
      <c r="AG259" s="63"/>
      <c r="AH259" s="63"/>
      <c r="AI259" s="63"/>
      <c r="AJ259" s="63"/>
      <c r="AK259" s="63"/>
      <c r="AL259" s="63"/>
      <c r="AM259" s="63"/>
      <c r="AN259" s="63"/>
      <c r="AO259" s="63"/>
    </row>
    <row r="260" spans="1:41" ht="15.75" customHeight="1">
      <c r="A260" s="65"/>
      <c r="B260" s="221"/>
      <c r="C260" s="221"/>
      <c r="D260" s="227"/>
      <c r="E260" s="221"/>
      <c r="F260" s="221"/>
      <c r="G260" s="223"/>
      <c r="H260" s="221"/>
      <c r="I260" s="65"/>
      <c r="J260" s="81"/>
      <c r="K260" s="81"/>
      <c r="L260" s="81"/>
      <c r="M260" s="81"/>
      <c r="N260" s="81"/>
      <c r="O260" s="81"/>
      <c r="P260" s="81"/>
      <c r="Q260" s="97">
        <f t="shared" si="52"/>
        <v>0</v>
      </c>
      <c r="R260" s="97"/>
      <c r="S260" s="63"/>
      <c r="U260" s="63"/>
      <c r="V260" s="63"/>
      <c r="W260" s="63"/>
      <c r="X260" s="63"/>
      <c r="Y260" s="63"/>
      <c r="Z260" s="63"/>
      <c r="AA260" s="63"/>
      <c r="AB260" s="63"/>
      <c r="AC260" s="63"/>
      <c r="AD260" s="63"/>
      <c r="AE260" s="63"/>
      <c r="AF260" s="63"/>
      <c r="AG260" s="63"/>
      <c r="AH260" s="63"/>
      <c r="AI260" s="63"/>
      <c r="AJ260" s="63"/>
      <c r="AK260" s="63"/>
      <c r="AL260" s="63"/>
      <c r="AM260" s="63"/>
      <c r="AN260" s="63"/>
      <c r="AO260" s="63"/>
    </row>
    <row r="261" spans="1:41" ht="15.75" customHeight="1">
      <c r="A261" s="65" t="s">
        <v>145</v>
      </c>
      <c r="B261" s="221">
        <f>('Pivot Table for Data Exchange'!$K$150)*100</f>
        <v>0</v>
      </c>
      <c r="C261" s="221">
        <f>('Pivot Table for Data Exchange'!$K$153)*100</f>
        <v>0</v>
      </c>
      <c r="D261" s="227">
        <f t="shared" ref="D261:D264" si="63">SUM(E261:G261)</f>
        <v>0</v>
      </c>
      <c r="E261" s="221">
        <f>('Pivot Table for Data Exchange'!$K$156)*100</f>
        <v>0</v>
      </c>
      <c r="F261" s="221">
        <f>('Pivot Table for Data Exchange'!$K$159)*100</f>
        <v>0</v>
      </c>
      <c r="G261" s="223">
        <f>('Pivot Table for Data Exchange'!$K$162)*100</f>
        <v>0</v>
      </c>
      <c r="H261" s="221">
        <f>('Pivot Table for Data Exchange'!$K$165)*100</f>
        <v>0</v>
      </c>
      <c r="I261" s="65"/>
      <c r="J261" s="81"/>
      <c r="K261" s="81"/>
      <c r="L261" s="81"/>
      <c r="M261" s="81"/>
      <c r="N261" s="81"/>
      <c r="O261" s="81"/>
      <c r="P261" s="81"/>
      <c r="Q261" s="97">
        <f t="shared" si="52"/>
        <v>0</v>
      </c>
      <c r="R261" s="97"/>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row>
    <row r="262" spans="1:41" ht="15.75" customHeight="1">
      <c r="A262" s="65" t="s">
        <v>146</v>
      </c>
      <c r="B262" s="221">
        <f>('Pivot Table for Data Exchange'!$K$186)*100</f>
        <v>0</v>
      </c>
      <c r="C262" s="221">
        <f>('Pivot Table for Data Exchange'!$K$189)*100</f>
        <v>0</v>
      </c>
      <c r="D262" s="227">
        <f t="shared" si="63"/>
        <v>0</v>
      </c>
      <c r="E262" s="221">
        <f>('Pivot Table for Data Exchange'!$K$192)*100</f>
        <v>0</v>
      </c>
      <c r="F262" s="221">
        <f>('Pivot Table for Data Exchange'!$K$195)*100</f>
        <v>0</v>
      </c>
      <c r="G262" s="223">
        <f>('Pivot Table for Data Exchange'!$K$198)*100</f>
        <v>0</v>
      </c>
      <c r="H262" s="221">
        <f>('Pivot Table for Data Exchange'!$K$201)*100</f>
        <v>0</v>
      </c>
      <c r="I262" s="65"/>
      <c r="J262" s="81"/>
      <c r="K262" s="81"/>
      <c r="L262" s="81"/>
      <c r="M262" s="81"/>
      <c r="N262" s="81"/>
      <c r="O262" s="81"/>
      <c r="P262" s="81"/>
      <c r="Q262" s="97">
        <f t="shared" si="52"/>
        <v>0</v>
      </c>
      <c r="R262" s="97"/>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row>
    <row r="263" spans="1:41" ht="15.75" customHeight="1">
      <c r="A263" s="65" t="s">
        <v>147</v>
      </c>
      <c r="B263" s="221">
        <f>('Pivot Table for Data Exchange'!$K$222)*100</f>
        <v>0</v>
      </c>
      <c r="C263" s="221">
        <f>('Pivot Table for Data Exchange'!$K$225)*100</f>
        <v>0</v>
      </c>
      <c r="D263" s="227">
        <f t="shared" si="63"/>
        <v>0</v>
      </c>
      <c r="E263" s="221">
        <f>('Pivot Table for Data Exchange'!$K$228)*100</f>
        <v>0</v>
      </c>
      <c r="F263" s="221">
        <f>('Pivot Table for Data Exchange'!$K$231)*100</f>
        <v>0</v>
      </c>
      <c r="G263" s="223">
        <f>('Pivot Table for Data Exchange'!$K$234)*100</f>
        <v>0</v>
      </c>
      <c r="H263" s="221">
        <f>('Pivot Table for Data Exchange'!$K$237)*100</f>
        <v>0</v>
      </c>
      <c r="I263" s="65"/>
      <c r="J263" s="81"/>
      <c r="K263" s="81"/>
      <c r="L263" s="81"/>
      <c r="M263" s="81"/>
      <c r="N263" s="81"/>
      <c r="O263" s="81"/>
      <c r="P263" s="81"/>
      <c r="Q263" s="97">
        <f t="shared" si="52"/>
        <v>0</v>
      </c>
      <c r="R263" s="97"/>
      <c r="S263" s="63"/>
      <c r="T263" s="74"/>
      <c r="U263" s="63"/>
      <c r="V263" s="63"/>
      <c r="W263" s="63"/>
      <c r="X263" s="63"/>
      <c r="Y263" s="63"/>
      <c r="Z263" s="63"/>
      <c r="AA263" s="63"/>
      <c r="AB263" s="63"/>
      <c r="AC263" s="63"/>
      <c r="AD263" s="63"/>
      <c r="AE263" s="63"/>
      <c r="AF263" s="63"/>
      <c r="AG263" s="63"/>
      <c r="AH263" s="63"/>
      <c r="AI263" s="63"/>
      <c r="AJ263" s="63"/>
      <c r="AK263" s="63"/>
      <c r="AL263" s="63"/>
      <c r="AM263" s="63"/>
      <c r="AN263" s="63"/>
      <c r="AO263" s="63"/>
    </row>
    <row r="264" spans="1:41" ht="15.75" customHeight="1">
      <c r="A264" s="65" t="s">
        <v>177</v>
      </c>
      <c r="B264" s="221">
        <f>('Pivot Table for Data Exchange'!$K$258)*100</f>
        <v>0</v>
      </c>
      <c r="C264" s="221">
        <f>('Pivot Table for Data Exchange'!$K$261)*100</f>
        <v>0</v>
      </c>
      <c r="D264" s="227">
        <f t="shared" si="63"/>
        <v>0</v>
      </c>
      <c r="E264" s="221">
        <f>('Pivot Table for Data Exchange'!$K$264)*100</f>
        <v>0</v>
      </c>
      <c r="F264" s="221">
        <f>('Pivot Table for Data Exchange'!$K$267)*100</f>
        <v>0</v>
      </c>
      <c r="G264" s="223">
        <f>('Pivot Table for Data Exchange'!$K$270)*100</f>
        <v>0</v>
      </c>
      <c r="H264" s="221">
        <f>('Pivot Table for Data Exchange'!$K$273)*100</f>
        <v>0</v>
      </c>
      <c r="I264" s="65"/>
      <c r="J264" s="81"/>
      <c r="K264" s="81"/>
      <c r="L264" s="81"/>
      <c r="M264" s="81"/>
      <c r="N264" s="81"/>
      <c r="O264" s="81"/>
      <c r="P264" s="81"/>
      <c r="Q264" s="97">
        <f t="shared" si="52"/>
        <v>0</v>
      </c>
      <c r="R264" s="97"/>
      <c r="S264" s="63"/>
      <c r="U264" s="63"/>
      <c r="V264" s="63"/>
      <c r="W264" s="63"/>
      <c r="X264" s="63"/>
      <c r="Y264" s="63"/>
      <c r="Z264" s="63"/>
      <c r="AA264" s="63"/>
      <c r="AB264" s="63"/>
      <c r="AC264" s="63"/>
      <c r="AD264" s="63"/>
      <c r="AE264" s="63"/>
      <c r="AF264" s="63"/>
      <c r="AG264" s="63"/>
      <c r="AH264" s="63"/>
      <c r="AI264" s="63"/>
      <c r="AJ264" s="63"/>
      <c r="AK264" s="63"/>
      <c r="AL264" s="63"/>
      <c r="AM264" s="63"/>
      <c r="AN264" s="63"/>
      <c r="AO264" s="63"/>
    </row>
    <row r="265" spans="1:41" ht="15.75" customHeight="1">
      <c r="A265" s="65"/>
      <c r="B265" s="221"/>
      <c r="C265" s="221"/>
      <c r="D265" s="227"/>
      <c r="E265" s="221"/>
      <c r="F265" s="221"/>
      <c r="G265" s="223"/>
      <c r="H265" s="221"/>
      <c r="I265" s="65"/>
      <c r="J265" s="81"/>
      <c r="K265" s="81"/>
      <c r="L265" s="81"/>
      <c r="M265" s="81"/>
      <c r="N265" s="81"/>
      <c r="O265" s="81"/>
      <c r="P265" s="81"/>
      <c r="Q265" s="97">
        <f t="shared" si="52"/>
        <v>0</v>
      </c>
      <c r="R265" s="97"/>
      <c r="S265" s="63"/>
      <c r="U265" s="63"/>
      <c r="V265" s="63"/>
      <c r="W265" s="63"/>
      <c r="X265" s="63"/>
      <c r="Y265" s="63"/>
      <c r="Z265" s="63"/>
      <c r="AA265" s="63"/>
      <c r="AB265" s="63"/>
      <c r="AC265" s="63"/>
      <c r="AD265" s="63"/>
      <c r="AE265" s="63"/>
      <c r="AF265" s="63"/>
      <c r="AG265" s="63"/>
      <c r="AH265" s="63"/>
      <c r="AI265" s="63"/>
      <c r="AJ265" s="63"/>
      <c r="AK265" s="63"/>
      <c r="AL265" s="63"/>
      <c r="AM265" s="63"/>
      <c r="AN265" s="63"/>
      <c r="AO265" s="63"/>
    </row>
    <row r="266" spans="1:41" ht="15.75" customHeight="1">
      <c r="A266" s="65" t="s">
        <v>148</v>
      </c>
      <c r="B266" s="221">
        <f>('Pivot Table for Data Exchange'!$K$294)*100</f>
        <v>0</v>
      </c>
      <c r="C266" s="221">
        <f>('Pivot Table for Data Exchange'!$K$297)*100</f>
        <v>0</v>
      </c>
      <c r="D266" s="227">
        <f t="shared" ref="D266:D268" si="64">SUM(E266:G266)</f>
        <v>0</v>
      </c>
      <c r="E266" s="221">
        <f>('Pivot Table for Data Exchange'!$K$300)*100</f>
        <v>0</v>
      </c>
      <c r="F266" s="221">
        <f>('Pivot Table for Data Exchange'!$K$303)*100</f>
        <v>0</v>
      </c>
      <c r="G266" s="223">
        <f>('Pivot Table for Data Exchange'!$K$306)*100</f>
        <v>0</v>
      </c>
      <c r="H266" s="221">
        <f>('Pivot Table for Data Exchange'!$K$309)*100</f>
        <v>0</v>
      </c>
      <c r="I266" s="65"/>
      <c r="J266" s="81"/>
      <c r="K266" s="81"/>
      <c r="L266" s="81"/>
      <c r="M266" s="81"/>
      <c r="N266" s="81"/>
      <c r="O266" s="81"/>
      <c r="P266" s="81"/>
      <c r="Q266" s="97">
        <f t="shared" ref="Q266:Q329" si="65">SUM(B266,C266,D266,H266)</f>
        <v>0</v>
      </c>
      <c r="R266" s="97"/>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row>
    <row r="267" spans="1:41" ht="15.75" customHeight="1">
      <c r="A267" s="65" t="s">
        <v>149</v>
      </c>
      <c r="B267" s="221">
        <f>('Pivot Table for Data Exchange'!$K$330)*100</f>
        <v>0</v>
      </c>
      <c r="C267" s="221">
        <f>('Pivot Table for Data Exchange'!$K$333)*100</f>
        <v>0</v>
      </c>
      <c r="D267" s="227">
        <f t="shared" si="64"/>
        <v>0</v>
      </c>
      <c r="E267" s="221">
        <f>('Pivot Table for Data Exchange'!$K$336)*100</f>
        <v>0</v>
      </c>
      <c r="F267" s="221">
        <f>('Pivot Table for Data Exchange'!$K$339)*100</f>
        <v>0</v>
      </c>
      <c r="G267" s="223">
        <f>('Pivot Table for Data Exchange'!$K$342)*100</f>
        <v>0</v>
      </c>
      <c r="H267" s="221">
        <f>('Pivot Table for Data Exchange'!$K$345)*100</f>
        <v>0</v>
      </c>
      <c r="I267" s="65"/>
      <c r="J267" s="81"/>
      <c r="K267" s="81"/>
      <c r="L267" s="81"/>
      <c r="M267" s="81"/>
      <c r="N267" s="81"/>
      <c r="O267" s="81"/>
      <c r="P267" s="81"/>
      <c r="Q267" s="97">
        <f t="shared" si="65"/>
        <v>0</v>
      </c>
      <c r="R267" s="97"/>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row>
    <row r="268" spans="1:41" ht="15.75" customHeight="1">
      <c r="A268" s="65" t="s">
        <v>150</v>
      </c>
      <c r="B268" s="221">
        <f>('Pivot Table for Data Exchange'!$K$366)*100</f>
        <v>66.137534299330852</v>
      </c>
      <c r="C268" s="221">
        <f>('Pivot Table for Data Exchange'!$K$369)*100</f>
        <v>7.7737126718978162</v>
      </c>
      <c r="D268" s="227">
        <f t="shared" si="64"/>
        <v>26.035799675861295</v>
      </c>
      <c r="E268" s="221">
        <f>('Pivot Table for Data Exchange'!$K$372)*100</f>
        <v>25.004412779409169</v>
      </c>
      <c r="F268" s="221">
        <f>('Pivot Table for Data Exchange'!$K$375)*100</f>
        <v>1.0313868964521253</v>
      </c>
      <c r="G268" s="223">
        <f>('Pivot Table for Data Exchange'!$K$378)*100</f>
        <v>0</v>
      </c>
      <c r="H268" s="221">
        <f>('Pivot Table for Data Exchange'!$K$381)*100</f>
        <v>5.2953352910027444E-2</v>
      </c>
      <c r="I268" s="65"/>
      <c r="J268" s="81"/>
      <c r="K268" s="81"/>
      <c r="L268" s="81"/>
      <c r="M268" s="81"/>
      <c r="N268" s="81"/>
      <c r="O268" s="81"/>
      <c r="P268" s="81"/>
      <c r="Q268" s="97">
        <f t="shared" si="65"/>
        <v>99.999999999999986</v>
      </c>
      <c r="R268" s="97"/>
      <c r="S268" s="63"/>
      <c r="T268" s="74"/>
      <c r="U268" s="63"/>
      <c r="V268" s="63"/>
      <c r="W268" s="63"/>
      <c r="X268" s="63"/>
      <c r="Y268" s="63"/>
      <c r="Z268" s="63"/>
      <c r="AA268" s="63"/>
      <c r="AB268" s="63"/>
      <c r="AC268" s="63"/>
      <c r="AD268" s="63"/>
      <c r="AE268" s="63"/>
      <c r="AF268" s="63"/>
      <c r="AG268" s="63"/>
      <c r="AH268" s="63"/>
      <c r="AI268" s="63"/>
      <c r="AJ268" s="63"/>
      <c r="AK268" s="63"/>
      <c r="AL268" s="63"/>
      <c r="AM268" s="63"/>
      <c r="AN268" s="63"/>
      <c r="AO268" s="63"/>
    </row>
    <row r="269" spans="1:41" ht="15.75" customHeight="1">
      <c r="A269" s="65" t="s">
        <v>151</v>
      </c>
      <c r="B269" s="221">
        <f>('Pivot Table for Data Exchange'!$K$402)*100</f>
        <v>0</v>
      </c>
      <c r="C269" s="221">
        <f>('Pivot Table for Data Exchange'!$K$405)*100</f>
        <v>0</v>
      </c>
      <c r="D269" s="227">
        <f>SUM(E269:G269)</f>
        <v>0</v>
      </c>
      <c r="E269" s="221">
        <f>('Pivot Table for Data Exchange'!$K$408)*100</f>
        <v>0</v>
      </c>
      <c r="F269" s="221">
        <f>('Pivot Table for Data Exchange'!$K$411)*100</f>
        <v>0</v>
      </c>
      <c r="G269" s="223">
        <f>('Pivot Table for Data Exchange'!$K$414)*100</f>
        <v>0</v>
      </c>
      <c r="H269" s="221">
        <f>('Pivot Table for Data Exchange'!$K$417)*100</f>
        <v>0</v>
      </c>
      <c r="I269" s="65"/>
      <c r="J269" s="81"/>
      <c r="K269" s="81"/>
      <c r="L269" s="81"/>
      <c r="M269" s="81"/>
      <c r="N269" s="81"/>
      <c r="O269" s="81"/>
      <c r="P269" s="81"/>
      <c r="Q269" s="97">
        <f t="shared" si="65"/>
        <v>0</v>
      </c>
      <c r="R269" s="97"/>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row>
    <row r="270" spans="1:41" ht="15.75" customHeight="1">
      <c r="A270" s="65"/>
      <c r="B270" s="221"/>
      <c r="C270" s="221"/>
      <c r="D270" s="227"/>
      <c r="E270" s="221"/>
      <c r="F270" s="221"/>
      <c r="G270" s="223"/>
      <c r="H270" s="221"/>
      <c r="I270" s="65"/>
      <c r="J270" s="81"/>
      <c r="K270" s="81"/>
      <c r="L270" s="81"/>
      <c r="M270" s="81"/>
      <c r="N270" s="81"/>
      <c r="O270" s="81"/>
      <c r="P270" s="81"/>
      <c r="Q270" s="97">
        <f t="shared" si="65"/>
        <v>0</v>
      </c>
      <c r="R270" s="97"/>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row>
    <row r="271" spans="1:41" ht="15.75" customHeight="1">
      <c r="A271" s="65" t="s">
        <v>152</v>
      </c>
      <c r="B271" s="221">
        <f>('Pivot Table for Data Exchange'!$K$438)*100</f>
        <v>0</v>
      </c>
      <c r="C271" s="221">
        <f>('Pivot Table for Data Exchange'!$K$441)*100</f>
        <v>0</v>
      </c>
      <c r="D271" s="227">
        <f>SUM(E271:G271)</f>
        <v>0</v>
      </c>
      <c r="E271" s="221">
        <f>('Pivot Table for Data Exchange'!$K$444)*100</f>
        <v>0</v>
      </c>
      <c r="F271" s="221">
        <f>('Pivot Table for Data Exchange'!$K$447)*100</f>
        <v>0</v>
      </c>
      <c r="G271" s="223">
        <f>('Pivot Table for Data Exchange'!$K$450)*100</f>
        <v>0</v>
      </c>
      <c r="H271" s="221">
        <f>('Pivot Table for Data Exchange'!$K$453)*100</f>
        <v>0</v>
      </c>
      <c r="I271" s="65"/>
      <c r="J271" s="81"/>
      <c r="K271" s="81"/>
      <c r="L271" s="81"/>
      <c r="M271" s="81"/>
      <c r="N271" s="81"/>
      <c r="O271" s="81"/>
      <c r="P271" s="81"/>
      <c r="Q271" s="97">
        <f t="shared" si="65"/>
        <v>0</v>
      </c>
      <c r="R271" s="97"/>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row>
    <row r="272" spans="1:41" ht="15.75" customHeight="1">
      <c r="A272" s="65" t="s">
        <v>153</v>
      </c>
      <c r="B272" s="221">
        <f>('Pivot Table for Data Exchange'!$K$474)*100</f>
        <v>78.413973373970833</v>
      </c>
      <c r="C272" s="221">
        <f>('Pivot Table for Data Exchange'!$K$477)*100</f>
        <v>0.84264609393188994</v>
      </c>
      <c r="D272" s="227">
        <f>SUM(E272:G272)</f>
        <v>20.743380532097277</v>
      </c>
      <c r="E272" s="221">
        <f>('Pivot Table for Data Exchange'!$K$480)*100</f>
        <v>20.627500158740236</v>
      </c>
      <c r="F272" s="221">
        <f>('Pivot Table for Data Exchange'!$K$483)*100</f>
        <v>0.11588037335703853</v>
      </c>
      <c r="G272" s="232">
        <f>('Pivot Table for Data Exchange'!$K$486)*100</f>
        <v>0</v>
      </c>
      <c r="H272" s="221">
        <f>('Pivot Table for Data Exchange'!$K$489)*100</f>
        <v>0</v>
      </c>
      <c r="I272" s="65"/>
      <c r="J272" s="81"/>
      <c r="K272" s="81"/>
      <c r="L272" s="81"/>
      <c r="M272" s="81"/>
      <c r="N272" s="81"/>
      <c r="O272" s="81"/>
      <c r="P272" s="81"/>
      <c r="Q272" s="97">
        <f t="shared" si="65"/>
        <v>100</v>
      </c>
      <c r="R272" s="97"/>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row>
    <row r="273" spans="1:41" ht="15.75" customHeight="1">
      <c r="A273" s="65" t="s">
        <v>154</v>
      </c>
      <c r="B273" s="221">
        <f>('Pivot Table for Data Exchange'!$K$510)*100</f>
        <v>0</v>
      </c>
      <c r="C273" s="221">
        <f>('Pivot Table for Data Exchange'!$K$513)*100</f>
        <v>0</v>
      </c>
      <c r="D273" s="227">
        <f t="shared" ref="D273" si="66">SUM(E273:G273)</f>
        <v>0</v>
      </c>
      <c r="E273" s="221">
        <f>('Pivot Table for Data Exchange'!$K$516)*100</f>
        <v>0</v>
      </c>
      <c r="F273" s="221">
        <f>('Pivot Table for Data Exchange'!$K$519)*100</f>
        <v>0</v>
      </c>
      <c r="G273" s="223">
        <f>('Pivot Table for Data Exchange'!$K$522)*100</f>
        <v>0</v>
      </c>
      <c r="H273" s="221">
        <f>('Pivot Table for Data Exchange'!$K$525)*100</f>
        <v>0</v>
      </c>
      <c r="I273" s="65"/>
      <c r="J273" s="81"/>
      <c r="K273" s="81"/>
      <c r="L273" s="81"/>
      <c r="M273" s="81"/>
      <c r="N273" s="81"/>
      <c r="O273" s="81"/>
      <c r="P273" s="81"/>
      <c r="Q273" s="97">
        <f t="shared" si="65"/>
        <v>0</v>
      </c>
      <c r="R273" s="97"/>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row>
    <row r="274" spans="1:41" ht="15.75" customHeight="1">
      <c r="A274" s="39" t="s">
        <v>155</v>
      </c>
      <c r="B274" s="224">
        <f>('Pivot Table for Data Exchange'!$K$546)*100</f>
        <v>67.668974770587255</v>
      </c>
      <c r="C274" s="224">
        <f>('Pivot Table for Data Exchange'!$K$549)*100</f>
        <v>10.443970577664901</v>
      </c>
      <c r="D274" s="228">
        <f>SUM(E274:G274)</f>
        <v>21.887054651747849</v>
      </c>
      <c r="E274" s="224">
        <f>('Pivot Table for Data Exchange'!$K$552)*100</f>
        <v>20.650741548266527</v>
      </c>
      <c r="F274" s="224">
        <f>('Pivot Table for Data Exchange'!$K$555)*100</f>
        <v>0</v>
      </c>
      <c r="G274" s="225">
        <f>('Pivot Table for Data Exchange'!$K$558)*100</f>
        <v>1.2363131034813235</v>
      </c>
      <c r="H274" s="224">
        <f>('Pivot Table for Data Exchange'!$K$561)*100</f>
        <v>0</v>
      </c>
      <c r="I274" s="65"/>
      <c r="J274" s="81"/>
      <c r="K274" s="81"/>
      <c r="L274" s="81"/>
      <c r="M274" s="81"/>
      <c r="N274" s="81"/>
      <c r="O274" s="81"/>
      <c r="P274" s="81"/>
      <c r="Q274" s="97">
        <f t="shared" si="65"/>
        <v>100</v>
      </c>
      <c r="R274" s="97"/>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row>
    <row r="275" spans="1:41" s="25" customFormat="1" ht="12" customHeight="1">
      <c r="A275" s="691" t="s">
        <v>175</v>
      </c>
      <c r="B275" s="69"/>
      <c r="C275" s="69"/>
      <c r="D275" s="70"/>
      <c r="E275" s="69"/>
      <c r="F275" s="70"/>
      <c r="G275" s="70"/>
      <c r="H275" s="69"/>
      <c r="I275" s="24"/>
      <c r="J275" s="69"/>
      <c r="K275" s="69"/>
      <c r="L275" s="70"/>
      <c r="M275" s="69"/>
      <c r="N275" s="70"/>
      <c r="O275" s="70"/>
      <c r="P275" s="69"/>
      <c r="Q275" s="97">
        <f t="shared" si="65"/>
        <v>0</v>
      </c>
      <c r="R275" s="10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row>
    <row r="276" spans="1:41" s="25" customFormat="1" ht="23.25" customHeight="1">
      <c r="A276" s="666" t="s">
        <v>922</v>
      </c>
      <c r="B276" s="693"/>
      <c r="C276" s="693"/>
      <c r="D276" s="693"/>
      <c r="E276" s="693"/>
      <c r="F276" s="693"/>
      <c r="G276" s="693"/>
      <c r="H276" s="693"/>
      <c r="I276" s="24"/>
      <c r="P276" s="77"/>
      <c r="Q276" s="97">
        <f t="shared" si="65"/>
        <v>0</v>
      </c>
      <c r="R276" s="106"/>
    </row>
    <row r="277" spans="1:41" s="25" customFormat="1" ht="13.5" customHeight="1">
      <c r="H277" s="26"/>
      <c r="I277" s="75"/>
      <c r="Q277" s="97">
        <f t="shared" si="65"/>
        <v>0</v>
      </c>
      <c r="R277" s="106"/>
    </row>
    <row r="278" spans="1:41" s="25" customFormat="1">
      <c r="A278" s="26"/>
      <c r="B278" s="69"/>
      <c r="C278" s="69"/>
      <c r="D278" s="70"/>
      <c r="E278" s="69"/>
      <c r="F278" s="70"/>
      <c r="G278" s="70"/>
      <c r="H278" s="27" t="s">
        <v>899</v>
      </c>
      <c r="I278" s="85"/>
      <c r="J278" s="26"/>
      <c r="K278" s="26"/>
      <c r="L278" s="26"/>
      <c r="M278" s="26"/>
      <c r="N278" s="26"/>
      <c r="O278" s="26"/>
      <c r="P278" s="26"/>
      <c r="Q278" s="97">
        <f t="shared" si="65"/>
        <v>0</v>
      </c>
      <c r="R278" s="106"/>
    </row>
    <row r="279" spans="1:41" ht="18">
      <c r="A279" s="16" t="s">
        <v>209</v>
      </c>
      <c r="B279" s="34"/>
      <c r="C279" s="34"/>
      <c r="D279" s="34"/>
      <c r="E279" s="34"/>
      <c r="F279" s="34"/>
      <c r="G279" s="34"/>
      <c r="H279" s="35"/>
      <c r="I279" s="80"/>
      <c r="J279" s="65"/>
      <c r="K279" s="65"/>
      <c r="L279" s="65"/>
      <c r="M279" s="65"/>
      <c r="N279" s="65"/>
      <c r="O279" s="65"/>
      <c r="P279" s="65"/>
      <c r="Q279" s="97">
        <f t="shared" si="65"/>
        <v>0</v>
      </c>
    </row>
    <row r="280" spans="1:41">
      <c r="A280" s="18"/>
      <c r="B280" s="19"/>
      <c r="C280" s="19"/>
      <c r="D280" s="19"/>
      <c r="E280" s="19"/>
      <c r="F280" s="19"/>
      <c r="G280" s="19"/>
      <c r="H280" s="36"/>
      <c r="I280" s="80"/>
      <c r="J280" s="65"/>
      <c r="K280" s="65"/>
      <c r="L280" s="65"/>
      <c r="M280" s="65"/>
      <c r="N280" s="65"/>
      <c r="O280" s="65"/>
      <c r="P280" s="65"/>
      <c r="Q280" s="97">
        <f t="shared" si="65"/>
        <v>0</v>
      </c>
    </row>
    <row r="281" spans="1:41" ht="15.75">
      <c r="A281" s="37" t="s">
        <v>162</v>
      </c>
      <c r="B281" s="19"/>
      <c r="C281" s="19"/>
      <c r="D281" s="19"/>
      <c r="E281" s="19"/>
      <c r="F281" s="19"/>
      <c r="G281" s="19"/>
      <c r="H281" s="36"/>
      <c r="I281" s="80"/>
      <c r="J281" s="65"/>
      <c r="K281" s="65"/>
      <c r="L281" s="65"/>
      <c r="M281" s="65"/>
      <c r="N281" s="65"/>
      <c r="O281" s="65"/>
      <c r="P281" s="65"/>
      <c r="Q281" s="97">
        <f t="shared" si="65"/>
        <v>0</v>
      </c>
    </row>
    <row r="282" spans="1:41" ht="15.75">
      <c r="A282" s="37" t="s">
        <v>273</v>
      </c>
      <c r="B282" s="19"/>
      <c r="C282" s="19"/>
      <c r="D282" s="19"/>
      <c r="E282" s="19"/>
      <c r="F282" s="19"/>
      <c r="G282" s="19"/>
      <c r="H282" s="36"/>
      <c r="I282" s="80"/>
      <c r="J282" s="65"/>
      <c r="K282" s="65"/>
      <c r="L282" s="65"/>
      <c r="M282" s="65"/>
      <c r="N282" s="65"/>
      <c r="O282" s="65"/>
      <c r="P282" s="65"/>
      <c r="Q282" s="97">
        <f t="shared" si="65"/>
        <v>0</v>
      </c>
    </row>
    <row r="283" spans="1:41">
      <c r="A283" s="39"/>
      <c r="B283" s="40"/>
      <c r="C283" s="40"/>
      <c r="D283" s="40"/>
      <c r="E283" s="40"/>
      <c r="F283" s="40"/>
      <c r="G283" s="40"/>
      <c r="H283" s="40"/>
      <c r="I283" s="80"/>
      <c r="J283" s="65"/>
      <c r="K283" s="65"/>
      <c r="L283" s="65"/>
      <c r="M283" s="65"/>
      <c r="N283" s="65"/>
      <c r="O283" s="65"/>
      <c r="P283" s="65"/>
      <c r="Q283" s="97">
        <f t="shared" si="65"/>
        <v>0</v>
      </c>
    </row>
    <row r="284" spans="1:41">
      <c r="A284" s="43"/>
      <c r="B284" s="44" t="s">
        <v>164</v>
      </c>
      <c r="C284" s="44"/>
      <c r="D284" s="44"/>
      <c r="E284" s="44"/>
      <c r="F284" s="44"/>
      <c r="G284" s="44"/>
      <c r="H284" s="45"/>
      <c r="I284" s="80"/>
      <c r="J284" s="65"/>
      <c r="K284" s="65"/>
      <c r="L284" s="65"/>
      <c r="M284" s="65"/>
      <c r="N284" s="65"/>
      <c r="O284" s="65"/>
      <c r="P284" s="65"/>
      <c r="Q284" s="97">
        <f t="shared" si="65"/>
        <v>0</v>
      </c>
    </row>
    <row r="285" spans="1:41">
      <c r="A285" s="43"/>
      <c r="B285" s="44" t="s">
        <v>165</v>
      </c>
      <c r="C285" s="44"/>
      <c r="D285" s="670" t="s">
        <v>166</v>
      </c>
      <c r="E285" s="668"/>
      <c r="F285" s="668"/>
      <c r="G285" s="668"/>
      <c r="H285" s="49" t="s">
        <v>39</v>
      </c>
      <c r="I285" s="80"/>
      <c r="J285" s="65"/>
      <c r="K285" s="65"/>
      <c r="L285" s="65"/>
      <c r="M285" s="65"/>
      <c r="N285" s="65"/>
      <c r="O285" s="65"/>
      <c r="P285" s="65"/>
      <c r="Q285" s="97">
        <f t="shared" si="65"/>
        <v>0</v>
      </c>
    </row>
    <row r="286" spans="1:41" ht="36">
      <c r="A286" s="43"/>
      <c r="B286" s="50" t="s">
        <v>167</v>
      </c>
      <c r="C286" s="51" t="s">
        <v>168</v>
      </c>
      <c r="D286" s="52" t="s">
        <v>169</v>
      </c>
      <c r="E286" s="53" t="s">
        <v>7</v>
      </c>
      <c r="F286" s="50" t="s">
        <v>170</v>
      </c>
      <c r="G286" s="54" t="s">
        <v>171</v>
      </c>
      <c r="H286" s="55" t="s">
        <v>172</v>
      </c>
      <c r="I286" s="80"/>
      <c r="J286" s="65"/>
      <c r="K286" s="65"/>
      <c r="L286" s="65"/>
      <c r="M286" s="65"/>
      <c r="N286" s="65"/>
      <c r="O286" s="65"/>
      <c r="P286" s="65"/>
      <c r="Q286" s="97">
        <f t="shared" si="65"/>
        <v>0</v>
      </c>
    </row>
    <row r="287" spans="1:41" ht="15.75" customHeight="1">
      <c r="A287" s="62" t="s">
        <v>141</v>
      </c>
      <c r="B287" s="221">
        <f>('Pivot Table for Data Exchange'!$L$6)*100</f>
        <v>74.020730253891443</v>
      </c>
      <c r="C287" s="221">
        <f>('Pivot Table for Data Exchange'!$L$9)*100</f>
        <v>4.1449673155404678</v>
      </c>
      <c r="D287" s="227">
        <f>SUM(E287:G287)</f>
        <v>21.834302430568098</v>
      </c>
      <c r="E287" s="221">
        <f>('Pivot Table for Data Exchange'!$L$12)*100</f>
        <v>21.572465600057786</v>
      </c>
      <c r="F287" s="221">
        <f>('Pivot Table for Data Exchange'!$L$15)*100</f>
        <v>0.26183683051031098</v>
      </c>
      <c r="G287" s="60">
        <f>('Pivot Table for Data Exchange'!$L$18)*100</f>
        <v>0</v>
      </c>
      <c r="H287" s="221">
        <f>('Pivot Table for Data Exchange'!$L$21)*100</f>
        <v>0</v>
      </c>
      <c r="I287" s="65"/>
      <c r="J287" s="81"/>
      <c r="K287" s="81"/>
      <c r="L287" s="81"/>
      <c r="M287" s="81"/>
      <c r="N287" s="81"/>
      <c r="O287" s="81"/>
      <c r="P287" s="81"/>
      <c r="Q287" s="97">
        <f t="shared" si="65"/>
        <v>100.00000000000001</v>
      </c>
      <c r="R287" s="97"/>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row>
    <row r="288" spans="1:41" ht="15.75" customHeight="1">
      <c r="A288" s="65" t="s">
        <v>142</v>
      </c>
      <c r="B288" s="221">
        <f>('Pivot Table for Data Exchange'!$L$42)*100</f>
        <v>65.034815902237739</v>
      </c>
      <c r="C288" s="221">
        <f>('Pivot Table for Data Exchange'!$L$45)*100</f>
        <v>5.3649718298682751</v>
      </c>
      <c r="D288" s="227">
        <f t="shared" ref="D288:D290" si="67">SUM(E288:G288)</f>
        <v>29.600212267893983</v>
      </c>
      <c r="E288" s="221">
        <f>('Pivot Table for Data Exchange'!$L$48)*100</f>
        <v>29.561279955562608</v>
      </c>
      <c r="F288" s="67">
        <f>('Pivot Table for Data Exchange'!$L$51)*100</f>
        <v>3.8932312331375972E-2</v>
      </c>
      <c r="G288" s="223">
        <f>('Pivot Table for Data Exchange'!$L$54)*100</f>
        <v>0</v>
      </c>
      <c r="H288" s="221">
        <f>('Pivot Table for Data Exchange'!$L$57)*100</f>
        <v>0</v>
      </c>
      <c r="I288" s="65"/>
      <c r="J288" s="81"/>
      <c r="K288" s="81"/>
      <c r="L288" s="81"/>
      <c r="M288" s="81"/>
      <c r="N288" s="81"/>
      <c r="O288" s="81"/>
      <c r="P288" s="81"/>
      <c r="Q288" s="97">
        <f t="shared" si="65"/>
        <v>100</v>
      </c>
      <c r="R288" s="97"/>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row>
    <row r="289" spans="1:41" ht="15.75" customHeight="1">
      <c r="A289" s="65" t="s">
        <v>143</v>
      </c>
      <c r="B289" s="221">
        <f>('Pivot Table for Data Exchange'!$L$78)*100</f>
        <v>92.113063304721038</v>
      </c>
      <c r="C289" s="221">
        <f>('Pivot Table for Data Exchange'!$L$81)*100</f>
        <v>0</v>
      </c>
      <c r="D289" s="227">
        <f t="shared" si="67"/>
        <v>7.886936695278969</v>
      </c>
      <c r="E289" s="221">
        <f>('Pivot Table for Data Exchange'!$L$84)*100</f>
        <v>7.0044259656652352</v>
      </c>
      <c r="F289" s="221">
        <f>('Pivot Table for Data Exchange'!$L$87)*100</f>
        <v>0.23068669527896996</v>
      </c>
      <c r="G289" s="223">
        <f>('Pivot Table for Data Exchange'!$L$90)*100</f>
        <v>0.65182403433476388</v>
      </c>
      <c r="H289" s="221">
        <f>('Pivot Table for Data Exchange'!$L$93)*100</f>
        <v>0</v>
      </c>
      <c r="I289" s="65"/>
      <c r="J289" s="81"/>
      <c r="K289" s="81"/>
      <c r="L289" s="81"/>
      <c r="M289" s="81"/>
      <c r="N289" s="81"/>
      <c r="O289" s="81"/>
      <c r="P289" s="81"/>
      <c r="Q289" s="97">
        <f t="shared" si="65"/>
        <v>100</v>
      </c>
      <c r="R289" s="97"/>
      <c r="S289" s="63"/>
      <c r="T289" s="74"/>
      <c r="U289" s="63"/>
      <c r="V289" s="63"/>
      <c r="W289" s="63"/>
      <c r="X289" s="63"/>
      <c r="Y289" s="63"/>
      <c r="Z289" s="63"/>
      <c r="AA289" s="63"/>
      <c r="AB289" s="63"/>
      <c r="AC289" s="63"/>
      <c r="AD289" s="63"/>
      <c r="AE289" s="63"/>
      <c r="AF289" s="63"/>
      <c r="AG289" s="63"/>
      <c r="AH289" s="63"/>
      <c r="AI289" s="63"/>
      <c r="AJ289" s="63"/>
      <c r="AK289" s="63"/>
      <c r="AL289" s="63"/>
      <c r="AM289" s="63"/>
      <c r="AN289" s="63"/>
      <c r="AO289" s="63"/>
    </row>
    <row r="290" spans="1:41" ht="15.75" customHeight="1">
      <c r="A290" s="65" t="s">
        <v>174</v>
      </c>
      <c r="B290" s="221">
        <f>('Pivot Table for Data Exchange'!$L$114)*100</f>
        <v>79.17575761542966</v>
      </c>
      <c r="C290" s="221">
        <f>('Pivot Table for Data Exchange'!$L$117)*100</f>
        <v>1.7966428573474165</v>
      </c>
      <c r="D290" s="227">
        <f t="shared" si="67"/>
        <v>19.027599527222936</v>
      </c>
      <c r="E290" s="221">
        <f>('Pivot Table for Data Exchange'!$L$120)*100</f>
        <v>18.478440081152701</v>
      </c>
      <c r="F290" s="221">
        <f>('Pivot Table for Data Exchange'!$L$123)*100</f>
        <v>0.50112896185013101</v>
      </c>
      <c r="G290" s="68">
        <f>('Pivot Table for Data Exchange'!$L$126)*100</f>
        <v>4.8030484220103989E-2</v>
      </c>
      <c r="H290" s="67">
        <f>('Pivot Table for Data Exchange'!$L$129)*100</f>
        <v>0</v>
      </c>
      <c r="I290" s="65"/>
      <c r="J290" s="81"/>
      <c r="K290" s="81"/>
      <c r="L290" s="81"/>
      <c r="M290" s="81"/>
      <c r="N290" s="81"/>
      <c r="O290" s="81"/>
      <c r="P290" s="81"/>
      <c r="Q290" s="97">
        <f t="shared" si="65"/>
        <v>100.00000000000001</v>
      </c>
      <c r="R290" s="97"/>
      <c r="S290" s="63"/>
      <c r="U290" s="63"/>
      <c r="V290" s="63"/>
      <c r="W290" s="63"/>
      <c r="X290" s="63"/>
      <c r="Y290" s="63"/>
      <c r="Z290" s="63"/>
      <c r="AA290" s="63"/>
      <c r="AB290" s="63"/>
      <c r="AC290" s="63"/>
      <c r="AD290" s="63"/>
      <c r="AE290" s="63"/>
      <c r="AF290" s="63"/>
      <c r="AG290" s="63"/>
      <c r="AH290" s="63"/>
      <c r="AI290" s="63"/>
      <c r="AJ290" s="63"/>
      <c r="AK290" s="63"/>
      <c r="AL290" s="63"/>
      <c r="AM290" s="63"/>
      <c r="AN290" s="63"/>
      <c r="AO290" s="63"/>
    </row>
    <row r="291" spans="1:41" ht="15.75" customHeight="1">
      <c r="A291" s="65"/>
      <c r="B291" s="221"/>
      <c r="C291" s="221"/>
      <c r="D291" s="227"/>
      <c r="E291" s="221"/>
      <c r="F291" s="221"/>
      <c r="G291" s="223"/>
      <c r="H291" s="221"/>
      <c r="I291" s="65"/>
      <c r="J291" s="81"/>
      <c r="K291" s="81"/>
      <c r="L291" s="81"/>
      <c r="M291" s="81"/>
      <c r="N291" s="81"/>
      <c r="O291" s="81"/>
      <c r="P291" s="81"/>
      <c r="Q291" s="97">
        <f t="shared" si="65"/>
        <v>0</v>
      </c>
      <c r="R291" s="97"/>
      <c r="S291" s="63"/>
      <c r="U291" s="63"/>
      <c r="V291" s="63"/>
      <c r="W291" s="63"/>
      <c r="X291" s="63"/>
      <c r="Y291" s="63"/>
      <c r="Z291" s="63"/>
      <c r="AA291" s="63"/>
      <c r="AB291" s="63"/>
      <c r="AC291" s="63"/>
      <c r="AD291" s="63"/>
      <c r="AE291" s="63"/>
      <c r="AF291" s="63"/>
      <c r="AG291" s="63"/>
      <c r="AH291" s="63"/>
      <c r="AI291" s="63"/>
      <c r="AJ291" s="63"/>
      <c r="AK291" s="63"/>
      <c r="AL291" s="63"/>
      <c r="AM291" s="63"/>
      <c r="AN291" s="63"/>
      <c r="AO291" s="63"/>
    </row>
    <row r="292" spans="1:41" ht="15.75" customHeight="1">
      <c r="A292" s="65" t="s">
        <v>145</v>
      </c>
      <c r="B292" s="221">
        <f>('Pivot Table for Data Exchange'!$L$150)*100</f>
        <v>0</v>
      </c>
      <c r="C292" s="221">
        <f>('Pivot Table for Data Exchange'!$L$153)*100</f>
        <v>0</v>
      </c>
      <c r="D292" s="227">
        <f t="shared" ref="D292:D295" si="68">SUM(E292:G292)</f>
        <v>0</v>
      </c>
      <c r="E292" s="221">
        <f>('Pivot Table for Data Exchange'!$L$156)*100</f>
        <v>0</v>
      </c>
      <c r="F292" s="221">
        <f>('Pivot Table for Data Exchange'!$L$159)*100</f>
        <v>0</v>
      </c>
      <c r="G292" s="223">
        <f>('Pivot Table for Data Exchange'!$L$162)*100</f>
        <v>0</v>
      </c>
      <c r="H292" s="221">
        <f>('Pivot Table for Data Exchange'!$L$165)*100</f>
        <v>0</v>
      </c>
      <c r="I292" s="65"/>
      <c r="J292" s="81"/>
      <c r="K292" s="81"/>
      <c r="L292" s="81"/>
      <c r="M292" s="81"/>
      <c r="N292" s="81"/>
      <c r="O292" s="81"/>
      <c r="P292" s="81"/>
      <c r="Q292" s="97">
        <f t="shared" si="65"/>
        <v>0</v>
      </c>
      <c r="R292" s="97"/>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row>
    <row r="293" spans="1:41" ht="15.75" customHeight="1">
      <c r="A293" s="65" t="s">
        <v>146</v>
      </c>
      <c r="B293" s="221">
        <f>('Pivot Table for Data Exchange'!$L$186)*100</f>
        <v>69.564475099448558</v>
      </c>
      <c r="C293" s="221">
        <f>('Pivot Table for Data Exchange'!$L$189)*100</f>
        <v>4.6751489594181619</v>
      </c>
      <c r="D293" s="227">
        <f t="shared" si="68"/>
        <v>25.760375941133287</v>
      </c>
      <c r="E293" s="221">
        <f>('Pivot Table for Data Exchange'!$L$192)*100</f>
        <v>25.732846191931436</v>
      </c>
      <c r="F293" s="67">
        <f>('Pivot Table for Data Exchange'!$L$195)*100</f>
        <v>7.6827207074932138E-3</v>
      </c>
      <c r="G293" s="68">
        <f>('Pivot Table for Data Exchange'!$L$198)*100</f>
        <v>1.9847028494357471E-2</v>
      </c>
      <c r="H293" s="221">
        <f>('Pivot Table for Data Exchange'!$L$201)*100</f>
        <v>0</v>
      </c>
      <c r="I293" s="65"/>
      <c r="J293" s="81"/>
      <c r="K293" s="81"/>
      <c r="L293" s="81"/>
      <c r="M293" s="81"/>
      <c r="N293" s="81"/>
      <c r="O293" s="81"/>
      <c r="P293" s="81"/>
      <c r="Q293" s="97">
        <f t="shared" si="65"/>
        <v>100.00000000000001</v>
      </c>
      <c r="R293" s="97"/>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row>
    <row r="294" spans="1:41" ht="15.75" customHeight="1">
      <c r="A294" s="65" t="s">
        <v>147</v>
      </c>
      <c r="B294" s="221">
        <f>('Pivot Table for Data Exchange'!$L$222)*100</f>
        <v>0</v>
      </c>
      <c r="C294" s="221">
        <f>('Pivot Table for Data Exchange'!$L$225)*100</f>
        <v>0</v>
      </c>
      <c r="D294" s="227">
        <f t="shared" si="68"/>
        <v>0</v>
      </c>
      <c r="E294" s="221">
        <f>('Pivot Table for Data Exchange'!$L$228)*100</f>
        <v>0</v>
      </c>
      <c r="F294" s="221">
        <f>('Pivot Table for Data Exchange'!$L$231)*100</f>
        <v>0</v>
      </c>
      <c r="G294" s="223">
        <f>('Pivot Table for Data Exchange'!$L$234)*100</f>
        <v>0</v>
      </c>
      <c r="H294" s="221">
        <f>('Pivot Table for Data Exchange'!$L$237)*100</f>
        <v>0</v>
      </c>
      <c r="I294" s="65"/>
      <c r="J294" s="81"/>
      <c r="K294" s="81"/>
      <c r="L294" s="81"/>
      <c r="M294" s="81"/>
      <c r="N294" s="81"/>
      <c r="O294" s="81"/>
      <c r="P294" s="81"/>
      <c r="Q294" s="97">
        <f t="shared" si="65"/>
        <v>0</v>
      </c>
      <c r="R294" s="97"/>
      <c r="S294" s="63"/>
      <c r="T294" s="74"/>
      <c r="U294" s="63"/>
      <c r="V294" s="63"/>
      <c r="W294" s="63"/>
      <c r="X294" s="63"/>
      <c r="Y294" s="63"/>
      <c r="Z294" s="63"/>
      <c r="AA294" s="63"/>
      <c r="AB294" s="63"/>
      <c r="AC294" s="63"/>
      <c r="AD294" s="63"/>
      <c r="AE294" s="63"/>
      <c r="AF294" s="63"/>
      <c r="AG294" s="63"/>
      <c r="AH294" s="63"/>
      <c r="AI294" s="63"/>
      <c r="AJ294" s="63"/>
      <c r="AK294" s="63"/>
      <c r="AL294" s="63"/>
      <c r="AM294" s="63"/>
      <c r="AN294" s="63"/>
      <c r="AO294" s="63"/>
    </row>
    <row r="295" spans="1:41" ht="15.75" customHeight="1">
      <c r="A295" s="65" t="s">
        <v>177</v>
      </c>
      <c r="B295" s="221">
        <f>('Pivot Table for Data Exchange'!$L$258)*100</f>
        <v>74.796648038047593</v>
      </c>
      <c r="C295" s="221">
        <f>('Pivot Table for Data Exchange'!$L$261)*100</f>
        <v>9.1748757486306083</v>
      </c>
      <c r="D295" s="227">
        <f t="shared" si="68"/>
        <v>16.028476213321809</v>
      </c>
      <c r="E295" s="221">
        <f>('Pivot Table for Data Exchange'!$L$264)*100</f>
        <v>15.97554423784894</v>
      </c>
      <c r="F295" s="221">
        <f>('Pivot Table for Data Exchange'!$L$267)*100</f>
        <v>5.2931975472868896E-2</v>
      </c>
      <c r="G295" s="68">
        <f>('Pivot Table for Data Exchange'!$L$270)*100</f>
        <v>0</v>
      </c>
      <c r="H295" s="221">
        <f>('Pivot Table for Data Exchange'!$L$273)*100</f>
        <v>0</v>
      </c>
      <c r="I295" s="65"/>
      <c r="J295" s="81"/>
      <c r="K295" s="81"/>
      <c r="L295" s="81"/>
      <c r="M295" s="81"/>
      <c r="N295" s="81"/>
      <c r="O295" s="81"/>
      <c r="P295" s="81"/>
      <c r="Q295" s="97">
        <f t="shared" si="65"/>
        <v>100.00000000000001</v>
      </c>
      <c r="R295" s="97"/>
      <c r="S295" s="63"/>
      <c r="U295" s="63"/>
      <c r="V295" s="63"/>
      <c r="W295" s="63"/>
      <c r="X295" s="63"/>
      <c r="Y295" s="63"/>
      <c r="Z295" s="63"/>
      <c r="AA295" s="63"/>
      <c r="AB295" s="63"/>
      <c r="AC295" s="63"/>
      <c r="AD295" s="63"/>
      <c r="AE295" s="63"/>
      <c r="AF295" s="63"/>
      <c r="AG295" s="63"/>
      <c r="AH295" s="63"/>
      <c r="AI295" s="63"/>
      <c r="AJ295" s="63"/>
      <c r="AK295" s="63"/>
      <c r="AL295" s="63"/>
      <c r="AM295" s="63"/>
      <c r="AN295" s="63"/>
      <c r="AO295" s="63"/>
    </row>
    <row r="296" spans="1:41" ht="9.75" customHeight="1">
      <c r="A296" s="65"/>
      <c r="B296" s="221"/>
      <c r="C296" s="221"/>
      <c r="D296" s="227"/>
      <c r="E296" s="221"/>
      <c r="F296" s="221"/>
      <c r="G296" s="223"/>
      <c r="H296" s="221"/>
      <c r="I296" s="65"/>
      <c r="J296" s="81"/>
      <c r="K296" s="81"/>
      <c r="L296" s="81"/>
      <c r="M296" s="81"/>
      <c r="N296" s="81"/>
      <c r="O296" s="81"/>
      <c r="P296" s="81"/>
      <c r="Q296" s="97">
        <f t="shared" si="65"/>
        <v>0</v>
      </c>
      <c r="R296" s="97"/>
      <c r="S296" s="63"/>
      <c r="U296" s="63"/>
      <c r="V296" s="63"/>
      <c r="W296" s="63"/>
      <c r="X296" s="63"/>
      <c r="Y296" s="63"/>
      <c r="Z296" s="63"/>
      <c r="AA296" s="63"/>
      <c r="AB296" s="63"/>
      <c r="AC296" s="63"/>
      <c r="AD296" s="63"/>
      <c r="AE296" s="63"/>
      <c r="AF296" s="63"/>
      <c r="AG296" s="63"/>
      <c r="AH296" s="63"/>
      <c r="AI296" s="63"/>
      <c r="AJ296" s="63"/>
      <c r="AK296" s="63"/>
      <c r="AL296" s="63"/>
      <c r="AM296" s="63"/>
      <c r="AN296" s="63"/>
      <c r="AO296" s="63"/>
    </row>
    <row r="297" spans="1:41" ht="15.75" customHeight="1">
      <c r="A297" s="65" t="s">
        <v>179</v>
      </c>
      <c r="B297" s="221">
        <f>('Pivot Table for Data Exchange'!$L$294)*100</f>
        <v>79.273639301157701</v>
      </c>
      <c r="C297" s="221">
        <f>('Pivot Table for Data Exchange'!$L$297)*100</f>
        <v>0</v>
      </c>
      <c r="D297" s="227">
        <f t="shared" ref="D297:D299" si="69">SUM(E297:G297)</f>
        <v>20.72636069884231</v>
      </c>
      <c r="E297" s="221">
        <f>('Pivot Table for Data Exchange'!$L$300)*100</f>
        <v>20.72636069884231</v>
      </c>
      <c r="F297" s="221">
        <f>('Pivot Table for Data Exchange'!$L$303)*100</f>
        <v>0</v>
      </c>
      <c r="G297" s="223">
        <f>('Pivot Table for Data Exchange'!$L$306)*100</f>
        <v>0</v>
      </c>
      <c r="H297" s="221">
        <f>('Pivot Table for Data Exchange'!$L$309)*100</f>
        <v>0</v>
      </c>
      <c r="I297" s="86"/>
      <c r="J297" s="81"/>
      <c r="K297" s="81"/>
      <c r="L297" s="81"/>
      <c r="M297" s="81"/>
      <c r="N297" s="81"/>
      <c r="O297" s="81"/>
      <c r="P297" s="81"/>
      <c r="Q297" s="97">
        <f t="shared" si="65"/>
        <v>100.00000000000001</v>
      </c>
      <c r="R297" s="97"/>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row>
    <row r="298" spans="1:41" ht="15.75" customHeight="1">
      <c r="A298" s="65" t="s">
        <v>149</v>
      </c>
      <c r="B298" s="221">
        <f>('Pivot Table for Data Exchange'!$L$330)*100</f>
        <v>64.528831042899654</v>
      </c>
      <c r="C298" s="221">
        <f>('Pivot Table for Data Exchange'!$L$333)*100</f>
        <v>1.332631156585415</v>
      </c>
      <c r="D298" s="227">
        <f t="shared" si="69"/>
        <v>34.138537800514932</v>
      </c>
      <c r="E298" s="221">
        <f>('Pivot Table for Data Exchange'!$L$336)*100</f>
        <v>34.023013006988329</v>
      </c>
      <c r="F298" s="221">
        <f>('Pivot Table for Data Exchange'!$L$339)*100</f>
        <v>5.5547196308556528E-2</v>
      </c>
      <c r="G298" s="223">
        <f>('Pivot Table for Data Exchange'!$L$342)*100</f>
        <v>5.9977597218042598E-2</v>
      </c>
      <c r="H298" s="221">
        <f>('Pivot Table for Data Exchange'!$L$345)*100</f>
        <v>0</v>
      </c>
      <c r="I298" s="65"/>
      <c r="J298" s="81"/>
      <c r="K298" s="81"/>
      <c r="L298" s="81"/>
      <c r="M298" s="81"/>
      <c r="N298" s="81"/>
      <c r="O298" s="81"/>
      <c r="P298" s="81"/>
      <c r="Q298" s="97">
        <f t="shared" si="65"/>
        <v>100</v>
      </c>
      <c r="R298" s="97"/>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row>
    <row r="299" spans="1:41" ht="15.75" customHeight="1">
      <c r="A299" s="65" t="s">
        <v>150</v>
      </c>
      <c r="B299" s="221">
        <f>('Pivot Table for Data Exchange'!$L$366)*100</f>
        <v>70.28415116773273</v>
      </c>
      <c r="C299" s="221">
        <f>('Pivot Table for Data Exchange'!$L$369)*100</f>
        <v>5.2082243762801763</v>
      </c>
      <c r="D299" s="227">
        <f t="shared" si="69"/>
        <v>24.47319954400232</v>
      </c>
      <c r="E299" s="221">
        <f>('Pivot Table for Data Exchange'!$L$372)*100</f>
        <v>24.185221914898968</v>
      </c>
      <c r="F299" s="221">
        <f>('Pivot Table for Data Exchange'!$L$375)*100</f>
        <v>5.3623420591658318E-2</v>
      </c>
      <c r="G299" s="223">
        <f>('Pivot Table for Data Exchange'!$L$378)*100</f>
        <v>0.23435420851169189</v>
      </c>
      <c r="H299" s="67">
        <f>('Pivot Table for Data Exchange'!$L$381)*100</f>
        <v>3.4424911984768304E-2</v>
      </c>
      <c r="I299" s="65"/>
      <c r="J299" s="81"/>
      <c r="K299" s="81"/>
      <c r="L299" s="81"/>
      <c r="M299" s="81"/>
      <c r="N299" s="81"/>
      <c r="O299" s="81"/>
      <c r="P299" s="81"/>
      <c r="Q299" s="97">
        <f t="shared" si="65"/>
        <v>99.999999999999986</v>
      </c>
      <c r="R299" s="97"/>
      <c r="S299" s="63"/>
      <c r="T299" s="74"/>
      <c r="U299" s="63"/>
      <c r="V299" s="63"/>
      <c r="W299" s="63"/>
      <c r="X299" s="63"/>
      <c r="Y299" s="63"/>
      <c r="Z299" s="63"/>
      <c r="AA299" s="63"/>
      <c r="AB299" s="63"/>
      <c r="AC299" s="63"/>
      <c r="AD299" s="63"/>
      <c r="AE299" s="63"/>
      <c r="AF299" s="63"/>
      <c r="AG299" s="63"/>
      <c r="AH299" s="63"/>
      <c r="AI299" s="63"/>
      <c r="AJ299" s="63"/>
      <c r="AK299" s="63"/>
      <c r="AL299" s="63"/>
      <c r="AM299" s="63"/>
      <c r="AN299" s="63"/>
      <c r="AO299" s="63"/>
    </row>
    <row r="300" spans="1:41" ht="15.75" customHeight="1">
      <c r="A300" s="65" t="s">
        <v>151</v>
      </c>
      <c r="B300" s="221">
        <f>('Pivot Table for Data Exchange'!$L$402)*100</f>
        <v>73.103188288997174</v>
      </c>
      <c r="C300" s="221">
        <f>('Pivot Table for Data Exchange'!$L$405)*100</f>
        <v>5.0141930731337281</v>
      </c>
      <c r="D300" s="227">
        <f>SUM(E300:G300)</f>
        <v>21.882618637869093</v>
      </c>
      <c r="E300" s="221">
        <f>('Pivot Table for Data Exchange'!$L$408)*100</f>
        <v>21.11566733999814</v>
      </c>
      <c r="F300" s="221">
        <f>('Pivot Table for Data Exchange'!$L$411)*100</f>
        <v>0.76695129787095251</v>
      </c>
      <c r="G300" s="223">
        <f>('Pivot Table for Data Exchange'!$L$414)*100</f>
        <v>0</v>
      </c>
      <c r="H300" s="221">
        <f>('Pivot Table for Data Exchange'!$L$417)*100</f>
        <v>0</v>
      </c>
      <c r="I300" s="65"/>
      <c r="J300" s="81"/>
      <c r="K300" s="81"/>
      <c r="L300" s="81"/>
      <c r="M300" s="81"/>
      <c r="N300" s="81"/>
      <c r="O300" s="81"/>
      <c r="P300" s="81"/>
      <c r="Q300" s="97">
        <f t="shared" si="65"/>
        <v>100</v>
      </c>
      <c r="R300" s="97"/>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row>
    <row r="301" spans="1:41" ht="11.25" customHeight="1">
      <c r="A301" s="65"/>
      <c r="B301" s="221"/>
      <c r="C301" s="221"/>
      <c r="D301" s="227"/>
      <c r="E301" s="221"/>
      <c r="F301" s="221"/>
      <c r="G301" s="223"/>
      <c r="H301" s="221"/>
      <c r="I301" s="65"/>
      <c r="J301" s="81"/>
      <c r="K301" s="81"/>
      <c r="L301" s="81"/>
      <c r="M301" s="81"/>
      <c r="N301" s="81"/>
      <c r="O301" s="81"/>
      <c r="P301" s="81"/>
      <c r="Q301" s="97">
        <f t="shared" si="65"/>
        <v>0</v>
      </c>
      <c r="R301" s="97"/>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row>
    <row r="302" spans="1:41" ht="15.75" customHeight="1">
      <c r="A302" s="65" t="s">
        <v>152</v>
      </c>
      <c r="B302" s="221">
        <f>('Pivot Table for Data Exchange'!$L$438)*100</f>
        <v>47.455880590010231</v>
      </c>
      <c r="C302" s="221">
        <f>('Pivot Table for Data Exchange'!$L$441)*100</f>
        <v>28.29585192100209</v>
      </c>
      <c r="D302" s="227">
        <f>SUM(E302:G302)</f>
        <v>24.135427905351463</v>
      </c>
      <c r="E302" s="221">
        <f>('Pivot Table for Data Exchange'!$L$444)*100</f>
        <v>19.196910684816903</v>
      </c>
      <c r="F302" s="221">
        <f>('Pivot Table for Data Exchange'!$L$447)*100</f>
        <v>0.16426015339449729</v>
      </c>
      <c r="G302" s="223">
        <f>('Pivot Table for Data Exchange'!$L$450)*100</f>
        <v>4.7742570671400619</v>
      </c>
      <c r="H302" s="221">
        <f>('Pivot Table for Data Exchange'!$L$453)*100</f>
        <v>0.11283958363621988</v>
      </c>
      <c r="I302" s="65"/>
      <c r="J302" s="81"/>
      <c r="K302" s="81"/>
      <c r="L302" s="81"/>
      <c r="M302" s="81"/>
      <c r="N302" s="81"/>
      <c r="O302" s="81"/>
      <c r="P302" s="81"/>
      <c r="Q302" s="97">
        <f t="shared" si="65"/>
        <v>100</v>
      </c>
      <c r="R302" s="97"/>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row>
    <row r="303" spans="1:41" ht="15.75" customHeight="1">
      <c r="A303" s="65" t="s">
        <v>153</v>
      </c>
      <c r="B303" s="221">
        <f>('Pivot Table for Data Exchange'!$L$474)*100</f>
        <v>65.780804953324022</v>
      </c>
      <c r="C303" s="221">
        <f>('Pivot Table for Data Exchange'!$L$477)*100</f>
        <v>11.393509802722225</v>
      </c>
      <c r="D303" s="227">
        <f>SUM(E303:G303)</f>
        <v>22.825685243953743</v>
      </c>
      <c r="E303" s="221">
        <f>('Pivot Table for Data Exchange'!$L$480)*100</f>
        <v>22.482312999107119</v>
      </c>
      <c r="F303" s="221">
        <f>('Pivot Table for Data Exchange'!$L$483)*100</f>
        <v>6.7960680519054711E-2</v>
      </c>
      <c r="G303" s="223">
        <f>('Pivot Table for Data Exchange'!$L$486)*100</f>
        <v>0.27541156432757052</v>
      </c>
      <c r="H303" s="221">
        <f>('Pivot Table for Data Exchange'!$L$489)*100</f>
        <v>0</v>
      </c>
      <c r="I303" s="65"/>
      <c r="J303" s="81"/>
      <c r="K303" s="81"/>
      <c r="L303" s="81"/>
      <c r="M303" s="81"/>
      <c r="N303" s="81"/>
      <c r="O303" s="81"/>
      <c r="P303" s="81"/>
      <c r="Q303" s="97">
        <f t="shared" si="65"/>
        <v>99.999999999999986</v>
      </c>
      <c r="R303" s="97"/>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row>
    <row r="304" spans="1:41" ht="15.75" customHeight="1">
      <c r="A304" s="65" t="s">
        <v>154</v>
      </c>
      <c r="B304" s="221">
        <f>('Pivot Table for Data Exchange'!$L$510)*100</f>
        <v>67.865180543923685</v>
      </c>
      <c r="C304" s="221">
        <f>('Pivot Table for Data Exchange'!$L$513)*100</f>
        <v>6.192120654417872</v>
      </c>
      <c r="D304" s="227">
        <f t="shared" ref="D304" si="70">SUM(E304:G304)</f>
        <v>25.942698801658448</v>
      </c>
      <c r="E304" s="221">
        <f>('Pivot Table for Data Exchange'!$L$516)*100</f>
        <v>25.7982050725312</v>
      </c>
      <c r="F304" s="221">
        <f>('Pivot Table for Data Exchange'!$L$519)*100</f>
        <v>0.14449372912724753</v>
      </c>
      <c r="G304" s="223">
        <f>('Pivot Table for Data Exchange'!$L$522)*100</f>
        <v>0</v>
      </c>
      <c r="H304" s="221">
        <f>('Pivot Table for Data Exchange'!$L$525)*100</f>
        <v>0</v>
      </c>
      <c r="I304" s="65"/>
      <c r="J304" s="81"/>
      <c r="K304" s="81"/>
      <c r="L304" s="81"/>
      <c r="M304" s="81"/>
      <c r="N304" s="81"/>
      <c r="O304" s="81"/>
      <c r="P304" s="81"/>
      <c r="Q304" s="97">
        <f t="shared" si="65"/>
        <v>100.00000000000001</v>
      </c>
      <c r="R304" s="97"/>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row>
    <row r="305" spans="1:41" ht="15.75" customHeight="1">
      <c r="A305" s="39" t="s">
        <v>155</v>
      </c>
      <c r="B305" s="224">
        <f>('Pivot Table for Data Exchange'!$L$546)*100</f>
        <v>0</v>
      </c>
      <c r="C305" s="224">
        <f>('Pivot Table for Data Exchange'!$L$549)*100</f>
        <v>0</v>
      </c>
      <c r="D305" s="228">
        <f>SUM(E305:G305)</f>
        <v>0</v>
      </c>
      <c r="E305" s="224">
        <f>('Pivot Table for Data Exchange'!$L$552)*100</f>
        <v>0</v>
      </c>
      <c r="F305" s="224">
        <f>('Pivot Table for Data Exchange'!$L$555)*100</f>
        <v>0</v>
      </c>
      <c r="G305" s="225">
        <f>('Pivot Table for Data Exchange'!$L$558)*100</f>
        <v>0</v>
      </c>
      <c r="H305" s="224">
        <f>('Pivot Table for Data Exchange'!$L$561)*100</f>
        <v>0</v>
      </c>
      <c r="I305" s="65"/>
      <c r="J305" s="81"/>
      <c r="K305" s="81"/>
      <c r="L305" s="81"/>
      <c r="M305" s="81"/>
      <c r="N305" s="81"/>
      <c r="O305" s="81"/>
      <c r="P305" s="81"/>
      <c r="Q305" s="97">
        <f t="shared" si="65"/>
        <v>0</v>
      </c>
      <c r="R305" s="97"/>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row>
    <row r="306" spans="1:41" s="25" customFormat="1" ht="13.5" customHeight="1">
      <c r="A306" s="691" t="s">
        <v>175</v>
      </c>
      <c r="B306" s="69"/>
      <c r="C306" s="69"/>
      <c r="D306" s="70"/>
      <c r="E306" s="69"/>
      <c r="F306" s="70"/>
      <c r="G306" s="70"/>
      <c r="H306" s="69"/>
      <c r="I306" s="24"/>
      <c r="J306" s="69"/>
      <c r="K306" s="69"/>
      <c r="L306" s="70"/>
      <c r="M306" s="69"/>
      <c r="N306" s="70"/>
      <c r="O306" s="70"/>
      <c r="P306" s="69"/>
      <c r="Q306" s="97">
        <f t="shared" si="65"/>
        <v>0</v>
      </c>
      <c r="R306" s="101"/>
      <c r="S306" s="71"/>
      <c r="T306" s="71"/>
      <c r="U306" s="71"/>
      <c r="V306" s="71"/>
      <c r="W306" s="71"/>
      <c r="X306" s="71"/>
      <c r="Y306" s="71"/>
      <c r="Z306" s="71"/>
      <c r="AA306" s="71"/>
      <c r="AB306" s="71"/>
      <c r="AC306" s="71"/>
      <c r="AD306" s="71"/>
      <c r="AE306" s="71"/>
      <c r="AF306" s="71"/>
      <c r="AG306" s="71"/>
      <c r="AH306" s="71"/>
      <c r="AI306" s="71"/>
      <c r="AJ306" s="71"/>
      <c r="AK306" s="71"/>
      <c r="AL306" s="71"/>
      <c r="AM306" s="71"/>
      <c r="AN306" s="71"/>
      <c r="AO306" s="71"/>
    </row>
    <row r="307" spans="1:41" s="25" customFormat="1" ht="24" customHeight="1">
      <c r="A307" s="666" t="s">
        <v>180</v>
      </c>
      <c r="B307" s="693"/>
      <c r="C307" s="693"/>
      <c r="D307" s="693"/>
      <c r="E307" s="693"/>
      <c r="F307" s="693"/>
      <c r="G307" s="693"/>
      <c r="H307" s="693"/>
      <c r="I307" s="24"/>
      <c r="P307" s="77"/>
      <c r="Q307" s="97">
        <f t="shared" si="65"/>
        <v>0</v>
      </c>
      <c r="R307" s="106"/>
    </row>
    <row r="308" spans="1:41" s="25" customFormat="1" ht="13.5" customHeight="1">
      <c r="A308" s="75"/>
      <c r="H308" s="26"/>
      <c r="I308" s="75"/>
      <c r="Q308" s="97">
        <f t="shared" si="65"/>
        <v>0</v>
      </c>
      <c r="R308" s="106"/>
    </row>
    <row r="309" spans="1:41" s="25" customFormat="1">
      <c r="A309" s="26"/>
      <c r="H309" s="27" t="s">
        <v>899</v>
      </c>
      <c r="I309" s="85"/>
      <c r="J309" s="26"/>
      <c r="K309" s="26"/>
      <c r="L309" s="26"/>
      <c r="M309" s="26"/>
      <c r="N309" s="26"/>
      <c r="O309" s="26"/>
      <c r="P309" s="26"/>
      <c r="Q309" s="97">
        <f t="shared" si="65"/>
        <v>0</v>
      </c>
      <c r="R309" s="106"/>
    </row>
    <row r="310" spans="1:41" ht="18">
      <c r="A310" s="16" t="s">
        <v>210</v>
      </c>
      <c r="B310" s="34"/>
      <c r="C310" s="34"/>
      <c r="D310" s="34"/>
      <c r="E310" s="34"/>
      <c r="F310" s="34"/>
      <c r="G310" s="34"/>
      <c r="H310" s="35"/>
      <c r="I310" s="80"/>
      <c r="J310" s="65"/>
      <c r="K310" s="65"/>
      <c r="L310" s="65"/>
      <c r="M310" s="65"/>
      <c r="N310" s="65"/>
      <c r="O310" s="65"/>
      <c r="P310" s="65"/>
      <c r="Q310" s="97">
        <f t="shared" si="65"/>
        <v>0</v>
      </c>
    </row>
    <row r="311" spans="1:41">
      <c r="A311" s="18"/>
      <c r="B311" s="19"/>
      <c r="C311" s="19"/>
      <c r="D311" s="19"/>
      <c r="E311" s="19"/>
      <c r="F311" s="19"/>
      <c r="G311" s="19"/>
      <c r="H311" s="36"/>
      <c r="I311" s="80"/>
      <c r="J311" s="65"/>
      <c r="K311" s="65"/>
      <c r="L311" s="65"/>
      <c r="M311" s="65"/>
      <c r="N311" s="65"/>
      <c r="O311" s="65"/>
      <c r="P311" s="65"/>
      <c r="Q311" s="97">
        <f t="shared" si="65"/>
        <v>0</v>
      </c>
    </row>
    <row r="312" spans="1:41" ht="15.75">
      <c r="A312" s="37" t="s">
        <v>162</v>
      </c>
      <c r="B312" s="19"/>
      <c r="C312" s="19"/>
      <c r="D312" s="19"/>
      <c r="E312" s="19"/>
      <c r="F312" s="19"/>
      <c r="G312" s="19"/>
      <c r="H312" s="36"/>
      <c r="I312" s="80"/>
      <c r="J312" s="65"/>
      <c r="K312" s="65"/>
      <c r="L312" s="65"/>
      <c r="M312" s="65"/>
      <c r="N312" s="65"/>
      <c r="O312" s="65"/>
      <c r="P312" s="65"/>
      <c r="Q312" s="97">
        <f t="shared" si="65"/>
        <v>0</v>
      </c>
    </row>
    <row r="313" spans="1:41" ht="15.75">
      <c r="A313" s="37" t="s">
        <v>274</v>
      </c>
      <c r="B313" s="19"/>
      <c r="C313" s="19"/>
      <c r="D313" s="19"/>
      <c r="E313" s="19"/>
      <c r="F313" s="19"/>
      <c r="G313" s="19"/>
      <c r="H313" s="36"/>
      <c r="I313" s="80"/>
      <c r="J313" s="65"/>
      <c r="K313" s="65"/>
      <c r="L313" s="65"/>
      <c r="M313" s="65"/>
      <c r="N313" s="65"/>
      <c r="O313" s="65"/>
      <c r="P313" s="65"/>
      <c r="Q313" s="97">
        <f t="shared" si="65"/>
        <v>0</v>
      </c>
    </row>
    <row r="314" spans="1:41">
      <c r="A314" s="39"/>
      <c r="B314" s="40"/>
      <c r="C314" s="40"/>
      <c r="D314" s="40"/>
      <c r="E314" s="40"/>
      <c r="F314" s="40"/>
      <c r="G314" s="40"/>
      <c r="H314" s="40"/>
      <c r="I314" s="80"/>
      <c r="J314" s="65"/>
      <c r="K314" s="65"/>
      <c r="L314" s="65"/>
      <c r="M314" s="65"/>
      <c r="N314" s="65"/>
      <c r="O314" s="65"/>
      <c r="P314" s="65"/>
      <c r="Q314" s="97">
        <f t="shared" si="65"/>
        <v>0</v>
      </c>
    </row>
    <row r="315" spans="1:41">
      <c r="A315" s="43"/>
      <c r="B315" s="44" t="s">
        <v>164</v>
      </c>
      <c r="C315" s="44"/>
      <c r="D315" s="44"/>
      <c r="E315" s="44"/>
      <c r="F315" s="44"/>
      <c r="G315" s="44"/>
      <c r="H315" s="45"/>
      <c r="I315" s="80"/>
      <c r="J315" s="65"/>
      <c r="K315" s="65"/>
      <c r="L315" s="65"/>
      <c r="M315" s="65"/>
      <c r="N315" s="65"/>
      <c r="O315" s="65"/>
      <c r="P315" s="65"/>
      <c r="Q315" s="97">
        <f t="shared" si="65"/>
        <v>0</v>
      </c>
    </row>
    <row r="316" spans="1:41">
      <c r="A316" s="43"/>
      <c r="B316" s="44" t="s">
        <v>165</v>
      </c>
      <c r="C316" s="44"/>
      <c r="D316" s="670" t="s">
        <v>166</v>
      </c>
      <c r="E316" s="668"/>
      <c r="F316" s="668"/>
      <c r="G316" s="668"/>
      <c r="H316" s="49" t="s">
        <v>39</v>
      </c>
      <c r="I316" s="80"/>
      <c r="J316" s="65"/>
      <c r="K316" s="65"/>
      <c r="L316" s="65"/>
      <c r="M316" s="65"/>
      <c r="N316" s="65"/>
      <c r="O316" s="65"/>
      <c r="P316" s="65"/>
      <c r="Q316" s="97">
        <f t="shared" si="65"/>
        <v>0</v>
      </c>
    </row>
    <row r="317" spans="1:41" ht="36">
      <c r="A317" s="43"/>
      <c r="B317" s="50" t="s">
        <v>167</v>
      </c>
      <c r="C317" s="51" t="s">
        <v>168</v>
      </c>
      <c r="D317" s="52" t="s">
        <v>169</v>
      </c>
      <c r="E317" s="53" t="s">
        <v>7</v>
      </c>
      <c r="F317" s="50" t="s">
        <v>170</v>
      </c>
      <c r="G317" s="54" t="s">
        <v>171</v>
      </c>
      <c r="H317" s="55" t="s">
        <v>172</v>
      </c>
      <c r="I317" s="80"/>
      <c r="J317" s="65"/>
      <c r="K317" s="65"/>
      <c r="L317" s="65"/>
      <c r="M317" s="65"/>
      <c r="N317" s="65"/>
      <c r="O317" s="65"/>
      <c r="P317" s="65"/>
      <c r="Q317" s="97">
        <f t="shared" si="65"/>
        <v>0</v>
      </c>
    </row>
    <row r="318" spans="1:41" ht="15.75" customHeight="1">
      <c r="A318" s="62" t="s">
        <v>141</v>
      </c>
      <c r="B318" s="221">
        <f>('Pivot Table for Data Exchange'!$M$6)*100</f>
        <v>67.171594856619564</v>
      </c>
      <c r="C318" s="221">
        <f>('Pivot Table for Data Exchange'!$M$9)*100</f>
        <v>16.845308822305135</v>
      </c>
      <c r="D318" s="227">
        <f>SUM(E318:G318)</f>
        <v>15.983096321075294</v>
      </c>
      <c r="E318" s="221">
        <f>('Pivot Table for Data Exchange'!$M$12)*100</f>
        <v>15.224001180646479</v>
      </c>
      <c r="F318" s="221">
        <f>('Pivot Table for Data Exchange'!$M$15)*100</f>
        <v>0.43536338936358615</v>
      </c>
      <c r="G318" s="60">
        <f>('Pivot Table for Data Exchange'!$M$18)*100</f>
        <v>0.32373175106523072</v>
      </c>
      <c r="H318" s="61">
        <f>('Pivot Table for Data Exchange'!$M$21)*100</f>
        <v>0</v>
      </c>
      <c r="I318" s="65"/>
      <c r="J318" s="81"/>
      <c r="K318" s="81"/>
      <c r="L318" s="81"/>
      <c r="M318" s="81"/>
      <c r="N318" s="81"/>
      <c r="O318" s="81"/>
      <c r="P318" s="81"/>
      <c r="Q318" s="97">
        <f t="shared" si="65"/>
        <v>100</v>
      </c>
      <c r="R318" s="97"/>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row>
    <row r="319" spans="1:41" ht="15.75" customHeight="1">
      <c r="A319" s="65" t="s">
        <v>142</v>
      </c>
      <c r="B319" s="221">
        <f>('Pivot Table for Data Exchange'!$M$42)*100</f>
        <v>72.881761608425094</v>
      </c>
      <c r="C319" s="221">
        <f>('Pivot Table for Data Exchange'!$M$45)*100</f>
        <v>6.4384873145045471</v>
      </c>
      <c r="D319" s="227">
        <f t="shared" ref="D319:D321" si="71">SUM(E319:G319)</f>
        <v>20.679751077070367</v>
      </c>
      <c r="E319" s="221">
        <f>('Pivot Table for Data Exchange'!$M$48)*100</f>
        <v>20.679751077070367</v>
      </c>
      <c r="F319" s="221">
        <f>('Pivot Table for Data Exchange'!$M$51)*100</f>
        <v>0</v>
      </c>
      <c r="G319" s="223">
        <f>('Pivot Table for Data Exchange'!$M$54)*100</f>
        <v>0</v>
      </c>
      <c r="H319" s="221">
        <f>('Pivot Table for Data Exchange'!$M$57)*100</f>
        <v>0</v>
      </c>
      <c r="I319" s="65"/>
      <c r="J319" s="81"/>
      <c r="K319" s="81"/>
      <c r="L319" s="81"/>
      <c r="M319" s="81"/>
      <c r="N319" s="81"/>
      <c r="O319" s="81"/>
      <c r="P319" s="81"/>
      <c r="Q319" s="97">
        <f t="shared" si="65"/>
        <v>100</v>
      </c>
      <c r="R319" s="97"/>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row>
    <row r="320" spans="1:41" ht="15.75" customHeight="1">
      <c r="A320" s="65" t="s">
        <v>143</v>
      </c>
      <c r="B320" s="221">
        <f>('Pivot Table for Data Exchange'!$M$78)*100</f>
        <v>88.104118915796661</v>
      </c>
      <c r="C320" s="221">
        <f>('Pivot Table for Data Exchange'!$M$81)*100</f>
        <v>0</v>
      </c>
      <c r="D320" s="227">
        <f t="shared" si="71"/>
        <v>11.895881084203348</v>
      </c>
      <c r="E320" s="221">
        <f>('Pivot Table for Data Exchange'!$M$84)*100</f>
        <v>11.288766537419272</v>
      </c>
      <c r="F320" s="221">
        <f>('Pivot Table for Data Exchange'!$M$87)*100</f>
        <v>0.36807855619803731</v>
      </c>
      <c r="G320" s="223">
        <f>('Pivot Table for Data Exchange'!$M$90)*100</f>
        <v>0.23903599058603758</v>
      </c>
      <c r="H320" s="221">
        <f>('Pivot Table for Data Exchange'!$M$93)*100</f>
        <v>0</v>
      </c>
      <c r="I320" s="65"/>
      <c r="J320" s="81"/>
      <c r="K320" s="81"/>
      <c r="L320" s="81"/>
      <c r="M320" s="81"/>
      <c r="N320" s="81"/>
      <c r="O320" s="81"/>
      <c r="P320" s="81"/>
      <c r="Q320" s="97">
        <f t="shared" si="65"/>
        <v>100.00000000000001</v>
      </c>
      <c r="R320" s="97"/>
      <c r="S320" s="63"/>
      <c r="T320" s="74"/>
      <c r="U320" s="63"/>
      <c r="V320" s="63"/>
      <c r="W320" s="63"/>
      <c r="X320" s="63"/>
      <c r="Y320" s="63"/>
      <c r="Z320" s="63"/>
      <c r="AA320" s="63"/>
      <c r="AB320" s="63"/>
      <c r="AC320" s="63"/>
      <c r="AD320" s="63"/>
      <c r="AE320" s="63"/>
      <c r="AF320" s="63"/>
      <c r="AG320" s="63"/>
      <c r="AH320" s="63"/>
      <c r="AI320" s="63"/>
      <c r="AJ320" s="63"/>
      <c r="AK320" s="63"/>
      <c r="AL320" s="63"/>
      <c r="AM320" s="63"/>
      <c r="AN320" s="63"/>
      <c r="AO320" s="63"/>
    </row>
    <row r="321" spans="1:41" ht="15.75" customHeight="1">
      <c r="A321" s="65" t="s">
        <v>174</v>
      </c>
      <c r="B321" s="221">
        <f>('Pivot Table for Data Exchange'!$M$114)*100</f>
        <v>68.884970411039433</v>
      </c>
      <c r="C321" s="221">
        <f>('Pivot Table for Data Exchange'!$M$117)*100</f>
        <v>8.1155238515075006</v>
      </c>
      <c r="D321" s="227">
        <f t="shared" si="71"/>
        <v>22.999505737453077</v>
      </c>
      <c r="E321" s="221">
        <f>('Pivot Table for Data Exchange'!$M$120)*100</f>
        <v>22.336392417745362</v>
      </c>
      <c r="F321" s="221">
        <f>('Pivot Table for Data Exchange'!$M$123)*100</f>
        <v>0.64922053460505758</v>
      </c>
      <c r="G321" s="68">
        <f>('Pivot Table for Data Exchange'!$M$126)*100</f>
        <v>1.3892785102659667E-2</v>
      </c>
      <c r="H321" s="221">
        <f>('Pivot Table for Data Exchange'!$M$129)*100</f>
        <v>0</v>
      </c>
      <c r="I321" s="65"/>
      <c r="J321" s="81"/>
      <c r="K321" s="81"/>
      <c r="L321" s="81"/>
      <c r="M321" s="81"/>
      <c r="N321" s="81"/>
      <c r="O321" s="81"/>
      <c r="P321" s="81"/>
      <c r="Q321" s="97">
        <f t="shared" si="65"/>
        <v>100.00000000000001</v>
      </c>
      <c r="R321" s="97"/>
      <c r="S321" s="63"/>
      <c r="U321" s="63"/>
      <c r="V321" s="63"/>
      <c r="W321" s="63"/>
      <c r="X321" s="63"/>
      <c r="Y321" s="63"/>
      <c r="Z321" s="63"/>
      <c r="AA321" s="63"/>
      <c r="AB321" s="63"/>
      <c r="AC321" s="63"/>
      <c r="AD321" s="63"/>
      <c r="AE321" s="63"/>
      <c r="AF321" s="63"/>
      <c r="AG321" s="63"/>
      <c r="AH321" s="63"/>
      <c r="AI321" s="63"/>
      <c r="AJ321" s="63"/>
      <c r="AK321" s="63"/>
      <c r="AL321" s="63"/>
      <c r="AM321" s="63"/>
      <c r="AN321" s="63"/>
      <c r="AO321" s="63"/>
    </row>
    <row r="322" spans="1:41" ht="15.75" customHeight="1">
      <c r="A322" s="65"/>
      <c r="B322" s="221"/>
      <c r="C322" s="221"/>
      <c r="D322" s="227"/>
      <c r="E322" s="221"/>
      <c r="F322" s="221"/>
      <c r="G322" s="223"/>
      <c r="H322" s="221"/>
      <c r="I322" s="65"/>
      <c r="J322" s="81"/>
      <c r="K322" s="81"/>
      <c r="L322" s="81"/>
      <c r="M322" s="81"/>
      <c r="N322" s="81"/>
      <c r="O322" s="81"/>
      <c r="P322" s="81"/>
      <c r="Q322" s="97">
        <f t="shared" si="65"/>
        <v>0</v>
      </c>
      <c r="R322" s="97"/>
      <c r="S322" s="63"/>
      <c r="U322" s="63"/>
      <c r="V322" s="63"/>
      <c r="W322" s="63"/>
      <c r="X322" s="63"/>
      <c r="Y322" s="63"/>
      <c r="Z322" s="63"/>
      <c r="AA322" s="63"/>
      <c r="AB322" s="63"/>
      <c r="AC322" s="63"/>
      <c r="AD322" s="63"/>
      <c r="AE322" s="63"/>
      <c r="AF322" s="63"/>
      <c r="AG322" s="63"/>
      <c r="AH322" s="63"/>
      <c r="AI322" s="63"/>
      <c r="AJ322" s="63"/>
      <c r="AK322" s="63"/>
      <c r="AL322" s="63"/>
      <c r="AM322" s="63"/>
      <c r="AN322" s="63"/>
      <c r="AO322" s="63"/>
    </row>
    <row r="323" spans="1:41" ht="15.75" customHeight="1">
      <c r="A323" s="65" t="s">
        <v>145</v>
      </c>
      <c r="B323" s="221">
        <f>('Pivot Table for Data Exchange'!$M$150)*100</f>
        <v>0</v>
      </c>
      <c r="C323" s="221">
        <f>('Pivot Table for Data Exchange'!$M$153)*100</f>
        <v>0</v>
      </c>
      <c r="D323" s="227">
        <f t="shared" ref="D323:D326" si="72">SUM(E323:G323)</f>
        <v>0</v>
      </c>
      <c r="E323" s="221">
        <f>('Pivot Table for Data Exchange'!$M$156)*100</f>
        <v>0</v>
      </c>
      <c r="F323" s="221">
        <f>('Pivot Table for Data Exchange'!$M$159)*100</f>
        <v>0</v>
      </c>
      <c r="G323" s="223">
        <f>('Pivot Table for Data Exchange'!$M$162)*100</f>
        <v>0</v>
      </c>
      <c r="H323" s="221">
        <f>('Pivot Table for Data Exchange'!$M$165)*100</f>
        <v>0</v>
      </c>
      <c r="I323" s="65"/>
      <c r="J323" s="81"/>
      <c r="K323" s="81"/>
      <c r="L323" s="81"/>
      <c r="M323" s="81"/>
      <c r="N323" s="81"/>
      <c r="O323" s="81"/>
      <c r="P323" s="81"/>
      <c r="Q323" s="97">
        <f t="shared" si="65"/>
        <v>0</v>
      </c>
      <c r="R323" s="97"/>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row>
    <row r="324" spans="1:41" ht="15.75" customHeight="1">
      <c r="A324" s="65" t="s">
        <v>146</v>
      </c>
      <c r="B324" s="221">
        <f>('Pivot Table for Data Exchange'!$M$186)*100</f>
        <v>58.673048530145742</v>
      </c>
      <c r="C324" s="221">
        <f>('Pivot Table for Data Exchange'!$M$189)*100</f>
        <v>4.5184679351038</v>
      </c>
      <c r="D324" s="227">
        <f t="shared" si="72"/>
        <v>36.808483534750458</v>
      </c>
      <c r="E324" s="221">
        <f>('Pivot Table for Data Exchange'!$M$192)*100</f>
        <v>36.354276955333219</v>
      </c>
      <c r="F324" s="221">
        <f>('Pivot Table for Data Exchange'!$M$195)*100</f>
        <v>0.15004479416610805</v>
      </c>
      <c r="G324" s="223">
        <f>('Pivot Table for Data Exchange'!$M$198)*100</f>
        <v>0.30416178525112925</v>
      </c>
      <c r="H324" s="221">
        <f>('Pivot Table for Data Exchange'!$M$201)*100</f>
        <v>0</v>
      </c>
      <c r="I324" s="65"/>
      <c r="J324" s="81"/>
      <c r="K324" s="81"/>
      <c r="L324" s="81"/>
      <c r="M324" s="81"/>
      <c r="N324" s="81"/>
      <c r="O324" s="81"/>
      <c r="P324" s="81"/>
      <c r="Q324" s="97">
        <f t="shared" si="65"/>
        <v>100</v>
      </c>
      <c r="R324" s="97"/>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row>
    <row r="325" spans="1:41" ht="15.75" customHeight="1">
      <c r="A325" s="65" t="s">
        <v>147</v>
      </c>
      <c r="B325" s="221">
        <f>('Pivot Table for Data Exchange'!$M$222)*100</f>
        <v>0</v>
      </c>
      <c r="C325" s="221">
        <f>('Pivot Table for Data Exchange'!$M$225)*100</f>
        <v>0</v>
      </c>
      <c r="D325" s="227">
        <f t="shared" si="72"/>
        <v>0</v>
      </c>
      <c r="E325" s="221">
        <f>('Pivot Table for Data Exchange'!$M$228)*100</f>
        <v>0</v>
      </c>
      <c r="F325" s="221">
        <f>('Pivot Table for Data Exchange'!$M$231)*100</f>
        <v>0</v>
      </c>
      <c r="G325" s="223">
        <f>('Pivot Table for Data Exchange'!$M$234)*100</f>
        <v>0</v>
      </c>
      <c r="H325" s="221">
        <f>('Pivot Table for Data Exchange'!$M$237)*100</f>
        <v>0</v>
      </c>
      <c r="I325" s="65"/>
      <c r="J325" s="81"/>
      <c r="K325" s="81"/>
      <c r="L325" s="81"/>
      <c r="M325" s="81"/>
      <c r="N325" s="81"/>
      <c r="O325" s="81"/>
      <c r="P325" s="81"/>
      <c r="Q325" s="97">
        <f t="shared" si="65"/>
        <v>0</v>
      </c>
      <c r="R325" s="97"/>
      <c r="S325" s="63"/>
      <c r="T325" s="74"/>
      <c r="U325" s="63"/>
      <c r="V325" s="63"/>
      <c r="W325" s="63"/>
      <c r="X325" s="63"/>
      <c r="Y325" s="63"/>
      <c r="Z325" s="63"/>
      <c r="AA325" s="63"/>
      <c r="AB325" s="63"/>
      <c r="AC325" s="63"/>
      <c r="AD325" s="63"/>
      <c r="AE325" s="63"/>
      <c r="AF325" s="63"/>
      <c r="AG325" s="63"/>
      <c r="AH325" s="63"/>
      <c r="AI325" s="63"/>
      <c r="AJ325" s="63"/>
      <c r="AK325" s="63"/>
      <c r="AL325" s="63"/>
      <c r="AM325" s="63"/>
      <c r="AN325" s="63"/>
      <c r="AO325" s="63"/>
    </row>
    <row r="326" spans="1:41" ht="15.75" customHeight="1">
      <c r="A326" s="65" t="s">
        <v>177</v>
      </c>
      <c r="B326" s="221">
        <f>('Pivot Table for Data Exchange'!$M$258)*100</f>
        <v>76.656633326188228</v>
      </c>
      <c r="C326" s="221">
        <f>('Pivot Table for Data Exchange'!$M$261)*100</f>
        <v>5.4260043655597796</v>
      </c>
      <c r="D326" s="227">
        <f t="shared" si="72"/>
        <v>17.917362308251995</v>
      </c>
      <c r="E326" s="221">
        <f>('Pivot Table for Data Exchange'!$M$264)*100</f>
        <v>17.550848506622309</v>
      </c>
      <c r="F326" s="221">
        <f>('Pivot Table for Data Exchange'!$M$267)*100</f>
        <v>0.36651380162968822</v>
      </c>
      <c r="G326" s="223">
        <f>('Pivot Table for Data Exchange'!$M$270)*100</f>
        <v>0</v>
      </c>
      <c r="H326" s="67">
        <f>('Pivot Table for Data Exchange'!$M$273)*100</f>
        <v>0</v>
      </c>
      <c r="I326" s="65"/>
      <c r="J326" s="81"/>
      <c r="K326" s="81"/>
      <c r="L326" s="81"/>
      <c r="M326" s="81"/>
      <c r="N326" s="81"/>
      <c r="O326" s="81"/>
      <c r="P326" s="81"/>
      <c r="Q326" s="97">
        <f t="shared" si="65"/>
        <v>100</v>
      </c>
      <c r="R326" s="97"/>
      <c r="S326" s="63"/>
      <c r="U326" s="63"/>
      <c r="V326" s="63"/>
      <c r="W326" s="63"/>
      <c r="X326" s="63"/>
      <c r="Y326" s="63"/>
      <c r="Z326" s="63"/>
      <c r="AA326" s="63"/>
      <c r="AB326" s="63"/>
      <c r="AC326" s="63"/>
      <c r="AD326" s="63"/>
      <c r="AE326" s="63"/>
      <c r="AF326" s="63"/>
      <c r="AG326" s="63"/>
      <c r="AH326" s="63"/>
      <c r="AI326" s="63"/>
      <c r="AJ326" s="63"/>
      <c r="AK326" s="63"/>
      <c r="AL326" s="63"/>
      <c r="AM326" s="63"/>
      <c r="AN326" s="63"/>
      <c r="AO326" s="63"/>
    </row>
    <row r="327" spans="1:41" ht="12" customHeight="1">
      <c r="A327" s="65"/>
      <c r="B327" s="221"/>
      <c r="C327" s="221"/>
      <c r="D327" s="227"/>
      <c r="E327" s="221"/>
      <c r="F327" s="221"/>
      <c r="G327" s="223"/>
      <c r="H327" s="221"/>
      <c r="I327" s="65"/>
      <c r="J327" s="81"/>
      <c r="K327" s="81"/>
      <c r="L327" s="81"/>
      <c r="M327" s="81"/>
      <c r="N327" s="81"/>
      <c r="O327" s="81"/>
      <c r="P327" s="81"/>
      <c r="Q327" s="97">
        <f t="shared" si="65"/>
        <v>0</v>
      </c>
      <c r="R327" s="97"/>
      <c r="S327" s="63"/>
      <c r="U327" s="63"/>
      <c r="V327" s="63"/>
      <c r="W327" s="63"/>
      <c r="X327" s="63"/>
      <c r="Y327" s="63"/>
      <c r="Z327" s="63"/>
      <c r="AA327" s="63"/>
      <c r="AB327" s="63"/>
      <c r="AC327" s="63"/>
      <c r="AD327" s="63"/>
      <c r="AE327" s="63"/>
      <c r="AF327" s="63"/>
      <c r="AG327" s="63"/>
      <c r="AH327" s="63"/>
      <c r="AI327" s="63"/>
      <c r="AJ327" s="63"/>
      <c r="AK327" s="63"/>
      <c r="AL327" s="63"/>
      <c r="AM327" s="63"/>
      <c r="AN327" s="63"/>
      <c r="AO327" s="63"/>
    </row>
    <row r="328" spans="1:41" ht="15.75" customHeight="1">
      <c r="A328" s="65" t="s">
        <v>179</v>
      </c>
      <c r="B328" s="221">
        <f>('Pivot Table for Data Exchange'!$M$294)*100</f>
        <v>79.80981774668011</v>
      </c>
      <c r="C328" s="221">
        <f>('Pivot Table for Data Exchange'!$M$297)*100</f>
        <v>0</v>
      </c>
      <c r="D328" s="227">
        <f t="shared" ref="D328:D330" si="73">SUM(E328:G328)</f>
        <v>20.19018225331989</v>
      </c>
      <c r="E328" s="221">
        <f>('Pivot Table for Data Exchange'!$M$300)*100</f>
        <v>20.19018225331989</v>
      </c>
      <c r="F328" s="221">
        <f>('Pivot Table for Data Exchange'!$M$303)*100</f>
        <v>0</v>
      </c>
      <c r="G328" s="223">
        <f>('Pivot Table for Data Exchange'!$M$306)*100</f>
        <v>0</v>
      </c>
      <c r="H328" s="221">
        <f>('Pivot Table for Data Exchange'!$M$309)*100</f>
        <v>0</v>
      </c>
      <c r="I328" s="86"/>
      <c r="J328" s="81"/>
      <c r="K328" s="81"/>
      <c r="L328" s="81"/>
      <c r="M328" s="81"/>
      <c r="N328" s="81"/>
      <c r="O328" s="81"/>
      <c r="P328" s="81"/>
      <c r="Q328" s="97">
        <f t="shared" si="65"/>
        <v>100</v>
      </c>
      <c r="R328" s="97"/>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row>
    <row r="329" spans="1:41" ht="15.75" customHeight="1">
      <c r="A329" s="65" t="s">
        <v>149</v>
      </c>
      <c r="B329" s="221">
        <f>('Pivot Table for Data Exchange'!$M$330)*100</f>
        <v>60.46998388336219</v>
      </c>
      <c r="C329" s="221">
        <f>('Pivot Table for Data Exchange'!$M$333)*100</f>
        <v>1.5705499092504718</v>
      </c>
      <c r="D329" s="227">
        <f t="shared" si="73"/>
        <v>37.959466207387344</v>
      </c>
      <c r="E329" s="221">
        <f>('Pivot Table for Data Exchange'!$M$336)*100</f>
        <v>37.21911750195104</v>
      </c>
      <c r="F329" s="221">
        <f>('Pivot Table for Data Exchange'!$M$339)*100</f>
        <v>0.70785628783099164</v>
      </c>
      <c r="G329" s="68">
        <f>('Pivot Table for Data Exchange'!$M$342)*100</f>
        <v>3.249241760530882E-2</v>
      </c>
      <c r="H329" s="221">
        <f>('Pivot Table for Data Exchange'!$M$345)*100</f>
        <v>0</v>
      </c>
      <c r="I329" s="65"/>
      <c r="J329" s="81"/>
      <c r="K329" s="81"/>
      <c r="L329" s="81"/>
      <c r="M329" s="81"/>
      <c r="N329" s="81"/>
      <c r="O329" s="81"/>
      <c r="P329" s="81"/>
      <c r="Q329" s="97">
        <f t="shared" si="65"/>
        <v>100</v>
      </c>
      <c r="R329" s="97"/>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row>
    <row r="330" spans="1:41" ht="15.75" customHeight="1">
      <c r="A330" s="65" t="s">
        <v>150</v>
      </c>
      <c r="B330" s="221">
        <f>('Pivot Table for Data Exchange'!$M$366)*100</f>
        <v>76.03810100169575</v>
      </c>
      <c r="C330" s="221">
        <f>('Pivot Table for Data Exchange'!$M$369)*100</f>
        <v>4.3125240337638928</v>
      </c>
      <c r="D330" s="227">
        <f t="shared" si="73"/>
        <v>19.64937496454035</v>
      </c>
      <c r="E330" s="221">
        <f>('Pivot Table for Data Exchange'!$M$372)*100</f>
        <v>9.740214712130669</v>
      </c>
      <c r="F330" s="221">
        <f>('Pivot Table for Data Exchange'!$M$375)*100</f>
        <v>9.9041171019535899</v>
      </c>
      <c r="G330" s="68">
        <f>('Pivot Table for Data Exchange'!$M$378)*100</f>
        <v>5.043150456089919E-3</v>
      </c>
      <c r="H330" s="221">
        <f>('Pivot Table for Data Exchange'!$M$381)*100</f>
        <v>0</v>
      </c>
      <c r="I330" s="65"/>
      <c r="J330" s="81"/>
      <c r="K330" s="81"/>
      <c r="L330" s="81"/>
      <c r="M330" s="81"/>
      <c r="N330" s="81"/>
      <c r="O330" s="81"/>
      <c r="P330" s="81"/>
      <c r="Q330" s="97">
        <f t="shared" ref="Q330:Q394" si="74">SUM(B330,C330,D330,H330)</f>
        <v>100</v>
      </c>
      <c r="R330" s="97"/>
      <c r="S330" s="63"/>
      <c r="T330" s="74"/>
      <c r="U330" s="63"/>
      <c r="V330" s="63"/>
      <c r="W330" s="63"/>
      <c r="X330" s="63"/>
      <c r="Y330" s="63"/>
      <c r="Z330" s="63"/>
      <c r="AA330" s="63"/>
      <c r="AB330" s="63"/>
      <c r="AC330" s="63"/>
      <c r="AD330" s="63"/>
      <c r="AE330" s="63"/>
      <c r="AF330" s="63"/>
      <c r="AG330" s="63"/>
      <c r="AH330" s="63"/>
      <c r="AI330" s="63"/>
      <c r="AJ330" s="63"/>
      <c r="AK330" s="63"/>
      <c r="AL330" s="63"/>
      <c r="AM330" s="63"/>
      <c r="AN330" s="63"/>
      <c r="AO330" s="63"/>
    </row>
    <row r="331" spans="1:41" ht="15.75" customHeight="1">
      <c r="A331" s="65" t="s">
        <v>151</v>
      </c>
      <c r="B331" s="221">
        <f>('Pivot Table for Data Exchange'!$M$402)*100</f>
        <v>76.692541928969248</v>
      </c>
      <c r="C331" s="221">
        <f>('Pivot Table for Data Exchange'!$M$405)*100</f>
        <v>5.887608273772897</v>
      </c>
      <c r="D331" s="227">
        <f>SUM(E331:G331)</f>
        <v>17.419849797257854</v>
      </c>
      <c r="E331" s="221">
        <f>('Pivot Table for Data Exchange'!$M$408)*100</f>
        <v>17.064064940597341</v>
      </c>
      <c r="F331" s="221">
        <f>('Pivot Table for Data Exchange'!$M$411)*100</f>
        <v>0.3557848566605134</v>
      </c>
      <c r="G331" s="232">
        <f>('Pivot Table for Data Exchange'!$M$414)*100</f>
        <v>0</v>
      </c>
      <c r="H331" s="221">
        <f>('Pivot Table for Data Exchange'!$M$417)*100</f>
        <v>0</v>
      </c>
      <c r="I331" s="65"/>
      <c r="J331" s="81"/>
      <c r="K331" s="81"/>
      <c r="L331" s="81"/>
      <c r="M331" s="81"/>
      <c r="N331" s="81"/>
      <c r="O331" s="81"/>
      <c r="P331" s="81"/>
      <c r="Q331" s="97">
        <f t="shared" si="74"/>
        <v>100</v>
      </c>
      <c r="R331" s="97"/>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row>
    <row r="332" spans="1:41" ht="12.75" customHeight="1">
      <c r="A332" s="65"/>
      <c r="B332" s="221"/>
      <c r="C332" s="221"/>
      <c r="D332" s="227"/>
      <c r="E332" s="221"/>
      <c r="F332" s="221"/>
      <c r="G332" s="223"/>
      <c r="H332" s="221"/>
      <c r="I332" s="65"/>
      <c r="J332" s="81"/>
      <c r="K332" s="81"/>
      <c r="L332" s="81"/>
      <c r="M332" s="81"/>
      <c r="N332" s="81"/>
      <c r="O332" s="81"/>
      <c r="P332" s="81"/>
      <c r="Q332" s="97">
        <f t="shared" si="74"/>
        <v>0</v>
      </c>
      <c r="R332" s="97"/>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row>
    <row r="333" spans="1:41" ht="15.75" customHeight="1">
      <c r="A333" s="65" t="s">
        <v>152</v>
      </c>
      <c r="B333" s="221">
        <f>('Pivot Table for Data Exchange'!$M$438)*100</f>
        <v>41.150723291220402</v>
      </c>
      <c r="C333" s="221">
        <f>('Pivot Table for Data Exchange'!$M$441)*100</f>
        <v>31.797988785878317</v>
      </c>
      <c r="D333" s="227">
        <f>SUM(E333:G333)</f>
        <v>26.811564808332733</v>
      </c>
      <c r="E333" s="221">
        <f>('Pivot Table for Data Exchange'!$M$444)*100</f>
        <v>18.076588394627166</v>
      </c>
      <c r="F333" s="221">
        <f>('Pivot Table for Data Exchange'!$M$447)*100</f>
        <v>4.3216895768860857</v>
      </c>
      <c r="G333" s="223">
        <f>('Pivot Table for Data Exchange'!$M$450)*100</f>
        <v>4.4132868368194815</v>
      </c>
      <c r="H333" s="221">
        <f>('Pivot Table for Data Exchange'!$M$453)*100</f>
        <v>0.2397231145685442</v>
      </c>
      <c r="I333" s="65"/>
      <c r="J333" s="81"/>
      <c r="K333" s="81"/>
      <c r="L333" s="81"/>
      <c r="M333" s="81"/>
      <c r="N333" s="81"/>
      <c r="O333" s="81"/>
      <c r="P333" s="81"/>
      <c r="Q333" s="97">
        <f t="shared" si="74"/>
        <v>100</v>
      </c>
      <c r="R333" s="97"/>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row>
    <row r="334" spans="1:41" ht="15.75" customHeight="1">
      <c r="A334" s="65" t="s">
        <v>153</v>
      </c>
      <c r="B334" s="221">
        <f>('Pivot Table for Data Exchange'!$M$474)*100</f>
        <v>56.48745136879446</v>
      </c>
      <c r="C334" s="221">
        <f>('Pivot Table for Data Exchange'!$M$477)*100</f>
        <v>19.432536137597992</v>
      </c>
      <c r="D334" s="227">
        <f>SUM(E334:G334)</f>
        <v>24.080012493607548</v>
      </c>
      <c r="E334" s="221">
        <f>('Pivot Table for Data Exchange'!$M$480)*100</f>
        <v>21.813159070164879</v>
      </c>
      <c r="F334" s="221">
        <f>('Pivot Table for Data Exchange'!$M$483)*100</f>
        <v>2.0631445050783603</v>
      </c>
      <c r="G334" s="223">
        <f>('Pivot Table for Data Exchange'!$M$486)*100</f>
        <v>0.20370891836430841</v>
      </c>
      <c r="H334" s="221">
        <f>('Pivot Table for Data Exchange'!$M$489)*100</f>
        <v>0</v>
      </c>
      <c r="I334" s="65"/>
      <c r="J334" s="81"/>
      <c r="K334" s="81"/>
      <c r="L334" s="81"/>
      <c r="M334" s="81"/>
      <c r="N334" s="81"/>
      <c r="O334" s="81"/>
      <c r="P334" s="81"/>
      <c r="Q334" s="97">
        <f t="shared" si="74"/>
        <v>100</v>
      </c>
      <c r="R334" s="97"/>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row>
    <row r="335" spans="1:41" ht="15.75" customHeight="1">
      <c r="A335" s="65" t="s">
        <v>154</v>
      </c>
      <c r="B335" s="221">
        <f>('Pivot Table for Data Exchange'!$M$510)*100</f>
        <v>48.936621129600631</v>
      </c>
      <c r="C335" s="221">
        <f>('Pivot Table for Data Exchange'!$M$513)*100</f>
        <v>21.8520278862064</v>
      </c>
      <c r="D335" s="227">
        <f t="shared" ref="D335" si="75">SUM(E335:G335)</f>
        <v>29.211350984192965</v>
      </c>
      <c r="E335" s="221">
        <f>('Pivot Table for Data Exchange'!$M$516)*100</f>
        <v>25.405994009183079</v>
      </c>
      <c r="F335" s="221">
        <f>('Pivot Table for Data Exchange'!$M$519)*100</f>
        <v>3.8053569750098872</v>
      </c>
      <c r="G335" s="223">
        <f>('Pivot Table for Data Exchange'!$M$522)*100</f>
        <v>0</v>
      </c>
      <c r="H335" s="221">
        <f>('Pivot Table for Data Exchange'!$M$525)*100</f>
        <v>0</v>
      </c>
      <c r="I335" s="65"/>
      <c r="J335" s="81"/>
      <c r="K335" s="81"/>
      <c r="L335" s="81"/>
      <c r="M335" s="81"/>
      <c r="N335" s="81"/>
      <c r="O335" s="81"/>
      <c r="P335" s="81"/>
      <c r="Q335" s="97">
        <f t="shared" si="74"/>
        <v>100</v>
      </c>
      <c r="R335" s="97"/>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row>
    <row r="336" spans="1:41" ht="15.75" customHeight="1">
      <c r="A336" s="39" t="s">
        <v>155</v>
      </c>
      <c r="B336" s="224">
        <f>('Pivot Table for Data Exchange'!$M$546)*100</f>
        <v>54.392742218115778</v>
      </c>
      <c r="C336" s="224">
        <f>('Pivot Table for Data Exchange'!$M$549)*100</f>
        <v>25.414980724503778</v>
      </c>
      <c r="D336" s="228">
        <f>SUM(E336:G336)</f>
        <v>20.192277057380444</v>
      </c>
      <c r="E336" s="224">
        <f>('Pivot Table for Data Exchange'!$M$552)*100</f>
        <v>16.142033325899259</v>
      </c>
      <c r="F336" s="224">
        <f>('Pivot Table for Data Exchange'!$M$555)*100</f>
        <v>4.0263484882276099</v>
      </c>
      <c r="G336" s="233">
        <f>('Pivot Table for Data Exchange'!$M$558)*100</f>
        <v>2.389524325357632E-2</v>
      </c>
      <c r="H336" s="224">
        <f>('Pivot Table for Data Exchange'!$M$561)*100</f>
        <v>0</v>
      </c>
      <c r="I336" s="65"/>
      <c r="J336" s="81"/>
      <c r="K336" s="81"/>
      <c r="L336" s="81"/>
      <c r="M336" s="81"/>
      <c r="N336" s="81"/>
      <c r="O336" s="81"/>
      <c r="P336" s="81"/>
      <c r="Q336" s="97">
        <f t="shared" si="74"/>
        <v>100</v>
      </c>
      <c r="R336" s="97"/>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row>
    <row r="337" spans="1:41" s="25" customFormat="1" ht="12" customHeight="1">
      <c r="A337" s="691" t="s">
        <v>175</v>
      </c>
      <c r="B337" s="69"/>
      <c r="C337" s="69"/>
      <c r="D337" s="70"/>
      <c r="E337" s="69"/>
      <c r="F337" s="70"/>
      <c r="G337" s="70"/>
      <c r="H337" s="69"/>
      <c r="I337" s="24"/>
      <c r="J337" s="69"/>
      <c r="K337" s="69"/>
      <c r="L337" s="70"/>
      <c r="M337" s="69"/>
      <c r="N337" s="70"/>
      <c r="O337" s="70"/>
      <c r="P337" s="69"/>
      <c r="Q337" s="97">
        <f t="shared" si="74"/>
        <v>0</v>
      </c>
      <c r="R337" s="101"/>
      <c r="S337" s="71"/>
      <c r="T337" s="71"/>
      <c r="U337" s="71"/>
      <c r="V337" s="71"/>
      <c r="W337" s="71"/>
      <c r="X337" s="71"/>
      <c r="Y337" s="71"/>
      <c r="Z337" s="71"/>
      <c r="AA337" s="71"/>
      <c r="AB337" s="71"/>
      <c r="AC337" s="71"/>
      <c r="AD337" s="71"/>
      <c r="AE337" s="71"/>
      <c r="AF337" s="71"/>
      <c r="AG337" s="71"/>
      <c r="AH337" s="71"/>
      <c r="AI337" s="71"/>
      <c r="AJ337" s="71"/>
      <c r="AK337" s="71"/>
      <c r="AL337" s="71"/>
      <c r="AM337" s="71"/>
      <c r="AN337" s="71"/>
      <c r="AO337" s="71"/>
    </row>
    <row r="338" spans="1:41" s="25" customFormat="1" ht="22.5" customHeight="1">
      <c r="A338" s="666" t="s">
        <v>180</v>
      </c>
      <c r="B338" s="693"/>
      <c r="C338" s="693"/>
      <c r="D338" s="693"/>
      <c r="E338" s="693"/>
      <c r="F338" s="693"/>
      <c r="G338" s="693"/>
      <c r="H338" s="693"/>
      <c r="I338" s="24"/>
      <c r="P338" s="77"/>
      <c r="Q338" s="97">
        <f t="shared" si="74"/>
        <v>0</v>
      </c>
      <c r="R338" s="106"/>
    </row>
    <row r="339" spans="1:41" s="25" customFormat="1" ht="13.5" customHeight="1">
      <c r="A339" s="319"/>
      <c r="B339" s="320"/>
      <c r="C339" s="320"/>
      <c r="D339" s="320"/>
      <c r="E339" s="320"/>
      <c r="F339" s="320"/>
      <c r="G339" s="320"/>
      <c r="H339" s="320"/>
      <c r="I339" s="24"/>
      <c r="P339" s="77"/>
      <c r="Q339" s="226"/>
      <c r="R339" s="106"/>
    </row>
    <row r="340" spans="1:41" s="25" customFormat="1">
      <c r="H340" s="27" t="s">
        <v>899</v>
      </c>
      <c r="I340" s="26"/>
      <c r="J340" s="26"/>
      <c r="K340" s="26"/>
      <c r="L340" s="26"/>
      <c r="M340" s="26"/>
      <c r="N340" s="26"/>
      <c r="O340" s="26"/>
      <c r="P340" s="26"/>
      <c r="Q340" s="97">
        <f t="shared" si="74"/>
        <v>0</v>
      </c>
      <c r="R340" s="105"/>
    </row>
    <row r="341" spans="1:41" ht="18">
      <c r="A341" s="16" t="s">
        <v>211</v>
      </c>
      <c r="B341" s="34"/>
      <c r="C341" s="34"/>
      <c r="D341" s="34"/>
      <c r="E341" s="34"/>
      <c r="F341" s="34"/>
      <c r="G341" s="34"/>
      <c r="H341" s="35"/>
      <c r="I341" s="80"/>
      <c r="J341" s="65"/>
      <c r="K341" s="65"/>
      <c r="L341" s="35"/>
      <c r="M341" s="65"/>
      <c r="N341" s="65"/>
      <c r="O341" s="65"/>
      <c r="P341" s="65"/>
      <c r="Q341" s="97">
        <f t="shared" si="74"/>
        <v>0</v>
      </c>
    </row>
    <row r="342" spans="1:41">
      <c r="A342" s="18"/>
      <c r="B342" s="19"/>
      <c r="C342" s="19"/>
      <c r="D342" s="19"/>
      <c r="E342" s="19"/>
      <c r="F342" s="19"/>
      <c r="G342" s="19"/>
      <c r="H342" s="36"/>
      <c r="I342" s="80"/>
      <c r="J342" s="65"/>
      <c r="K342" s="65"/>
      <c r="L342" s="65"/>
      <c r="M342" s="65"/>
      <c r="N342" s="65"/>
      <c r="O342" s="65"/>
      <c r="P342" s="65"/>
      <c r="Q342" s="97">
        <f t="shared" si="74"/>
        <v>0</v>
      </c>
    </row>
    <row r="343" spans="1:41" ht="15.75">
      <c r="A343" s="37" t="s">
        <v>162</v>
      </c>
      <c r="B343" s="19"/>
      <c r="C343" s="19"/>
      <c r="D343" s="19"/>
      <c r="E343" s="19"/>
      <c r="F343" s="19"/>
      <c r="G343" s="19"/>
      <c r="H343" s="36"/>
      <c r="I343" s="80"/>
      <c r="J343" s="65"/>
      <c r="K343" s="65"/>
      <c r="L343" s="36"/>
      <c r="M343" s="65"/>
      <c r="N343" s="65"/>
      <c r="O343" s="65"/>
      <c r="P343" s="65"/>
      <c r="Q343" s="97">
        <f t="shared" si="74"/>
        <v>0</v>
      </c>
    </row>
    <row r="344" spans="1:41" ht="15.75">
      <c r="A344" s="37" t="s">
        <v>275</v>
      </c>
      <c r="B344" s="19"/>
      <c r="C344" s="19"/>
      <c r="D344" s="19"/>
      <c r="E344" s="19"/>
      <c r="F344" s="19"/>
      <c r="G344" s="19"/>
      <c r="H344" s="36"/>
      <c r="I344" s="80"/>
      <c r="J344" s="65"/>
      <c r="K344" s="65"/>
      <c r="L344" s="65"/>
      <c r="M344" s="65"/>
      <c r="N344" s="65"/>
      <c r="O344" s="65"/>
      <c r="P344" s="65"/>
      <c r="Q344" s="97">
        <f t="shared" si="74"/>
        <v>0</v>
      </c>
    </row>
    <row r="345" spans="1:41">
      <c r="A345" s="39"/>
      <c r="B345" s="40"/>
      <c r="C345" s="40"/>
      <c r="D345" s="40"/>
      <c r="E345" s="40"/>
      <c r="F345" s="40"/>
      <c r="G345" s="40"/>
      <c r="H345" s="40"/>
      <c r="I345" s="80"/>
      <c r="J345" s="65"/>
      <c r="K345" s="65"/>
      <c r="L345" s="65"/>
      <c r="M345" s="65"/>
      <c r="N345" s="65"/>
      <c r="O345" s="65"/>
      <c r="P345" s="65"/>
      <c r="Q345" s="97">
        <f t="shared" si="74"/>
        <v>0</v>
      </c>
    </row>
    <row r="346" spans="1:41">
      <c r="A346" s="43"/>
      <c r="B346" s="44" t="s">
        <v>164</v>
      </c>
      <c r="C346" s="44"/>
      <c r="D346" s="44"/>
      <c r="E346" s="44"/>
      <c r="F346" s="44"/>
      <c r="G346" s="44"/>
      <c r="H346" s="45"/>
      <c r="I346" s="80"/>
      <c r="J346" s="65"/>
      <c r="K346" s="65"/>
      <c r="L346" s="65"/>
      <c r="M346" s="65"/>
      <c r="N346" s="65"/>
      <c r="O346" s="65"/>
      <c r="P346" s="65"/>
      <c r="Q346" s="97">
        <f t="shared" si="74"/>
        <v>0</v>
      </c>
    </row>
    <row r="347" spans="1:41">
      <c r="A347" s="43"/>
      <c r="B347" s="44" t="s">
        <v>165</v>
      </c>
      <c r="C347" s="44"/>
      <c r="D347" s="670" t="s">
        <v>166</v>
      </c>
      <c r="E347" s="668"/>
      <c r="F347" s="668"/>
      <c r="G347" s="668"/>
      <c r="H347" s="49" t="s">
        <v>39</v>
      </c>
      <c r="I347" s="80"/>
      <c r="J347" s="65"/>
      <c r="K347" s="65"/>
      <c r="L347" s="65"/>
      <c r="M347" s="65"/>
      <c r="N347" s="65"/>
      <c r="O347" s="65"/>
      <c r="P347" s="65"/>
      <c r="Q347" s="97">
        <f t="shared" si="74"/>
        <v>0</v>
      </c>
    </row>
    <row r="348" spans="1:41" ht="36">
      <c r="A348" s="43"/>
      <c r="B348" s="50" t="s">
        <v>167</v>
      </c>
      <c r="C348" s="51" t="s">
        <v>168</v>
      </c>
      <c r="D348" s="52" t="s">
        <v>169</v>
      </c>
      <c r="E348" s="53" t="s">
        <v>7</v>
      </c>
      <c r="F348" s="50" t="s">
        <v>170</v>
      </c>
      <c r="G348" s="54" t="s">
        <v>171</v>
      </c>
      <c r="H348" s="55" t="s">
        <v>172</v>
      </c>
      <c r="I348" s="80"/>
      <c r="J348" s="65"/>
      <c r="K348" s="65"/>
      <c r="L348" s="65"/>
      <c r="M348" s="65"/>
      <c r="N348" s="65"/>
      <c r="O348" s="65"/>
      <c r="P348" s="65"/>
      <c r="Q348" s="97">
        <f t="shared" si="74"/>
        <v>0</v>
      </c>
    </row>
    <row r="349" spans="1:41" ht="15.75" customHeight="1">
      <c r="A349" s="62" t="s">
        <v>141</v>
      </c>
      <c r="B349" s="221">
        <f>('Pivot Table for Data Exchange'!$N$6)*100</f>
        <v>66.689806035650435</v>
      </c>
      <c r="C349" s="221">
        <f>('Pivot Table for Data Exchange'!$N$9)*100</f>
        <v>10.689711220675083</v>
      </c>
      <c r="D349" s="227">
        <f>SUM(E349:G349)</f>
        <v>22.62048274367449</v>
      </c>
      <c r="E349" s="221">
        <f>('Pivot Table for Data Exchange'!$N$12)*100</f>
        <v>22.556482635314516</v>
      </c>
      <c r="F349" s="221">
        <f>('Pivot Table for Data Exchange'!$N$15)*100</f>
        <v>0</v>
      </c>
      <c r="G349" s="60">
        <f>('Pivot Table for Data Exchange'!$N$18)*100</f>
        <v>6.400010835997183E-2</v>
      </c>
      <c r="H349" s="221">
        <f>('Pivot Table for Data Exchange'!$N$21)*100</f>
        <v>0</v>
      </c>
      <c r="I349" s="65"/>
      <c r="J349" s="81"/>
      <c r="K349" s="81"/>
      <c r="L349" s="81"/>
      <c r="M349" s="81"/>
      <c r="N349" s="81"/>
      <c r="O349" s="81"/>
      <c r="P349" s="81"/>
      <c r="Q349" s="97">
        <f t="shared" si="74"/>
        <v>100</v>
      </c>
      <c r="R349" s="97"/>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row>
    <row r="350" spans="1:41" ht="15.75" customHeight="1">
      <c r="A350" s="65" t="s">
        <v>142</v>
      </c>
      <c r="B350" s="221">
        <f>('Pivot Table for Data Exchange'!$N$42)*100</f>
        <v>67.800985077982816</v>
      </c>
      <c r="C350" s="221">
        <f>('Pivot Table for Data Exchange'!$N$45)*100</f>
        <v>10.537630161252586</v>
      </c>
      <c r="D350" s="227">
        <f t="shared" ref="D350:D352" si="76">SUM(E350:G350)</f>
        <v>21.653180841722094</v>
      </c>
      <c r="E350" s="221">
        <f>('Pivot Table for Data Exchange'!$N$48)*100</f>
        <v>19.775546851973953</v>
      </c>
      <c r="F350" s="221">
        <f>('Pivot Table for Data Exchange'!$N$51)*100</f>
        <v>1.8700377684124809</v>
      </c>
      <c r="G350" s="68">
        <f>('Pivot Table for Data Exchange'!$N$54)*100</f>
        <v>7.5962213356587892E-3</v>
      </c>
      <c r="H350" s="67">
        <f>('Pivot Table for Data Exchange'!$N$57)*100</f>
        <v>8.2039190425114931E-3</v>
      </c>
      <c r="I350" s="65"/>
      <c r="J350" s="81"/>
      <c r="K350" s="81"/>
      <c r="L350" s="81"/>
      <c r="M350" s="81"/>
      <c r="N350" s="81"/>
      <c r="O350" s="81"/>
      <c r="P350" s="81"/>
      <c r="Q350" s="97">
        <f t="shared" si="74"/>
        <v>100</v>
      </c>
      <c r="R350" s="97"/>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row>
    <row r="351" spans="1:41" ht="15.75" customHeight="1">
      <c r="A351" s="65" t="s">
        <v>143</v>
      </c>
      <c r="B351" s="221">
        <f>('Pivot Table for Data Exchange'!$N$78)*100</f>
        <v>0</v>
      </c>
      <c r="C351" s="221">
        <f>('Pivot Table for Data Exchange'!$N$81)*100</f>
        <v>0</v>
      </c>
      <c r="D351" s="227">
        <f t="shared" si="76"/>
        <v>0</v>
      </c>
      <c r="E351" s="221">
        <f>('Pivot Table for Data Exchange'!$N$84)*100</f>
        <v>0</v>
      </c>
      <c r="F351" s="221">
        <f>('Pivot Table for Data Exchange'!$N$87)*100</f>
        <v>0</v>
      </c>
      <c r="G351" s="223">
        <f>('Pivot Table for Data Exchange'!$N$90)*100</f>
        <v>0</v>
      </c>
      <c r="H351" s="221">
        <f>('Pivot Table for Data Exchange'!$N$93)*100</f>
        <v>0</v>
      </c>
      <c r="I351" s="65"/>
      <c r="J351" s="81"/>
      <c r="K351" s="81"/>
      <c r="L351" s="81"/>
      <c r="M351" s="81"/>
      <c r="N351" s="81"/>
      <c r="O351" s="81"/>
      <c r="P351" s="81"/>
      <c r="Q351" s="97">
        <f t="shared" si="74"/>
        <v>0</v>
      </c>
      <c r="R351" s="97"/>
      <c r="S351" s="63"/>
      <c r="T351" s="74"/>
      <c r="U351" s="63"/>
      <c r="V351" s="63"/>
      <c r="W351" s="63"/>
      <c r="X351" s="63"/>
      <c r="Y351" s="63"/>
      <c r="Z351" s="63"/>
      <c r="AA351" s="63"/>
      <c r="AB351" s="63"/>
      <c r="AC351" s="63"/>
      <c r="AD351" s="63"/>
      <c r="AE351" s="63"/>
      <c r="AF351" s="63"/>
      <c r="AG351" s="63"/>
      <c r="AH351" s="63"/>
      <c r="AI351" s="63"/>
      <c r="AJ351" s="63"/>
      <c r="AK351" s="63"/>
      <c r="AL351" s="63"/>
      <c r="AM351" s="63"/>
      <c r="AN351" s="63"/>
      <c r="AO351" s="63"/>
    </row>
    <row r="352" spans="1:41" ht="15.75" customHeight="1">
      <c r="A352" s="65" t="s">
        <v>174</v>
      </c>
      <c r="B352" s="221">
        <f>('Pivot Table for Data Exchange'!$N$114)*100</f>
        <v>74.71797691039032</v>
      </c>
      <c r="C352" s="221">
        <f>('Pivot Table for Data Exchange'!$N$117)*100</f>
        <v>3.6283672347443652</v>
      </c>
      <c r="D352" s="227">
        <f t="shared" si="76"/>
        <v>21.65365585486531</v>
      </c>
      <c r="E352" s="221">
        <f>('Pivot Table for Data Exchange'!$N$120)*100</f>
        <v>21.65365585486531</v>
      </c>
      <c r="F352" s="221">
        <f>('Pivot Table for Data Exchange'!$N$123)*100</f>
        <v>0</v>
      </c>
      <c r="G352" s="223">
        <f>('Pivot Table for Data Exchange'!$N$126)*100</f>
        <v>0</v>
      </c>
      <c r="H352" s="221">
        <f>('Pivot Table for Data Exchange'!$N$129)*100</f>
        <v>0</v>
      </c>
      <c r="I352" s="65"/>
      <c r="J352" s="81"/>
      <c r="K352" s="81"/>
      <c r="L352" s="81"/>
      <c r="M352" s="81"/>
      <c r="N352" s="81"/>
      <c r="O352" s="81"/>
      <c r="P352" s="81"/>
      <c r="Q352" s="97">
        <f t="shared" si="74"/>
        <v>99.999999999999986</v>
      </c>
      <c r="R352" s="97"/>
      <c r="S352" s="63"/>
      <c r="U352" s="63"/>
      <c r="V352" s="63"/>
      <c r="W352" s="63"/>
      <c r="X352" s="63"/>
      <c r="Y352" s="63"/>
      <c r="Z352" s="63"/>
      <c r="AA352" s="63"/>
      <c r="AB352" s="63"/>
      <c r="AC352" s="63"/>
      <c r="AD352" s="63"/>
      <c r="AE352" s="63"/>
      <c r="AF352" s="63"/>
      <c r="AG352" s="63"/>
      <c r="AH352" s="63"/>
      <c r="AI352" s="63"/>
      <c r="AJ352" s="63"/>
      <c r="AK352" s="63"/>
      <c r="AL352" s="63"/>
      <c r="AM352" s="63"/>
      <c r="AN352" s="63"/>
      <c r="AO352" s="63"/>
    </row>
    <row r="353" spans="1:41" ht="15.75" customHeight="1">
      <c r="A353" s="65"/>
      <c r="B353" s="221"/>
      <c r="C353" s="221"/>
      <c r="D353" s="227"/>
      <c r="E353" s="221"/>
      <c r="F353" s="221"/>
      <c r="G353" s="223"/>
      <c r="H353" s="221"/>
      <c r="I353" s="65"/>
      <c r="J353" s="81"/>
      <c r="K353" s="81"/>
      <c r="L353" s="81"/>
      <c r="M353" s="81"/>
      <c r="N353" s="81"/>
      <c r="O353" s="81"/>
      <c r="P353" s="81"/>
      <c r="Q353" s="97">
        <f t="shared" si="74"/>
        <v>0</v>
      </c>
      <c r="R353" s="97"/>
      <c r="S353" s="63"/>
      <c r="U353" s="63"/>
      <c r="V353" s="63"/>
      <c r="W353" s="63"/>
      <c r="X353" s="63"/>
      <c r="Y353" s="63"/>
      <c r="Z353" s="63"/>
      <c r="AA353" s="63"/>
      <c r="AB353" s="63"/>
      <c r="AC353" s="63"/>
      <c r="AD353" s="63"/>
      <c r="AE353" s="63"/>
      <c r="AF353" s="63"/>
      <c r="AG353" s="63"/>
      <c r="AH353" s="63"/>
      <c r="AI353" s="63"/>
      <c r="AJ353" s="63"/>
      <c r="AK353" s="63"/>
      <c r="AL353" s="63"/>
      <c r="AM353" s="63"/>
      <c r="AN353" s="63"/>
      <c r="AO353" s="63"/>
    </row>
    <row r="354" spans="1:41" ht="15.75" customHeight="1">
      <c r="A354" s="65" t="s">
        <v>145</v>
      </c>
      <c r="B354" s="221">
        <f>('Pivot Table for Data Exchange'!$N$150)*100</f>
        <v>0</v>
      </c>
      <c r="C354" s="221">
        <f>('Pivot Table for Data Exchange'!$N$153)*100</f>
        <v>0</v>
      </c>
      <c r="D354" s="227">
        <f t="shared" ref="D354:D357" si="77">SUM(E354:G354)</f>
        <v>0</v>
      </c>
      <c r="E354" s="221">
        <f>('Pivot Table for Data Exchange'!$N$156)*100</f>
        <v>0</v>
      </c>
      <c r="F354" s="221">
        <f>('Pivot Table for Data Exchange'!$N$159)*100</f>
        <v>0</v>
      </c>
      <c r="G354" s="223">
        <f>('Pivot Table for Data Exchange'!$N$162)*100</f>
        <v>0</v>
      </c>
      <c r="H354" s="221">
        <f>('Pivot Table for Data Exchange'!$N$165)*100</f>
        <v>0</v>
      </c>
      <c r="I354" s="65"/>
      <c r="J354" s="81"/>
      <c r="K354" s="81"/>
      <c r="L354" s="81"/>
      <c r="M354" s="81"/>
      <c r="N354" s="81"/>
      <c r="O354" s="81"/>
      <c r="P354" s="81"/>
      <c r="Q354" s="97">
        <f t="shared" si="74"/>
        <v>0</v>
      </c>
      <c r="R354" s="97"/>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row>
    <row r="355" spans="1:41" ht="15.75" customHeight="1">
      <c r="A355" s="65" t="s">
        <v>146</v>
      </c>
      <c r="B355" s="221">
        <f>('Pivot Table for Data Exchange'!$N$186)*100</f>
        <v>46.407752096543256</v>
      </c>
      <c r="C355" s="221">
        <f>('Pivot Table for Data Exchange'!$N$189)*100</f>
        <v>5.4714665575782373</v>
      </c>
      <c r="D355" s="227">
        <f t="shared" si="77"/>
        <v>48.120781345878498</v>
      </c>
      <c r="E355" s="221">
        <f>('Pivot Table for Data Exchange'!$N$192)*100</f>
        <v>47.788402536305988</v>
      </c>
      <c r="F355" s="221">
        <f>('Pivot Table for Data Exchange'!$N$195)*100</f>
        <v>0</v>
      </c>
      <c r="G355" s="223">
        <f>('Pivot Table for Data Exchange'!$N$198)*100</f>
        <v>0.3323788095725097</v>
      </c>
      <c r="H355" s="221">
        <f>('Pivot Table for Data Exchange'!$N$201)*100</f>
        <v>0</v>
      </c>
      <c r="I355" s="65"/>
      <c r="J355" s="81"/>
      <c r="K355" s="81"/>
      <c r="L355" s="81"/>
      <c r="M355" s="81"/>
      <c r="N355" s="81"/>
      <c r="O355" s="81"/>
      <c r="P355" s="81"/>
      <c r="Q355" s="97">
        <f t="shared" si="74"/>
        <v>100</v>
      </c>
      <c r="R355" s="97"/>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row>
    <row r="356" spans="1:41" ht="15.75" customHeight="1">
      <c r="A356" s="65" t="s">
        <v>147</v>
      </c>
      <c r="B356" s="221">
        <f>('Pivot Table for Data Exchange'!$N$222)*100</f>
        <v>0</v>
      </c>
      <c r="C356" s="221">
        <f>('Pivot Table for Data Exchange'!$N$225)*100</f>
        <v>0</v>
      </c>
      <c r="D356" s="227">
        <f t="shared" si="77"/>
        <v>0</v>
      </c>
      <c r="E356" s="221">
        <f>('Pivot Table for Data Exchange'!$N$228)*100</f>
        <v>0</v>
      </c>
      <c r="F356" s="221">
        <f>('Pivot Table for Data Exchange'!$N$231)*100</f>
        <v>0</v>
      </c>
      <c r="G356" s="223">
        <f>('Pivot Table for Data Exchange'!$N$234)*100</f>
        <v>0</v>
      </c>
      <c r="H356" s="221">
        <f>('Pivot Table for Data Exchange'!$N$237)*100</f>
        <v>0</v>
      </c>
      <c r="I356" s="65"/>
      <c r="J356" s="81"/>
      <c r="K356" s="81"/>
      <c r="L356" s="81"/>
      <c r="M356" s="81"/>
      <c r="N356" s="81"/>
      <c r="O356" s="81"/>
      <c r="P356" s="81"/>
      <c r="Q356" s="97">
        <f t="shared" si="74"/>
        <v>0</v>
      </c>
      <c r="R356" s="97"/>
      <c r="S356" s="63"/>
      <c r="T356" s="74"/>
      <c r="U356" s="63"/>
      <c r="V356" s="63"/>
      <c r="W356" s="63"/>
      <c r="X356" s="63"/>
      <c r="Y356" s="63"/>
      <c r="Z356" s="63"/>
      <c r="AA356" s="63"/>
      <c r="AB356" s="63"/>
      <c r="AC356" s="63"/>
      <c r="AD356" s="63"/>
      <c r="AE356" s="63"/>
      <c r="AF356" s="63"/>
      <c r="AG356" s="63"/>
      <c r="AH356" s="63"/>
      <c r="AI356" s="63"/>
      <c r="AJ356" s="63"/>
      <c r="AK356" s="63"/>
      <c r="AL356" s="63"/>
      <c r="AM356" s="63"/>
      <c r="AN356" s="63"/>
      <c r="AO356" s="63"/>
    </row>
    <row r="357" spans="1:41" ht="15.75" customHeight="1">
      <c r="A357" s="65" t="s">
        <v>177</v>
      </c>
      <c r="B357" s="221">
        <f>('Pivot Table for Data Exchange'!$N$258)*100</f>
        <v>72.638142259560993</v>
      </c>
      <c r="C357" s="221">
        <f>('Pivot Table for Data Exchange'!$N$261)*100</f>
        <v>7.7478931167840326</v>
      </c>
      <c r="D357" s="227">
        <f t="shared" si="77"/>
        <v>19.613964623654972</v>
      </c>
      <c r="E357" s="221">
        <f>('Pivot Table for Data Exchange'!$N$264)*100</f>
        <v>18.208206540326756</v>
      </c>
      <c r="F357" s="221">
        <f>('Pivot Table for Data Exchange'!$N$267)*100</f>
        <v>1.4057580833282177</v>
      </c>
      <c r="G357" s="223">
        <f>('Pivot Table for Data Exchange'!$N$270)*100</f>
        <v>0</v>
      </c>
      <c r="H357" s="221">
        <f>('Pivot Table for Data Exchange'!$N$273)*100</f>
        <v>0</v>
      </c>
      <c r="I357" s="65"/>
      <c r="J357" s="81"/>
      <c r="K357" s="81"/>
      <c r="L357" s="81"/>
      <c r="M357" s="81"/>
      <c r="N357" s="81"/>
      <c r="O357" s="81"/>
      <c r="P357" s="81"/>
      <c r="Q357" s="97">
        <f t="shared" si="74"/>
        <v>100</v>
      </c>
      <c r="R357" s="97"/>
      <c r="S357" s="63"/>
      <c r="U357" s="63"/>
      <c r="V357" s="63"/>
      <c r="W357" s="63"/>
      <c r="X357" s="63"/>
      <c r="Y357" s="63"/>
      <c r="Z357" s="63"/>
      <c r="AA357" s="63"/>
      <c r="AB357" s="63"/>
      <c r="AC357" s="63"/>
      <c r="AD357" s="63"/>
      <c r="AE357" s="63"/>
      <c r="AF357" s="63"/>
      <c r="AG357" s="63"/>
      <c r="AH357" s="63"/>
      <c r="AI357" s="63"/>
      <c r="AJ357" s="63"/>
      <c r="AK357" s="63"/>
      <c r="AL357" s="63"/>
      <c r="AM357" s="63"/>
      <c r="AN357" s="63"/>
      <c r="AO357" s="63"/>
    </row>
    <row r="358" spans="1:41" ht="12.75" customHeight="1">
      <c r="A358" s="65"/>
      <c r="B358" s="221"/>
      <c r="C358" s="221"/>
      <c r="D358" s="227"/>
      <c r="E358" s="221"/>
      <c r="F358" s="221"/>
      <c r="G358" s="223"/>
      <c r="H358" s="221"/>
      <c r="I358" s="65"/>
      <c r="J358" s="81"/>
      <c r="K358" s="81"/>
      <c r="L358" s="81"/>
      <c r="M358" s="81"/>
      <c r="N358" s="81"/>
      <c r="O358" s="81"/>
      <c r="P358" s="81"/>
      <c r="Q358" s="97">
        <f t="shared" si="74"/>
        <v>0</v>
      </c>
      <c r="R358" s="97"/>
      <c r="S358" s="63"/>
      <c r="U358" s="63"/>
      <c r="V358" s="63"/>
      <c r="W358" s="63"/>
      <c r="X358" s="63"/>
      <c r="Y358" s="63"/>
      <c r="Z358" s="63"/>
      <c r="AA358" s="63"/>
      <c r="AB358" s="63"/>
      <c r="AC358" s="63"/>
      <c r="AD358" s="63"/>
      <c r="AE358" s="63"/>
      <c r="AF358" s="63"/>
      <c r="AG358" s="63"/>
      <c r="AH358" s="63"/>
      <c r="AI358" s="63"/>
      <c r="AJ358" s="63"/>
      <c r="AK358" s="63"/>
      <c r="AL358" s="63"/>
      <c r="AM358" s="63"/>
      <c r="AN358" s="63"/>
      <c r="AO358" s="63"/>
    </row>
    <row r="359" spans="1:41" ht="15.75" customHeight="1">
      <c r="A359" s="65" t="s">
        <v>179</v>
      </c>
      <c r="B359" s="221">
        <f>('Pivot Table for Data Exchange'!$N$294)*100</f>
        <v>86.340941512125539</v>
      </c>
      <c r="C359" s="221">
        <f>('Pivot Table for Data Exchange'!$N$297)*100</f>
        <v>0</v>
      </c>
      <c r="D359" s="227">
        <f t="shared" ref="D359:D361" si="78">SUM(E359:G359)</f>
        <v>13.659058487874464</v>
      </c>
      <c r="E359" s="221">
        <f>('Pivot Table for Data Exchange'!$N$300)*100</f>
        <v>13.659058487874464</v>
      </c>
      <c r="F359" s="221">
        <f>('Pivot Table for Data Exchange'!$N$303)*100</f>
        <v>0</v>
      </c>
      <c r="G359" s="223">
        <f>('Pivot Table for Data Exchange'!$N$306)*100</f>
        <v>0</v>
      </c>
      <c r="H359" s="221">
        <f>('Pivot Table for Data Exchange'!$N$309)*100</f>
        <v>0</v>
      </c>
      <c r="I359" s="86"/>
      <c r="J359" s="81"/>
      <c r="K359" s="81"/>
      <c r="L359" s="81"/>
      <c r="M359" s="81"/>
      <c r="N359" s="81"/>
      <c r="O359" s="81"/>
      <c r="P359" s="81"/>
      <c r="Q359" s="97">
        <f t="shared" si="74"/>
        <v>100</v>
      </c>
      <c r="R359" s="97"/>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row>
    <row r="360" spans="1:41" ht="15.75" customHeight="1">
      <c r="A360" s="65" t="s">
        <v>149</v>
      </c>
      <c r="B360" s="221">
        <f>('Pivot Table for Data Exchange'!$N$330)*100</f>
        <v>58.308887580929955</v>
      </c>
      <c r="C360" s="221">
        <f>('Pivot Table for Data Exchange'!$N$333)*100</f>
        <v>2.699941141848146</v>
      </c>
      <c r="D360" s="227">
        <f t="shared" si="78"/>
        <v>38.991171277221895</v>
      </c>
      <c r="E360" s="221">
        <f>('Pivot Table for Data Exchange'!$N$336)*100</f>
        <v>37.700176574455561</v>
      </c>
      <c r="F360" s="221">
        <f>('Pivot Table for Data Exchange'!$N$339)*100</f>
        <v>0.99693937610359029</v>
      </c>
      <c r="G360" s="223">
        <f>('Pivot Table for Data Exchange'!$N$342)*100</f>
        <v>0.29405532666274281</v>
      </c>
      <c r="H360" s="221">
        <f>('Pivot Table for Data Exchange'!$N$345)*100</f>
        <v>0</v>
      </c>
      <c r="I360" s="65"/>
      <c r="J360" s="81"/>
      <c r="K360" s="81"/>
      <c r="L360" s="81"/>
      <c r="M360" s="81"/>
      <c r="N360" s="81"/>
      <c r="O360" s="81"/>
      <c r="P360" s="81"/>
      <c r="Q360" s="97">
        <f t="shared" si="74"/>
        <v>100</v>
      </c>
      <c r="R360" s="97"/>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row>
    <row r="361" spans="1:41" ht="15.75" customHeight="1">
      <c r="A361" s="65" t="s">
        <v>150</v>
      </c>
      <c r="B361" s="221">
        <f>('Pivot Table for Data Exchange'!$N$366)*100</f>
        <v>65.176331755779898</v>
      </c>
      <c r="C361" s="221">
        <f>('Pivot Table for Data Exchange'!$N$369)*100</f>
        <v>9.3028284750454127</v>
      </c>
      <c r="D361" s="227">
        <f t="shared" si="78"/>
        <v>25.520839769174685</v>
      </c>
      <c r="E361" s="221">
        <f>('Pivot Table for Data Exchange'!$N$372)*100</f>
        <v>21.764058966723095</v>
      </c>
      <c r="F361" s="221">
        <f>('Pivot Table for Data Exchange'!$N$375)*100</f>
        <v>3.7005572923746093</v>
      </c>
      <c r="G361" s="223">
        <f>('Pivot Table for Data Exchange'!$N$378)*100</f>
        <v>5.6223510076982959E-2</v>
      </c>
      <c r="H361" s="221">
        <f>('Pivot Table for Data Exchange'!$N$381)*100</f>
        <v>0</v>
      </c>
      <c r="I361" s="65"/>
      <c r="J361" s="81"/>
      <c r="K361" s="81"/>
      <c r="L361" s="81"/>
      <c r="M361" s="81"/>
      <c r="N361" s="81"/>
      <c r="O361" s="81"/>
      <c r="P361" s="81"/>
      <c r="Q361" s="97">
        <f t="shared" si="74"/>
        <v>100</v>
      </c>
      <c r="R361" s="97"/>
      <c r="S361" s="63"/>
      <c r="T361" s="74"/>
      <c r="U361" s="63"/>
      <c r="V361" s="63"/>
      <c r="W361" s="63"/>
      <c r="X361" s="63"/>
      <c r="Y361" s="63"/>
      <c r="Z361" s="63"/>
      <c r="AA361" s="63"/>
      <c r="AB361" s="63"/>
      <c r="AC361" s="63"/>
      <c r="AD361" s="63"/>
      <c r="AE361" s="63"/>
      <c r="AF361" s="63"/>
      <c r="AG361" s="63"/>
      <c r="AH361" s="63"/>
      <c r="AI361" s="63"/>
      <c r="AJ361" s="63"/>
      <c r="AK361" s="63"/>
      <c r="AL361" s="63"/>
      <c r="AM361" s="63"/>
      <c r="AN361" s="63"/>
      <c r="AO361" s="63"/>
    </row>
    <row r="362" spans="1:41" ht="15.75" customHeight="1">
      <c r="A362" s="65" t="s">
        <v>151</v>
      </c>
      <c r="B362" s="221">
        <f>('Pivot Table for Data Exchange'!$N$402)*100</f>
        <v>86.117462803445576</v>
      </c>
      <c r="C362" s="221">
        <f>('Pivot Table for Data Exchange'!$N$405)*100</f>
        <v>3.0219263899765076</v>
      </c>
      <c r="D362" s="227">
        <f>SUM(E362:G362)</f>
        <v>10.860610806577917</v>
      </c>
      <c r="E362" s="221">
        <f>('Pivot Table for Data Exchange'!$N$408)*100</f>
        <v>7.9698512137823014</v>
      </c>
      <c r="F362" s="221">
        <f>('Pivot Table for Data Exchange'!$N$411)*100</f>
        <v>1.5516836335160533</v>
      </c>
      <c r="G362" s="223">
        <f>('Pivot Table for Data Exchange'!$N$414)*100</f>
        <v>1.3390759592795616</v>
      </c>
      <c r="H362" s="221">
        <f>('Pivot Table for Data Exchange'!$N$417)*100</f>
        <v>0</v>
      </c>
      <c r="I362" s="65"/>
      <c r="J362" s="81"/>
      <c r="K362" s="81"/>
      <c r="L362" s="81"/>
      <c r="M362" s="81"/>
      <c r="N362" s="81"/>
      <c r="O362" s="81"/>
      <c r="P362" s="81"/>
      <c r="Q362" s="97">
        <f t="shared" si="74"/>
        <v>100</v>
      </c>
      <c r="R362" s="97"/>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row>
    <row r="363" spans="1:41" ht="12" customHeight="1">
      <c r="A363" s="65"/>
      <c r="B363" s="221"/>
      <c r="C363" s="221"/>
      <c r="D363" s="227"/>
      <c r="E363" s="221"/>
      <c r="F363" s="221"/>
      <c r="G363" s="223"/>
      <c r="H363" s="221"/>
      <c r="I363" s="65"/>
      <c r="J363" s="81"/>
      <c r="K363" s="81"/>
      <c r="L363" s="81"/>
      <c r="M363" s="81"/>
      <c r="N363" s="81"/>
      <c r="O363" s="81"/>
      <c r="P363" s="81"/>
      <c r="Q363" s="97">
        <f t="shared" si="74"/>
        <v>0</v>
      </c>
      <c r="R363" s="97"/>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row>
    <row r="364" spans="1:41" ht="15.75" customHeight="1">
      <c r="A364" s="65" t="s">
        <v>152</v>
      </c>
      <c r="B364" s="221">
        <f>('Pivot Table for Data Exchange'!$N$438)*100</f>
        <v>0</v>
      </c>
      <c r="C364" s="221">
        <f>('Pivot Table for Data Exchange'!$N$441)*100</f>
        <v>0</v>
      </c>
      <c r="D364" s="227">
        <f>SUM(E364:G364)</f>
        <v>0</v>
      </c>
      <c r="E364" s="221">
        <f>('Pivot Table for Data Exchange'!$N$444)*100</f>
        <v>0</v>
      </c>
      <c r="F364" s="221">
        <f>('Pivot Table for Data Exchange'!$N$447)*100</f>
        <v>0</v>
      </c>
      <c r="G364" s="223">
        <f>('Pivot Table for Data Exchange'!$N$450)*100</f>
        <v>0</v>
      </c>
      <c r="H364" s="221">
        <f>('Pivot Table for Data Exchange'!$N$453)*100</f>
        <v>0</v>
      </c>
      <c r="I364" s="65"/>
      <c r="J364" s="81"/>
      <c r="K364" s="81"/>
      <c r="L364" s="81"/>
      <c r="M364" s="81"/>
      <c r="N364" s="81"/>
      <c r="O364" s="81"/>
      <c r="P364" s="81"/>
      <c r="Q364" s="97">
        <f t="shared" si="74"/>
        <v>0</v>
      </c>
      <c r="R364" s="97"/>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row>
    <row r="365" spans="1:41" ht="15.75" customHeight="1">
      <c r="A365" s="65" t="s">
        <v>153</v>
      </c>
      <c r="B365" s="221">
        <f>('Pivot Table for Data Exchange'!$N$474)*100</f>
        <v>54.14820317102533</v>
      </c>
      <c r="C365" s="221">
        <f>('Pivot Table for Data Exchange'!$N$477)*100</f>
        <v>15.102925983794812</v>
      </c>
      <c r="D365" s="227">
        <f>SUM(E365:G365)</f>
        <v>30.748870845179852</v>
      </c>
      <c r="E365" s="221">
        <f>('Pivot Table for Data Exchange'!$N$480)*100</f>
        <v>27.209571703821339</v>
      </c>
      <c r="F365" s="221">
        <f>('Pivot Table for Data Exchange'!$N$483)*100</f>
        <v>2.3138068526250182</v>
      </c>
      <c r="G365" s="223">
        <f>('Pivot Table for Data Exchange'!$N$486)*100</f>
        <v>1.2254922887334967</v>
      </c>
      <c r="H365" s="221">
        <f>('Pivot Table for Data Exchange'!$N$489)*100</f>
        <v>0</v>
      </c>
      <c r="I365" s="65"/>
      <c r="J365" s="81"/>
      <c r="K365" s="81"/>
      <c r="L365" s="81"/>
      <c r="M365" s="81"/>
      <c r="N365" s="81"/>
      <c r="O365" s="81"/>
      <c r="P365" s="81"/>
      <c r="Q365" s="97">
        <f t="shared" si="74"/>
        <v>100</v>
      </c>
      <c r="R365" s="97"/>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row>
    <row r="366" spans="1:41" ht="15.75" customHeight="1">
      <c r="A366" s="65" t="s">
        <v>154</v>
      </c>
      <c r="B366" s="221">
        <f>('Pivot Table for Data Exchange'!$N$510)*100</f>
        <v>47.8242771280052</v>
      </c>
      <c r="C366" s="221">
        <f>('Pivot Table for Data Exchange'!$N$513)*100</f>
        <v>18.973359324236515</v>
      </c>
      <c r="D366" s="227">
        <f t="shared" ref="D366" si="79">SUM(E366:G366)</f>
        <v>33.202363547758281</v>
      </c>
      <c r="E366" s="221">
        <f>('Pivot Table for Data Exchange'!$N$516)*100</f>
        <v>27.57946177171323</v>
      </c>
      <c r="F366" s="221">
        <f>('Pivot Table for Data Exchange'!$N$519)*100</f>
        <v>5.622901776045051</v>
      </c>
      <c r="G366" s="223">
        <f>('Pivot Table for Data Exchange'!$N$522)*100</f>
        <v>0</v>
      </c>
      <c r="H366" s="221">
        <f>('Pivot Table for Data Exchange'!$N$525)*100</f>
        <v>0</v>
      </c>
      <c r="I366" s="65"/>
      <c r="J366" s="81"/>
      <c r="K366" s="81"/>
      <c r="L366" s="81"/>
      <c r="M366" s="81"/>
      <c r="N366" s="81"/>
      <c r="O366" s="81"/>
      <c r="P366" s="81"/>
      <c r="Q366" s="97">
        <f t="shared" si="74"/>
        <v>100</v>
      </c>
      <c r="R366" s="97"/>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row>
    <row r="367" spans="1:41" ht="15.75" customHeight="1">
      <c r="A367" s="39" t="s">
        <v>155</v>
      </c>
      <c r="B367" s="224">
        <f>('Pivot Table for Data Exchange'!$N$546)*100</f>
        <v>62.69728506455936</v>
      </c>
      <c r="C367" s="224">
        <f>('Pivot Table for Data Exchange'!$N$549)*100</f>
        <v>16.282288836320227</v>
      </c>
      <c r="D367" s="228">
        <f>SUM(E367:G367)</f>
        <v>21.02042609912041</v>
      </c>
      <c r="E367" s="224">
        <f>('Pivot Table for Data Exchange'!$N$552)*100</f>
        <v>19.60583268029383</v>
      </c>
      <c r="F367" s="224">
        <f>('Pivot Table for Data Exchange'!$N$555)*100</f>
        <v>1.4145934188265796</v>
      </c>
      <c r="G367" s="225">
        <f>('Pivot Table for Data Exchange'!$N$558)*100</f>
        <v>0</v>
      </c>
      <c r="H367" s="224">
        <f>('Pivot Table for Data Exchange'!$N$561)*100</f>
        <v>0</v>
      </c>
      <c r="I367" s="65"/>
      <c r="J367" s="81"/>
      <c r="K367" s="81"/>
      <c r="L367" s="81"/>
      <c r="M367" s="81"/>
      <c r="N367" s="81"/>
      <c r="O367" s="81"/>
      <c r="P367" s="81"/>
      <c r="Q367" s="97">
        <f t="shared" si="74"/>
        <v>100</v>
      </c>
      <c r="R367" s="97"/>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row>
    <row r="368" spans="1:41" s="25" customFormat="1" ht="11.25" customHeight="1">
      <c r="A368" s="691" t="s">
        <v>175</v>
      </c>
      <c r="B368" s="69"/>
      <c r="C368" s="69"/>
      <c r="D368" s="70"/>
      <c r="E368" s="69"/>
      <c r="F368" s="70"/>
      <c r="G368" s="70"/>
      <c r="H368" s="69"/>
      <c r="I368" s="24"/>
      <c r="J368" s="69"/>
      <c r="K368" s="69"/>
      <c r="L368" s="70"/>
      <c r="M368" s="69"/>
      <c r="N368" s="70"/>
      <c r="O368" s="70"/>
      <c r="P368" s="69"/>
      <c r="Q368" s="97">
        <f t="shared" si="74"/>
        <v>0</v>
      </c>
      <c r="R368" s="101"/>
      <c r="S368" s="71"/>
      <c r="T368" s="71"/>
      <c r="U368" s="71"/>
      <c r="V368" s="71"/>
      <c r="W368" s="71"/>
      <c r="X368" s="71"/>
      <c r="Y368" s="71"/>
      <c r="Z368" s="71"/>
      <c r="AA368" s="71"/>
      <c r="AB368" s="71"/>
      <c r="AC368" s="71"/>
      <c r="AD368" s="71"/>
      <c r="AE368" s="71"/>
      <c r="AF368" s="71"/>
      <c r="AG368" s="71"/>
      <c r="AH368" s="71"/>
      <c r="AI368" s="71"/>
      <c r="AJ368" s="71"/>
      <c r="AK368" s="71"/>
      <c r="AL368" s="71"/>
      <c r="AM368" s="71"/>
      <c r="AN368" s="71"/>
      <c r="AO368" s="71"/>
    </row>
    <row r="369" spans="1:41" s="25" customFormat="1" ht="24" customHeight="1">
      <c r="A369" s="666" t="s">
        <v>180</v>
      </c>
      <c r="B369" s="693"/>
      <c r="C369" s="693"/>
      <c r="D369" s="693"/>
      <c r="E369" s="693"/>
      <c r="F369" s="693"/>
      <c r="G369" s="693"/>
      <c r="H369" s="693"/>
      <c r="I369" s="24"/>
      <c r="P369" s="77"/>
      <c r="Q369" s="97">
        <f t="shared" si="74"/>
        <v>0</v>
      </c>
      <c r="R369" s="106"/>
    </row>
    <row r="370" spans="1:41" s="25" customFormat="1" ht="13.5" customHeight="1">
      <c r="A370" s="75"/>
      <c r="H370" s="26"/>
      <c r="I370" s="75"/>
      <c r="Q370" s="97">
        <f t="shared" si="74"/>
        <v>0</v>
      </c>
      <c r="R370" s="106"/>
    </row>
    <row r="371" spans="1:41" s="25" customFormat="1">
      <c r="A371" s="26"/>
      <c r="B371" s="69"/>
      <c r="C371" s="69"/>
      <c r="D371" s="70"/>
      <c r="E371" s="69"/>
      <c r="F371" s="70"/>
      <c r="G371" s="70"/>
      <c r="H371" s="27" t="s">
        <v>899</v>
      </c>
      <c r="I371" s="85"/>
      <c r="J371" s="26"/>
      <c r="K371" s="26"/>
      <c r="L371" s="26"/>
      <c r="M371" s="26"/>
      <c r="N371" s="26"/>
      <c r="O371" s="26"/>
      <c r="P371" s="26"/>
      <c r="Q371" s="97">
        <f t="shared" si="74"/>
        <v>0</v>
      </c>
      <c r="R371" s="101"/>
      <c r="S371" s="71"/>
      <c r="T371" s="71"/>
      <c r="U371" s="71"/>
      <c r="V371" s="71"/>
      <c r="W371" s="71"/>
      <c r="X371" s="71"/>
      <c r="Y371" s="71"/>
      <c r="Z371" s="71"/>
      <c r="AA371" s="71"/>
      <c r="AB371" s="71"/>
      <c r="AC371" s="71"/>
      <c r="AD371" s="71"/>
      <c r="AE371" s="71"/>
      <c r="AF371" s="71"/>
      <c r="AG371" s="71"/>
      <c r="AH371" s="71"/>
      <c r="AI371" s="71"/>
      <c r="AJ371" s="71"/>
      <c r="AK371" s="71"/>
      <c r="AL371" s="71"/>
      <c r="AM371" s="71"/>
      <c r="AN371" s="71"/>
      <c r="AO371" s="71"/>
    </row>
    <row r="372" spans="1:41" ht="18">
      <c r="A372" s="16" t="s">
        <v>212</v>
      </c>
      <c r="B372" s="34"/>
      <c r="C372" s="34"/>
      <c r="D372" s="34"/>
      <c r="E372" s="34"/>
      <c r="F372" s="34"/>
      <c r="G372" s="34"/>
      <c r="H372" s="35"/>
      <c r="I372" s="80"/>
      <c r="J372" s="65"/>
      <c r="K372" s="65"/>
      <c r="L372" s="65"/>
      <c r="M372" s="65"/>
      <c r="N372" s="65"/>
      <c r="O372" s="65"/>
      <c r="P372" s="65"/>
      <c r="Q372" s="97">
        <f t="shared" si="74"/>
        <v>0</v>
      </c>
    </row>
    <row r="373" spans="1:41">
      <c r="A373" s="18"/>
      <c r="B373" s="19"/>
      <c r="C373" s="19"/>
      <c r="D373" s="19"/>
      <c r="E373" s="19"/>
      <c r="F373" s="19"/>
      <c r="G373" s="19"/>
      <c r="H373" s="36"/>
      <c r="I373" s="80"/>
      <c r="J373" s="65"/>
      <c r="K373" s="65"/>
      <c r="L373" s="65"/>
      <c r="M373" s="65"/>
      <c r="N373" s="65"/>
      <c r="O373" s="65"/>
      <c r="P373" s="65"/>
      <c r="Q373" s="97">
        <f t="shared" si="74"/>
        <v>0</v>
      </c>
    </row>
    <row r="374" spans="1:41" ht="15.75">
      <c r="A374" s="37" t="s">
        <v>162</v>
      </c>
      <c r="B374" s="19"/>
      <c r="C374" s="19"/>
      <c r="D374" s="19"/>
      <c r="E374" s="19"/>
      <c r="F374" s="19"/>
      <c r="G374" s="19"/>
      <c r="H374" s="36"/>
      <c r="I374" s="80"/>
      <c r="J374" s="65"/>
      <c r="K374" s="65"/>
      <c r="L374" s="65"/>
      <c r="M374" s="65"/>
      <c r="N374" s="65"/>
      <c r="O374" s="65"/>
      <c r="P374" s="65"/>
      <c r="Q374" s="97">
        <f t="shared" si="74"/>
        <v>0</v>
      </c>
    </row>
    <row r="375" spans="1:41" ht="15.75">
      <c r="A375" s="37" t="s">
        <v>276</v>
      </c>
      <c r="B375" s="19"/>
      <c r="C375" s="19"/>
      <c r="D375" s="19"/>
      <c r="E375" s="19"/>
      <c r="F375" s="19"/>
      <c r="G375" s="19"/>
      <c r="H375" s="36"/>
      <c r="I375" s="80"/>
      <c r="J375" s="65"/>
      <c r="K375" s="65"/>
      <c r="L375" s="65"/>
      <c r="M375" s="65"/>
      <c r="N375" s="65"/>
      <c r="O375" s="65"/>
      <c r="P375" s="65"/>
      <c r="Q375" s="97">
        <f t="shared" si="74"/>
        <v>0</v>
      </c>
    </row>
    <row r="376" spans="1:41">
      <c r="A376" s="39"/>
      <c r="B376" s="40"/>
      <c r="C376" s="40"/>
      <c r="D376" s="40"/>
      <c r="E376" s="40"/>
      <c r="F376" s="40"/>
      <c r="G376" s="40"/>
      <c r="H376" s="40"/>
      <c r="I376" s="80"/>
      <c r="J376" s="65"/>
      <c r="K376" s="65"/>
      <c r="L376" s="65"/>
      <c r="M376" s="65"/>
      <c r="N376" s="65"/>
      <c r="O376" s="65"/>
      <c r="P376" s="65"/>
      <c r="Q376" s="97">
        <f t="shared" si="74"/>
        <v>0</v>
      </c>
    </row>
    <row r="377" spans="1:41">
      <c r="A377" s="43"/>
      <c r="B377" s="44" t="s">
        <v>164</v>
      </c>
      <c r="C377" s="44"/>
      <c r="D377" s="44"/>
      <c r="E377" s="44"/>
      <c r="F377" s="44"/>
      <c r="G377" s="44"/>
      <c r="H377" s="45"/>
      <c r="I377" s="80"/>
      <c r="J377" s="65"/>
      <c r="K377" s="65"/>
      <c r="L377" s="65"/>
      <c r="M377" s="65"/>
      <c r="N377" s="65"/>
      <c r="O377" s="65"/>
      <c r="P377" s="65"/>
      <c r="Q377" s="97">
        <f t="shared" si="74"/>
        <v>0</v>
      </c>
    </row>
    <row r="378" spans="1:41">
      <c r="A378" s="43"/>
      <c r="B378" s="44" t="s">
        <v>165</v>
      </c>
      <c r="C378" s="44"/>
      <c r="D378" s="670" t="s">
        <v>166</v>
      </c>
      <c r="E378" s="668"/>
      <c r="F378" s="668"/>
      <c r="G378" s="668"/>
      <c r="H378" s="49" t="s">
        <v>39</v>
      </c>
      <c r="I378" s="80"/>
      <c r="J378" s="65"/>
      <c r="K378" s="65"/>
      <c r="L378" s="65"/>
      <c r="M378" s="65"/>
      <c r="N378" s="65"/>
      <c r="O378" s="65"/>
      <c r="P378" s="65"/>
      <c r="Q378" s="97">
        <f t="shared" si="74"/>
        <v>0</v>
      </c>
    </row>
    <row r="379" spans="1:41" ht="36">
      <c r="A379" s="43"/>
      <c r="B379" s="50" t="s">
        <v>167</v>
      </c>
      <c r="C379" s="51" t="s">
        <v>168</v>
      </c>
      <c r="D379" s="52" t="s">
        <v>169</v>
      </c>
      <c r="E379" s="53" t="s">
        <v>7</v>
      </c>
      <c r="F379" s="50" t="s">
        <v>170</v>
      </c>
      <c r="G379" s="54" t="s">
        <v>171</v>
      </c>
      <c r="H379" s="55" t="s">
        <v>172</v>
      </c>
      <c r="I379" s="80"/>
      <c r="J379" s="65"/>
      <c r="K379" s="65"/>
      <c r="L379" s="65"/>
      <c r="M379" s="65"/>
      <c r="N379" s="65"/>
      <c r="O379" s="65"/>
      <c r="P379" s="65"/>
      <c r="Q379" s="97">
        <f t="shared" si="74"/>
        <v>0</v>
      </c>
    </row>
    <row r="380" spans="1:41" ht="15.75" customHeight="1">
      <c r="A380" s="62" t="s">
        <v>141</v>
      </c>
      <c r="B380" s="221">
        <f>('Pivot Table for Data Exchange'!$R$6)*100</f>
        <v>69.745812685571224</v>
      </c>
      <c r="C380" s="221">
        <f>('Pivot Table for Data Exchange'!$R$9)*100</f>
        <v>22.796163913056972</v>
      </c>
      <c r="D380" s="227">
        <f>SUM(E380:G380)</f>
        <v>7.458023401371805</v>
      </c>
      <c r="E380" s="221">
        <f>('Pivot Table for Data Exchange'!$R$12)*100</f>
        <v>7.458023401371805</v>
      </c>
      <c r="F380" s="221">
        <f>('Pivot Table for Data Exchange'!$R$15)*100</f>
        <v>0</v>
      </c>
      <c r="G380" s="60">
        <f>('Pivot Table for Data Exchange'!$R$18)*100</f>
        <v>0</v>
      </c>
      <c r="H380" s="221">
        <f>('Pivot Table for Data Exchange'!$R$21)*100</f>
        <v>0</v>
      </c>
      <c r="I380" s="65"/>
      <c r="J380" s="81"/>
      <c r="K380" s="81"/>
      <c r="L380" s="81"/>
      <c r="M380" s="81"/>
      <c r="N380" s="81"/>
      <c r="O380" s="81"/>
      <c r="P380" s="81"/>
      <c r="Q380" s="97">
        <f t="shared" si="74"/>
        <v>100</v>
      </c>
      <c r="R380" s="97"/>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row>
    <row r="381" spans="1:41" ht="15.75" customHeight="1">
      <c r="A381" s="65" t="s">
        <v>142</v>
      </c>
      <c r="B381" s="221">
        <f>('Pivot Table for Data Exchange'!$R$42)*100</f>
        <v>0</v>
      </c>
      <c r="C381" s="221">
        <f>('Pivot Table for Data Exchange'!$R$45)*100</f>
        <v>0</v>
      </c>
      <c r="D381" s="227">
        <f t="shared" ref="D381:D383" si="80">SUM(E381:G381)</f>
        <v>0</v>
      </c>
      <c r="E381" s="221">
        <f>('Pivot Table for Data Exchange'!$R$48)*100</f>
        <v>0</v>
      </c>
      <c r="F381" s="221">
        <f>('Pivot Table for Data Exchange'!$R$51)*100</f>
        <v>0</v>
      </c>
      <c r="G381" s="223">
        <f>('Pivot Table for Data Exchange'!$R$54)*100</f>
        <v>0</v>
      </c>
      <c r="H381" s="221">
        <f>('Pivot Table for Data Exchange'!$R$57)*100</f>
        <v>0</v>
      </c>
      <c r="I381" s="65"/>
      <c r="J381" s="81"/>
      <c r="K381" s="81"/>
      <c r="L381" s="81"/>
      <c r="M381" s="81"/>
      <c r="N381" s="81"/>
      <c r="O381" s="81"/>
      <c r="P381" s="81"/>
      <c r="Q381" s="97">
        <f t="shared" si="74"/>
        <v>0</v>
      </c>
      <c r="R381" s="97"/>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row>
    <row r="382" spans="1:41" ht="15.75" customHeight="1">
      <c r="A382" s="65" t="s">
        <v>143</v>
      </c>
      <c r="B382" s="221">
        <f>('Pivot Table for Data Exchange'!$R$78)*100</f>
        <v>0</v>
      </c>
      <c r="C382" s="221">
        <f>('Pivot Table for Data Exchange'!$R$81)*100</f>
        <v>0</v>
      </c>
      <c r="D382" s="227">
        <f t="shared" si="80"/>
        <v>0</v>
      </c>
      <c r="E382" s="221">
        <f>('Pivot Table for Data Exchange'!$R$84)*100</f>
        <v>0</v>
      </c>
      <c r="F382" s="221">
        <f>('Pivot Table for Data Exchange'!$R$87)*100</f>
        <v>0</v>
      </c>
      <c r="G382" s="223">
        <f>('Pivot Table for Data Exchange'!$R$90)*100</f>
        <v>0</v>
      </c>
      <c r="H382" s="221">
        <f>('Pivot Table for Data Exchange'!$R$93)*100</f>
        <v>0</v>
      </c>
      <c r="I382" s="65"/>
      <c r="J382" s="81"/>
      <c r="K382" s="81"/>
      <c r="L382" s="81"/>
      <c r="M382" s="81"/>
      <c r="N382" s="81"/>
      <c r="O382" s="81"/>
      <c r="P382" s="81"/>
      <c r="Q382" s="97">
        <f t="shared" si="74"/>
        <v>0</v>
      </c>
      <c r="R382" s="97"/>
      <c r="S382" s="63"/>
      <c r="T382" s="74"/>
      <c r="U382" s="63"/>
      <c r="V382" s="63"/>
      <c r="W382" s="63"/>
      <c r="X382" s="63"/>
      <c r="Y382" s="63"/>
      <c r="Z382" s="63"/>
      <c r="AA382" s="63"/>
      <c r="AB382" s="63"/>
      <c r="AC382" s="63"/>
      <c r="AD382" s="63"/>
      <c r="AE382" s="63"/>
      <c r="AF382" s="63"/>
      <c r="AG382" s="63"/>
      <c r="AH382" s="63"/>
      <c r="AI382" s="63"/>
      <c r="AJ382" s="63"/>
      <c r="AK382" s="63"/>
      <c r="AL382" s="63"/>
      <c r="AM382" s="63"/>
      <c r="AN382" s="63"/>
      <c r="AO382" s="63"/>
    </row>
    <row r="383" spans="1:41" ht="15.75" customHeight="1">
      <c r="A383" s="65" t="s">
        <v>144</v>
      </c>
      <c r="B383" s="221">
        <f>('Pivot Table for Data Exchange'!$R$114)*100</f>
        <v>0</v>
      </c>
      <c r="C383" s="221">
        <f>('Pivot Table for Data Exchange'!$R$117)*100</f>
        <v>0</v>
      </c>
      <c r="D383" s="227">
        <f t="shared" si="80"/>
        <v>0</v>
      </c>
      <c r="E383" s="221">
        <f>('Pivot Table for Data Exchange'!$R$120)*100</f>
        <v>0</v>
      </c>
      <c r="F383" s="221">
        <f>('Pivot Table for Data Exchange'!$R$123)*100</f>
        <v>0</v>
      </c>
      <c r="G383" s="223">
        <f>('Pivot Table for Data Exchange'!$R$126)*100</f>
        <v>0</v>
      </c>
      <c r="H383" s="221">
        <f>('Pivot Table for Data Exchange'!$R$129)*100</f>
        <v>0</v>
      </c>
      <c r="I383" s="65"/>
      <c r="J383" s="81"/>
      <c r="K383" s="81"/>
      <c r="L383" s="81"/>
      <c r="M383" s="81"/>
      <c r="N383" s="81"/>
      <c r="O383" s="81"/>
      <c r="P383" s="81"/>
      <c r="Q383" s="97">
        <f t="shared" si="74"/>
        <v>0</v>
      </c>
      <c r="R383" s="97"/>
      <c r="S383" s="63"/>
      <c r="U383" s="63"/>
      <c r="V383" s="63"/>
      <c r="W383" s="63"/>
      <c r="X383" s="63"/>
      <c r="Y383" s="63"/>
      <c r="Z383" s="63"/>
      <c r="AA383" s="63"/>
      <c r="AB383" s="63"/>
      <c r="AC383" s="63"/>
      <c r="AD383" s="63"/>
      <c r="AE383" s="63"/>
      <c r="AF383" s="63"/>
      <c r="AG383" s="63"/>
      <c r="AH383" s="63"/>
      <c r="AI383" s="63"/>
      <c r="AJ383" s="63"/>
      <c r="AK383" s="63"/>
      <c r="AL383" s="63"/>
      <c r="AM383" s="63"/>
      <c r="AN383" s="63"/>
      <c r="AO383" s="63"/>
    </row>
    <row r="384" spans="1:41" ht="15.75" customHeight="1">
      <c r="A384" s="65"/>
      <c r="B384" s="221"/>
      <c r="C384" s="221"/>
      <c r="D384" s="227"/>
      <c r="E384" s="221"/>
      <c r="F384" s="221"/>
      <c r="G384" s="223"/>
      <c r="H384" s="221"/>
      <c r="I384" s="65"/>
      <c r="J384" s="81"/>
      <c r="K384" s="81"/>
      <c r="L384" s="81"/>
      <c r="M384" s="81"/>
      <c r="N384" s="81"/>
      <c r="O384" s="81"/>
      <c r="P384" s="81"/>
      <c r="Q384" s="97">
        <f t="shared" si="74"/>
        <v>0</v>
      </c>
      <c r="R384" s="97"/>
      <c r="S384" s="63"/>
      <c r="U384" s="63"/>
      <c r="V384" s="63"/>
      <c r="W384" s="63"/>
      <c r="X384" s="63"/>
      <c r="Y384" s="63"/>
      <c r="Z384" s="63"/>
      <c r="AA384" s="63"/>
      <c r="AB384" s="63"/>
      <c r="AC384" s="63"/>
      <c r="AD384" s="63"/>
      <c r="AE384" s="63"/>
      <c r="AF384" s="63"/>
      <c r="AG384" s="63"/>
      <c r="AH384" s="63"/>
      <c r="AI384" s="63"/>
      <c r="AJ384" s="63"/>
      <c r="AK384" s="63"/>
      <c r="AL384" s="63"/>
      <c r="AM384" s="63"/>
      <c r="AN384" s="63"/>
      <c r="AO384" s="63"/>
    </row>
    <row r="385" spans="1:41" ht="15.75" customHeight="1">
      <c r="A385" s="65" t="s">
        <v>145</v>
      </c>
      <c r="B385" s="221">
        <f>('Pivot Table for Data Exchange'!$R$150)*100</f>
        <v>68.972071845048262</v>
      </c>
      <c r="C385" s="221">
        <f>('Pivot Table for Data Exchange'!$R$153)*100</f>
        <v>0</v>
      </c>
      <c r="D385" s="227">
        <f t="shared" ref="D385:D388" si="81">SUM(E385:G385)</f>
        <v>31.027928154951727</v>
      </c>
      <c r="E385" s="221">
        <f>('Pivot Table for Data Exchange'!$R$156)*100</f>
        <v>30.631424822516312</v>
      </c>
      <c r="F385" s="221">
        <f>('Pivot Table for Data Exchange'!$R$159)*100</f>
        <v>0.39650333243541508</v>
      </c>
      <c r="G385" s="223">
        <f>('Pivot Table for Data Exchange'!$R$162)*100</f>
        <v>0</v>
      </c>
      <c r="H385" s="221">
        <f>('Pivot Table for Data Exchange'!$R$165)*100</f>
        <v>0</v>
      </c>
      <c r="I385" s="65"/>
      <c r="J385" s="81"/>
      <c r="K385" s="81"/>
      <c r="L385" s="81"/>
      <c r="M385" s="81"/>
      <c r="N385" s="81"/>
      <c r="O385" s="81"/>
      <c r="P385" s="81"/>
      <c r="Q385" s="97">
        <f t="shared" si="74"/>
        <v>99.999999999999986</v>
      </c>
      <c r="R385" s="97"/>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row>
    <row r="386" spans="1:41" ht="15.75" customHeight="1">
      <c r="A386" s="65" t="s">
        <v>146</v>
      </c>
      <c r="B386" s="221">
        <f>('Pivot Table for Data Exchange'!$R$186)*100</f>
        <v>67.730450423720953</v>
      </c>
      <c r="C386" s="221">
        <f>('Pivot Table for Data Exchange'!$R$189)*100</f>
        <v>3.0615461642590911</v>
      </c>
      <c r="D386" s="227">
        <f t="shared" si="81"/>
        <v>29.208003412019952</v>
      </c>
      <c r="E386" s="221">
        <f>('Pivot Table for Data Exchange'!$R$192)*100</f>
        <v>29.208003412019952</v>
      </c>
      <c r="F386" s="221">
        <f>('Pivot Table for Data Exchange'!$R$195)*100</f>
        <v>0</v>
      </c>
      <c r="G386" s="223">
        <f>('Pivot Table for Data Exchange'!$R$198)*100</f>
        <v>0</v>
      </c>
      <c r="H386" s="221">
        <f>('Pivot Table for Data Exchange'!$R$201)*100</f>
        <v>0</v>
      </c>
      <c r="I386" s="65"/>
      <c r="J386" s="81"/>
      <c r="K386" s="81"/>
      <c r="L386" s="81"/>
      <c r="M386" s="81"/>
      <c r="N386" s="81"/>
      <c r="O386" s="81"/>
      <c r="P386" s="81"/>
      <c r="Q386" s="97">
        <f t="shared" si="74"/>
        <v>99.999999999999986</v>
      </c>
      <c r="R386" s="97"/>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row>
    <row r="387" spans="1:41" ht="15.75" customHeight="1">
      <c r="A387" s="65" t="s">
        <v>147</v>
      </c>
      <c r="B387" s="221">
        <f>('Pivot Table for Data Exchange'!$R$222)*100</f>
        <v>0</v>
      </c>
      <c r="C387" s="221">
        <f>('Pivot Table for Data Exchange'!$R$225)*100</f>
        <v>0</v>
      </c>
      <c r="D387" s="227">
        <f t="shared" si="81"/>
        <v>0</v>
      </c>
      <c r="E387" s="221">
        <f>('Pivot Table for Data Exchange'!$R$228)*100</f>
        <v>0</v>
      </c>
      <c r="F387" s="221">
        <f>('Pivot Table for Data Exchange'!$R$231)*100</f>
        <v>0</v>
      </c>
      <c r="G387" s="223">
        <f>('Pivot Table for Data Exchange'!$R$234)*100</f>
        <v>0</v>
      </c>
      <c r="H387" s="221">
        <f>('Pivot Table for Data Exchange'!$R$237)*100</f>
        <v>0</v>
      </c>
      <c r="I387" s="86"/>
      <c r="J387" s="81"/>
      <c r="K387" s="81"/>
      <c r="L387" s="81"/>
      <c r="M387" s="81"/>
      <c r="N387" s="81"/>
      <c r="O387" s="81"/>
      <c r="P387" s="81"/>
      <c r="Q387" s="97">
        <f>SUM(I387,C387,D387,H387)</f>
        <v>0</v>
      </c>
      <c r="R387" s="97"/>
      <c r="S387" s="63"/>
      <c r="T387" s="74"/>
      <c r="U387" s="63"/>
      <c r="V387" s="63"/>
      <c r="W387" s="63"/>
      <c r="X387" s="63"/>
      <c r="Y387" s="63"/>
      <c r="Z387" s="63"/>
      <c r="AA387" s="63"/>
      <c r="AB387" s="63"/>
      <c r="AC387" s="63"/>
      <c r="AD387" s="63"/>
      <c r="AE387" s="63"/>
      <c r="AF387" s="63"/>
      <c r="AG387" s="63"/>
      <c r="AH387" s="63"/>
      <c r="AI387" s="63"/>
      <c r="AJ387" s="63"/>
      <c r="AK387" s="63"/>
      <c r="AL387" s="63"/>
      <c r="AM387" s="63"/>
      <c r="AN387" s="63"/>
      <c r="AO387" s="63"/>
    </row>
    <row r="388" spans="1:41" ht="15.75" customHeight="1">
      <c r="A388" s="65" t="s">
        <v>177</v>
      </c>
      <c r="B388" s="221">
        <f>('Pivot Table for Data Exchange'!$R$258)*100</f>
        <v>0</v>
      </c>
      <c r="C388" s="221">
        <f>('Pivot Table for Data Exchange'!$R$261)*100</f>
        <v>0</v>
      </c>
      <c r="D388" s="227">
        <f t="shared" si="81"/>
        <v>0</v>
      </c>
      <c r="E388" s="221">
        <f>('Pivot Table for Data Exchange'!$R$264)*100</f>
        <v>0</v>
      </c>
      <c r="F388" s="221">
        <f>('Pivot Table for Data Exchange'!$R$267)*100</f>
        <v>0</v>
      </c>
      <c r="G388" s="223">
        <f>('Pivot Table for Data Exchange'!$R$270)*100</f>
        <v>0</v>
      </c>
      <c r="H388" s="221">
        <f>('Pivot Table for Data Exchange'!$R$273)*100</f>
        <v>0</v>
      </c>
      <c r="I388" s="65"/>
      <c r="J388" s="81"/>
      <c r="K388" s="81"/>
      <c r="L388" s="81"/>
      <c r="M388" s="81"/>
      <c r="N388" s="81"/>
      <c r="O388" s="81"/>
      <c r="P388" s="81"/>
      <c r="Q388" s="97">
        <f t="shared" si="74"/>
        <v>0</v>
      </c>
      <c r="R388" s="97"/>
      <c r="S388" s="63"/>
      <c r="U388" s="63"/>
      <c r="V388" s="63"/>
      <c r="W388" s="63"/>
      <c r="X388" s="63"/>
      <c r="Y388" s="63"/>
      <c r="Z388" s="63"/>
      <c r="AA388" s="63"/>
      <c r="AB388" s="63"/>
      <c r="AC388" s="63"/>
      <c r="AD388" s="63"/>
      <c r="AE388" s="63"/>
      <c r="AF388" s="63"/>
      <c r="AG388" s="63"/>
      <c r="AH388" s="63"/>
      <c r="AI388" s="63"/>
      <c r="AJ388" s="63"/>
      <c r="AK388" s="63"/>
      <c r="AL388" s="63"/>
      <c r="AM388" s="63"/>
      <c r="AN388" s="63"/>
      <c r="AO388" s="63"/>
    </row>
    <row r="389" spans="1:41" ht="15.75" customHeight="1">
      <c r="A389" s="65"/>
      <c r="B389" s="221"/>
      <c r="C389" s="221"/>
      <c r="D389" s="227"/>
      <c r="E389" s="221"/>
      <c r="F389" s="221"/>
      <c r="G389" s="223"/>
      <c r="H389" s="221"/>
      <c r="I389" s="65"/>
      <c r="J389" s="81"/>
      <c r="K389" s="81"/>
      <c r="L389" s="81"/>
      <c r="M389" s="81"/>
      <c r="N389" s="81"/>
      <c r="O389" s="81"/>
      <c r="P389" s="81"/>
      <c r="Q389" s="97">
        <f t="shared" si="74"/>
        <v>0</v>
      </c>
      <c r="R389" s="97"/>
      <c r="S389" s="63"/>
      <c r="U389" s="63"/>
      <c r="V389" s="63"/>
      <c r="W389" s="63"/>
      <c r="X389" s="63"/>
      <c r="Y389" s="63"/>
      <c r="Z389" s="63"/>
      <c r="AA389" s="63"/>
      <c r="AB389" s="63"/>
      <c r="AC389" s="63"/>
      <c r="AD389" s="63"/>
      <c r="AE389" s="63"/>
      <c r="AF389" s="63"/>
      <c r="AG389" s="63"/>
      <c r="AH389" s="63"/>
      <c r="AI389" s="63"/>
      <c r="AJ389" s="63"/>
      <c r="AK389" s="63"/>
      <c r="AL389" s="63"/>
      <c r="AM389" s="63"/>
      <c r="AN389" s="63"/>
      <c r="AO389" s="63"/>
    </row>
    <row r="390" spans="1:41" ht="15.75" customHeight="1">
      <c r="A390" s="65" t="s">
        <v>148</v>
      </c>
      <c r="B390" s="221">
        <f>('Pivot Table for Data Exchange'!$R$294)*100</f>
        <v>0</v>
      </c>
      <c r="C390" s="221">
        <f>('Pivot Table for Data Exchange'!$R$297)*100</f>
        <v>0</v>
      </c>
      <c r="D390" s="227">
        <f t="shared" ref="D390:D392" si="82">SUM(E390:G390)</f>
        <v>0</v>
      </c>
      <c r="E390" s="221">
        <f>('Pivot Table for Data Exchange'!$R$300)*100</f>
        <v>0</v>
      </c>
      <c r="F390" s="221">
        <f>('Pivot Table for Data Exchange'!$R$303)*100</f>
        <v>0</v>
      </c>
      <c r="G390" s="223">
        <f>('Pivot Table for Data Exchange'!$R$306)*100</f>
        <v>0</v>
      </c>
      <c r="H390" s="221">
        <f>('Pivot Table for Data Exchange'!$R$309)*100</f>
        <v>0</v>
      </c>
      <c r="I390" s="65"/>
      <c r="J390" s="81"/>
      <c r="K390" s="81"/>
      <c r="L390" s="81"/>
      <c r="M390" s="81"/>
      <c r="N390" s="81"/>
      <c r="O390" s="81"/>
      <c r="P390" s="81"/>
      <c r="Q390" s="97">
        <f t="shared" si="74"/>
        <v>0</v>
      </c>
      <c r="R390" s="97"/>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row>
    <row r="391" spans="1:41" ht="15.75" customHeight="1">
      <c r="A391" s="65" t="s">
        <v>149</v>
      </c>
      <c r="B391" s="221">
        <f>('Pivot Table for Data Exchange'!$R$330)*100</f>
        <v>0</v>
      </c>
      <c r="C391" s="221">
        <f>('Pivot Table for Data Exchange'!$R$333)*100</f>
        <v>0</v>
      </c>
      <c r="D391" s="227">
        <f t="shared" si="82"/>
        <v>0</v>
      </c>
      <c r="E391" s="221">
        <f>('Pivot Table for Data Exchange'!$R$336)*100</f>
        <v>0</v>
      </c>
      <c r="F391" s="221">
        <f>('Pivot Table for Data Exchange'!$R$339)*100</f>
        <v>0</v>
      </c>
      <c r="G391" s="223">
        <f>('Pivot Table for Data Exchange'!$R$342)*100</f>
        <v>0</v>
      </c>
      <c r="H391" s="221">
        <f>('Pivot Table for Data Exchange'!$R$345)*100</f>
        <v>0</v>
      </c>
      <c r="I391" s="65"/>
      <c r="J391" s="81"/>
      <c r="K391" s="81"/>
      <c r="L391" s="81"/>
      <c r="M391" s="81"/>
      <c r="N391" s="81"/>
      <c r="O391" s="81"/>
      <c r="P391" s="81"/>
      <c r="Q391" s="97">
        <f t="shared" si="74"/>
        <v>0</v>
      </c>
      <c r="R391" s="97"/>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row>
    <row r="392" spans="1:41" ht="15.75" customHeight="1">
      <c r="A392" s="65" t="s">
        <v>150</v>
      </c>
      <c r="B392" s="221">
        <f>('Pivot Table for Data Exchange'!$R$366)*100</f>
        <v>0</v>
      </c>
      <c r="C392" s="221">
        <f>('Pivot Table for Data Exchange'!$R$369)*100</f>
        <v>0</v>
      </c>
      <c r="D392" s="227">
        <f t="shared" si="82"/>
        <v>0</v>
      </c>
      <c r="E392" s="221">
        <f>('Pivot Table for Data Exchange'!$R$372)*100</f>
        <v>0</v>
      </c>
      <c r="F392" s="221">
        <f>('Pivot Table for Data Exchange'!$R$375)*100</f>
        <v>0</v>
      </c>
      <c r="G392" s="223">
        <f>('Pivot Table for Data Exchange'!$R$378)*100</f>
        <v>0</v>
      </c>
      <c r="H392" s="221">
        <f>('Pivot Table for Data Exchange'!$R$381)*100</f>
        <v>0</v>
      </c>
      <c r="I392" s="65"/>
      <c r="J392" s="81"/>
      <c r="K392" s="81"/>
      <c r="L392" s="81"/>
      <c r="M392" s="81"/>
      <c r="N392" s="81"/>
      <c r="O392" s="81"/>
      <c r="P392" s="81"/>
      <c r="Q392" s="97">
        <f t="shared" si="74"/>
        <v>0</v>
      </c>
      <c r="R392" s="97"/>
      <c r="S392" s="63"/>
      <c r="T392" s="74"/>
      <c r="U392" s="63"/>
      <c r="V392" s="63"/>
      <c r="W392" s="63"/>
      <c r="X392" s="63"/>
      <c r="Y392" s="63"/>
      <c r="Z392" s="63"/>
      <c r="AA392" s="63"/>
      <c r="AB392" s="63"/>
      <c r="AC392" s="63"/>
      <c r="AD392" s="63"/>
      <c r="AE392" s="63"/>
      <c r="AF392" s="63"/>
      <c r="AG392" s="63"/>
      <c r="AH392" s="63"/>
      <c r="AI392" s="63"/>
      <c r="AJ392" s="63"/>
      <c r="AK392" s="63"/>
      <c r="AL392" s="63"/>
      <c r="AM392" s="63"/>
      <c r="AN392" s="63"/>
      <c r="AO392" s="63"/>
    </row>
    <row r="393" spans="1:41" ht="15.75" customHeight="1">
      <c r="A393" s="65" t="s">
        <v>151</v>
      </c>
      <c r="B393" s="221">
        <f>('Pivot Table for Data Exchange'!$R$402)*100</f>
        <v>0</v>
      </c>
      <c r="C393" s="221">
        <f>('Pivot Table for Data Exchange'!$R$405)*100</f>
        <v>0</v>
      </c>
      <c r="D393" s="227">
        <f>SUM(E393:G393)</f>
        <v>0</v>
      </c>
      <c r="E393" s="221">
        <f>('Pivot Table for Data Exchange'!$R$408)*100</f>
        <v>0</v>
      </c>
      <c r="F393" s="221">
        <f>('Pivot Table for Data Exchange'!$R$411)*100</f>
        <v>0</v>
      </c>
      <c r="G393" s="223">
        <f>('Pivot Table for Data Exchange'!$R$414)*100</f>
        <v>0</v>
      </c>
      <c r="H393" s="221">
        <f>('Pivot Table for Data Exchange'!$R$417)*100</f>
        <v>0</v>
      </c>
      <c r="I393" s="65"/>
      <c r="J393" s="81"/>
      <c r="K393" s="81"/>
      <c r="L393" s="81"/>
      <c r="M393" s="81"/>
      <c r="N393" s="81"/>
      <c r="O393" s="81"/>
      <c r="P393" s="81"/>
      <c r="Q393" s="97">
        <f t="shared" si="74"/>
        <v>0</v>
      </c>
      <c r="R393" s="97"/>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row>
    <row r="394" spans="1:41" ht="15.75" customHeight="1">
      <c r="A394" s="65"/>
      <c r="B394" s="221"/>
      <c r="C394" s="221"/>
      <c r="D394" s="227"/>
      <c r="E394" s="221"/>
      <c r="F394" s="221"/>
      <c r="G394" s="223"/>
      <c r="H394" s="221"/>
      <c r="I394" s="65"/>
      <c r="J394" s="81"/>
      <c r="K394" s="81"/>
      <c r="L394" s="81"/>
      <c r="M394" s="81"/>
      <c r="N394" s="81"/>
      <c r="O394" s="81"/>
      <c r="P394" s="81"/>
      <c r="Q394" s="97">
        <f t="shared" si="74"/>
        <v>0</v>
      </c>
      <c r="R394" s="97"/>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row>
    <row r="395" spans="1:41" ht="15.75" customHeight="1">
      <c r="A395" s="65" t="s">
        <v>152</v>
      </c>
      <c r="B395" s="221">
        <f>('Pivot Table for Data Exchange'!$R$438)*100</f>
        <v>0</v>
      </c>
      <c r="C395" s="221">
        <f>('Pivot Table for Data Exchange'!$R$441)*100</f>
        <v>0</v>
      </c>
      <c r="D395" s="227">
        <f>SUM(E395:G395)</f>
        <v>0</v>
      </c>
      <c r="E395" s="221">
        <f>('Pivot Table for Data Exchange'!$R$444)*100</f>
        <v>0</v>
      </c>
      <c r="F395" s="221">
        <f>('Pivot Table for Data Exchange'!$R$447)*100</f>
        <v>0</v>
      </c>
      <c r="G395" s="223">
        <f>('Pivot Table for Data Exchange'!$R$450)*100</f>
        <v>0</v>
      </c>
      <c r="H395" s="221">
        <f>('Pivot Table for Data Exchange'!$R$453)*100</f>
        <v>0</v>
      </c>
      <c r="I395" s="65"/>
      <c r="J395" s="81"/>
      <c r="K395" s="81"/>
      <c r="L395" s="81"/>
      <c r="M395" s="81"/>
      <c r="N395" s="81"/>
      <c r="O395" s="81"/>
      <c r="P395" s="81"/>
      <c r="Q395" s="97">
        <f t="shared" ref="Q395:Q457" si="83">SUM(B395,C395,D395,H395)</f>
        <v>0</v>
      </c>
      <c r="R395" s="97"/>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row>
    <row r="396" spans="1:41" ht="15.75" customHeight="1">
      <c r="A396" s="65" t="s">
        <v>153</v>
      </c>
      <c r="B396" s="221">
        <f>('Pivot Table for Data Exchange'!$R$474)*100</f>
        <v>0</v>
      </c>
      <c r="C396" s="221">
        <f>('Pivot Table for Data Exchange'!$R$477)*100</f>
        <v>0</v>
      </c>
      <c r="D396" s="227">
        <f>SUM(E396:G396)</f>
        <v>0</v>
      </c>
      <c r="E396" s="221">
        <f>('Pivot Table for Data Exchange'!$R$480)*100</f>
        <v>0</v>
      </c>
      <c r="F396" s="221">
        <f>('Pivot Table for Data Exchange'!$R$483)*100</f>
        <v>0</v>
      </c>
      <c r="G396" s="223">
        <f>('Pivot Table for Data Exchange'!$R$486)*100</f>
        <v>0</v>
      </c>
      <c r="H396" s="221">
        <f>('Pivot Table for Data Exchange'!$R$489)*100</f>
        <v>0</v>
      </c>
      <c r="I396" s="65"/>
      <c r="J396" s="81"/>
      <c r="K396" s="81"/>
      <c r="L396" s="81"/>
      <c r="M396" s="81"/>
      <c r="N396" s="81"/>
      <c r="O396" s="81"/>
      <c r="P396" s="81"/>
      <c r="Q396" s="97">
        <f t="shared" si="83"/>
        <v>0</v>
      </c>
      <c r="R396" s="97"/>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row>
    <row r="397" spans="1:41" ht="15.75" customHeight="1">
      <c r="A397" s="65" t="s">
        <v>154</v>
      </c>
      <c r="B397" s="221">
        <f>('Pivot Table for Data Exchange'!$R$510)*100</f>
        <v>0</v>
      </c>
      <c r="C397" s="221">
        <f>('Pivot Table for Data Exchange'!$R$513)*100</f>
        <v>0</v>
      </c>
      <c r="D397" s="227">
        <f t="shared" ref="D397" si="84">SUM(E397:G397)</f>
        <v>0</v>
      </c>
      <c r="E397" s="221">
        <f>('Pivot Table for Data Exchange'!$R$516)*100</f>
        <v>0</v>
      </c>
      <c r="F397" s="221">
        <f>('Pivot Table for Data Exchange'!$R$519)*100</f>
        <v>0</v>
      </c>
      <c r="G397" s="223">
        <f>('Pivot Table for Data Exchange'!$R$522)*100</f>
        <v>0</v>
      </c>
      <c r="H397" s="221">
        <f>('Pivot Table for Data Exchange'!$R$525)*100</f>
        <v>0</v>
      </c>
      <c r="I397" s="65"/>
      <c r="J397" s="81"/>
      <c r="K397" s="81"/>
      <c r="L397" s="81"/>
      <c r="M397" s="81"/>
      <c r="N397" s="81"/>
      <c r="O397" s="81"/>
      <c r="P397" s="81"/>
      <c r="Q397" s="97">
        <f t="shared" si="83"/>
        <v>0</v>
      </c>
      <c r="R397" s="97"/>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row>
    <row r="398" spans="1:41" ht="15.75" customHeight="1">
      <c r="A398" s="39" t="s">
        <v>155</v>
      </c>
      <c r="B398" s="224">
        <f>('Pivot Table for Data Exchange'!$R$546)*100</f>
        <v>0</v>
      </c>
      <c r="C398" s="224">
        <f>('Pivot Table for Data Exchange'!$R$549)*100</f>
        <v>0</v>
      </c>
      <c r="D398" s="228">
        <f>SUM(E398:G398)</f>
        <v>0</v>
      </c>
      <c r="E398" s="224">
        <f>('Pivot Table for Data Exchange'!$R$552)*100</f>
        <v>0</v>
      </c>
      <c r="F398" s="224">
        <f>('Pivot Table for Data Exchange'!$R$555)*100</f>
        <v>0</v>
      </c>
      <c r="G398" s="225">
        <f>('Pivot Table for Data Exchange'!$R$558)*100</f>
        <v>0</v>
      </c>
      <c r="H398" s="224">
        <f>('Pivot Table for Data Exchange'!$R$561)*100</f>
        <v>0</v>
      </c>
      <c r="I398" s="65"/>
      <c r="J398" s="81"/>
      <c r="K398" s="81"/>
      <c r="L398" s="81"/>
      <c r="M398" s="81"/>
      <c r="N398" s="81"/>
      <c r="O398" s="81"/>
      <c r="P398" s="81"/>
      <c r="Q398" s="97">
        <f t="shared" si="83"/>
        <v>0</v>
      </c>
      <c r="R398" s="97"/>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row>
    <row r="399" spans="1:41" s="25" customFormat="1" ht="12" customHeight="1">
      <c r="A399" s="691" t="s">
        <v>175</v>
      </c>
      <c r="B399" s="69"/>
      <c r="C399" s="69"/>
      <c r="D399" s="70"/>
      <c r="E399" s="69"/>
      <c r="F399" s="70"/>
      <c r="G399" s="70"/>
      <c r="H399" s="69"/>
      <c r="I399" s="24"/>
      <c r="J399" s="69"/>
      <c r="K399" s="69"/>
      <c r="L399" s="70"/>
      <c r="M399" s="69"/>
      <c r="N399" s="70"/>
      <c r="O399" s="70"/>
      <c r="P399" s="69"/>
      <c r="Q399" s="97">
        <f t="shared" si="83"/>
        <v>0</v>
      </c>
      <c r="R399" s="101"/>
      <c r="S399" s="71"/>
      <c r="T399" s="71"/>
      <c r="U399" s="71"/>
      <c r="V399" s="71"/>
      <c r="W399" s="71"/>
      <c r="X399" s="71"/>
      <c r="Y399" s="71"/>
      <c r="Z399" s="71"/>
      <c r="AA399" s="71"/>
      <c r="AB399" s="71"/>
      <c r="AC399" s="71"/>
      <c r="AD399" s="71"/>
      <c r="AE399" s="71"/>
      <c r="AF399" s="71"/>
      <c r="AG399" s="71"/>
      <c r="AH399" s="71"/>
      <c r="AI399" s="71"/>
      <c r="AJ399" s="71"/>
      <c r="AK399" s="71"/>
      <c r="AL399" s="71"/>
      <c r="AM399" s="71"/>
      <c r="AN399" s="71"/>
      <c r="AO399" s="71"/>
    </row>
    <row r="400" spans="1:41" s="25" customFormat="1" ht="13.5" customHeight="1">
      <c r="A400" s="24"/>
      <c r="B400" s="69"/>
      <c r="C400" s="69"/>
      <c r="D400" s="70"/>
      <c r="E400" s="69"/>
      <c r="F400" s="70"/>
      <c r="G400" s="70"/>
      <c r="H400" s="69"/>
      <c r="I400" s="24"/>
      <c r="J400" s="69"/>
      <c r="K400" s="69"/>
      <c r="L400" s="70"/>
      <c r="M400" s="69"/>
      <c r="N400" s="70"/>
      <c r="O400" s="70"/>
      <c r="P400" s="69"/>
      <c r="Q400" s="97">
        <f t="shared" si="83"/>
        <v>0</v>
      </c>
      <c r="R400" s="101"/>
      <c r="S400" s="71"/>
      <c r="T400" s="71"/>
      <c r="U400" s="71"/>
      <c r="V400" s="71"/>
      <c r="W400" s="71"/>
      <c r="X400" s="71"/>
      <c r="Y400" s="71"/>
      <c r="Z400" s="71"/>
      <c r="AA400" s="71"/>
      <c r="AB400" s="71"/>
      <c r="AC400" s="71"/>
      <c r="AD400" s="71"/>
      <c r="AE400" s="71"/>
      <c r="AF400" s="71"/>
      <c r="AG400" s="71"/>
      <c r="AH400" s="71"/>
      <c r="AI400" s="71"/>
      <c r="AJ400" s="71"/>
      <c r="AK400" s="71"/>
      <c r="AL400" s="71"/>
      <c r="AM400" s="71"/>
      <c r="AN400" s="71"/>
      <c r="AO400" s="71"/>
    </row>
    <row r="401" spans="1:41" s="65" customFormat="1" ht="15.75" customHeight="1">
      <c r="B401" s="83"/>
      <c r="C401" s="83"/>
      <c r="D401" s="83"/>
      <c r="E401" s="83"/>
      <c r="F401" s="83"/>
      <c r="G401" s="83"/>
      <c r="H401" s="27" t="s">
        <v>899</v>
      </c>
      <c r="J401" s="81"/>
      <c r="K401" s="81"/>
      <c r="L401" s="81"/>
      <c r="M401" s="81"/>
      <c r="N401" s="81"/>
      <c r="O401" s="81"/>
      <c r="P401" s="81"/>
      <c r="Q401" s="97">
        <f t="shared" si="83"/>
        <v>0</v>
      </c>
      <c r="R401" s="97"/>
      <c r="S401" s="87"/>
      <c r="T401" s="87"/>
      <c r="U401" s="87"/>
      <c r="V401" s="87"/>
      <c r="W401" s="87"/>
      <c r="X401" s="87"/>
      <c r="Y401" s="87"/>
      <c r="Z401" s="87"/>
      <c r="AA401" s="87"/>
      <c r="AB401" s="87"/>
      <c r="AC401" s="87"/>
      <c r="AD401" s="87"/>
      <c r="AE401" s="87"/>
      <c r="AF401" s="87"/>
      <c r="AG401" s="87"/>
      <c r="AH401" s="87"/>
      <c r="AI401" s="87"/>
      <c r="AJ401" s="87"/>
      <c r="AK401" s="87"/>
      <c r="AL401" s="87"/>
      <c r="AM401" s="87"/>
      <c r="AN401" s="87"/>
      <c r="AO401" s="87"/>
    </row>
    <row r="402" spans="1:41" ht="18">
      <c r="A402" s="16" t="s">
        <v>213</v>
      </c>
      <c r="B402" s="34"/>
      <c r="C402" s="34"/>
      <c r="D402" s="34"/>
      <c r="E402" s="34"/>
      <c r="F402" s="34"/>
      <c r="G402" s="34"/>
      <c r="H402" s="35"/>
      <c r="I402" s="80"/>
      <c r="J402" s="65"/>
      <c r="K402" s="65"/>
      <c r="L402" s="65"/>
      <c r="M402" s="65"/>
      <c r="N402" s="65"/>
      <c r="O402" s="65"/>
      <c r="P402" s="65"/>
      <c r="Q402" s="97">
        <f t="shared" si="83"/>
        <v>0</v>
      </c>
    </row>
    <row r="403" spans="1:41">
      <c r="A403" s="18"/>
      <c r="B403" s="19"/>
      <c r="C403" s="19"/>
      <c r="D403" s="19"/>
      <c r="E403" s="19"/>
      <c r="F403" s="19"/>
      <c r="G403" s="19"/>
      <c r="H403" s="36"/>
      <c r="I403" s="80"/>
      <c r="J403" s="65"/>
      <c r="K403" s="65"/>
      <c r="L403" s="65"/>
      <c r="M403" s="65"/>
      <c r="N403" s="65"/>
      <c r="O403" s="65"/>
      <c r="P403" s="65"/>
      <c r="Q403" s="97">
        <f t="shared" si="83"/>
        <v>0</v>
      </c>
    </row>
    <row r="404" spans="1:41" ht="15.75">
      <c r="A404" s="37" t="s">
        <v>162</v>
      </c>
      <c r="B404" s="19"/>
      <c r="C404" s="19"/>
      <c r="D404" s="19"/>
      <c r="E404" s="19"/>
      <c r="F404" s="19"/>
      <c r="G404" s="19"/>
      <c r="H404" s="36"/>
      <c r="I404" s="80"/>
      <c r="J404" s="65"/>
      <c r="K404" s="65"/>
      <c r="L404" s="65"/>
      <c r="M404" s="65"/>
      <c r="N404" s="65"/>
      <c r="O404" s="65"/>
      <c r="P404" s="65"/>
      <c r="Q404" s="97">
        <f t="shared" si="83"/>
        <v>0</v>
      </c>
    </row>
    <row r="405" spans="1:41" ht="15.75">
      <c r="A405" s="37" t="s">
        <v>277</v>
      </c>
      <c r="B405" s="19"/>
      <c r="C405" s="19"/>
      <c r="D405" s="19"/>
      <c r="E405" s="19"/>
      <c r="F405" s="19"/>
      <c r="G405" s="19"/>
      <c r="H405" s="36"/>
      <c r="I405" s="80"/>
      <c r="J405" s="65"/>
      <c r="K405" s="65"/>
      <c r="L405" s="65"/>
      <c r="M405" s="65"/>
      <c r="N405" s="65"/>
      <c r="O405" s="65"/>
      <c r="P405" s="65"/>
      <c r="Q405" s="97">
        <f t="shared" si="83"/>
        <v>0</v>
      </c>
    </row>
    <row r="406" spans="1:41">
      <c r="A406" s="39"/>
      <c r="B406" s="40"/>
      <c r="C406" s="40"/>
      <c r="D406" s="40"/>
      <c r="E406" s="40"/>
      <c r="F406" s="40"/>
      <c r="G406" s="40"/>
      <c r="H406" s="40"/>
      <c r="I406" s="80"/>
      <c r="J406" s="65"/>
      <c r="K406" s="65"/>
      <c r="L406" s="65"/>
      <c r="M406" s="65"/>
      <c r="N406" s="65"/>
      <c r="O406" s="65"/>
      <c r="P406" s="65"/>
      <c r="Q406" s="97">
        <f t="shared" si="83"/>
        <v>0</v>
      </c>
    </row>
    <row r="407" spans="1:41">
      <c r="A407" s="43"/>
      <c r="B407" s="44" t="s">
        <v>164</v>
      </c>
      <c r="C407" s="44"/>
      <c r="D407" s="44"/>
      <c r="E407" s="44"/>
      <c r="F407" s="44"/>
      <c r="G407" s="44"/>
      <c r="H407" s="45"/>
      <c r="I407" s="80"/>
      <c r="J407" s="65"/>
      <c r="K407" s="65"/>
      <c r="L407" s="65"/>
      <c r="M407" s="65"/>
      <c r="N407" s="65"/>
      <c r="O407" s="65"/>
      <c r="P407" s="65"/>
      <c r="Q407" s="97">
        <f t="shared" si="83"/>
        <v>0</v>
      </c>
    </row>
    <row r="408" spans="1:41">
      <c r="A408" s="43"/>
      <c r="B408" s="44" t="s">
        <v>165</v>
      </c>
      <c r="C408" s="44"/>
      <c r="D408" s="670" t="s">
        <v>166</v>
      </c>
      <c r="E408" s="668"/>
      <c r="F408" s="668"/>
      <c r="G408" s="668"/>
      <c r="H408" s="49" t="s">
        <v>39</v>
      </c>
      <c r="I408" s="80"/>
      <c r="J408" s="65"/>
      <c r="K408" s="65"/>
      <c r="L408" s="65"/>
      <c r="M408" s="65"/>
      <c r="N408" s="65"/>
      <c r="O408" s="65"/>
      <c r="P408" s="65"/>
      <c r="Q408" s="97">
        <f t="shared" si="83"/>
        <v>0</v>
      </c>
    </row>
    <row r="409" spans="1:41" ht="36">
      <c r="A409" s="43"/>
      <c r="B409" s="50" t="s">
        <v>167</v>
      </c>
      <c r="C409" s="51" t="s">
        <v>168</v>
      </c>
      <c r="D409" s="52" t="s">
        <v>169</v>
      </c>
      <c r="E409" s="53" t="s">
        <v>7</v>
      </c>
      <c r="F409" s="50" t="s">
        <v>170</v>
      </c>
      <c r="G409" s="54" t="s">
        <v>171</v>
      </c>
      <c r="H409" s="55" t="s">
        <v>172</v>
      </c>
      <c r="I409" s="80"/>
      <c r="J409" s="65"/>
      <c r="K409" s="65"/>
      <c r="L409" s="65"/>
      <c r="M409" s="65"/>
      <c r="N409" s="65"/>
      <c r="O409" s="65"/>
      <c r="P409" s="65"/>
      <c r="Q409" s="97">
        <f t="shared" si="83"/>
        <v>0</v>
      </c>
    </row>
    <row r="410" spans="1:41" ht="15.75" customHeight="1">
      <c r="A410" s="62" t="s">
        <v>141</v>
      </c>
      <c r="B410" s="221">
        <f>('Pivot Table for Data Exchange'!$P$6)*100</f>
        <v>40.154074874983102</v>
      </c>
      <c r="C410" s="221">
        <f>('Pivot Table for Data Exchange'!$P$9)*100</f>
        <v>52.55304770914988</v>
      </c>
      <c r="D410" s="227">
        <f>SUM(E410:G410)</f>
        <v>7.2928774158670091</v>
      </c>
      <c r="E410" s="221">
        <f>('Pivot Table for Data Exchange'!$P$12)*100</f>
        <v>7.2928774158670091</v>
      </c>
      <c r="F410" s="221">
        <f>('Pivot Table for Data Exchange'!$P$15)*100</f>
        <v>0</v>
      </c>
      <c r="G410" s="60">
        <f>('Pivot Table for Data Exchange'!$P$18)*100</f>
        <v>0</v>
      </c>
      <c r="H410" s="221">
        <f>('Pivot Table for Data Exchange'!$P$21)*100</f>
        <v>0</v>
      </c>
      <c r="I410" s="65"/>
      <c r="J410" s="81"/>
      <c r="K410" s="81"/>
      <c r="L410" s="81"/>
      <c r="M410" s="81"/>
      <c r="N410" s="81"/>
      <c r="O410" s="81"/>
      <c r="P410" s="81"/>
      <c r="Q410" s="97">
        <f t="shared" si="83"/>
        <v>99.999999999999986</v>
      </c>
      <c r="R410" s="97"/>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row>
    <row r="411" spans="1:41" ht="15.75" customHeight="1">
      <c r="A411" s="65" t="s">
        <v>142</v>
      </c>
      <c r="B411" s="221">
        <f>('Pivot Table for Data Exchange'!$P$42)*100</f>
        <v>0</v>
      </c>
      <c r="C411" s="221">
        <f>('Pivot Table for Data Exchange'!$P$45)*100</f>
        <v>0</v>
      </c>
      <c r="D411" s="227">
        <f t="shared" ref="D411:D413" si="85">SUM(E411:G411)</f>
        <v>0</v>
      </c>
      <c r="E411" s="221">
        <f>('Pivot Table for Data Exchange'!$P$48)*100</f>
        <v>0</v>
      </c>
      <c r="F411" s="221">
        <f>('Pivot Table for Data Exchange'!$P$51)*100</f>
        <v>0</v>
      </c>
      <c r="G411" s="223">
        <f>('Pivot Table for Data Exchange'!$P$54)*100</f>
        <v>0</v>
      </c>
      <c r="H411" s="221">
        <f>('Pivot Table for Data Exchange'!$P$57)*100</f>
        <v>0</v>
      </c>
      <c r="I411" s="65"/>
      <c r="J411" s="81"/>
      <c r="K411" s="81"/>
      <c r="L411" s="81"/>
      <c r="M411" s="81"/>
      <c r="N411" s="81"/>
      <c r="O411" s="81"/>
      <c r="P411" s="81"/>
      <c r="Q411" s="97">
        <f t="shared" si="83"/>
        <v>0</v>
      </c>
      <c r="R411" s="97"/>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row>
    <row r="412" spans="1:41" ht="15.75" customHeight="1">
      <c r="A412" s="65" t="s">
        <v>143</v>
      </c>
      <c r="B412" s="221">
        <f>('Pivot Table for Data Exchange'!$P$78)*100</f>
        <v>0</v>
      </c>
      <c r="C412" s="221">
        <f>('Pivot Table for Data Exchange'!$P$81)*100</f>
        <v>0</v>
      </c>
      <c r="D412" s="227">
        <f t="shared" si="85"/>
        <v>0</v>
      </c>
      <c r="E412" s="221">
        <f>('Pivot Table for Data Exchange'!$P$84)*100</f>
        <v>0</v>
      </c>
      <c r="F412" s="221">
        <f>('Pivot Table for Data Exchange'!$P$87)*100</f>
        <v>0</v>
      </c>
      <c r="G412" s="223">
        <f>('Pivot Table for Data Exchange'!$P$90)*100</f>
        <v>0</v>
      </c>
      <c r="H412" s="221">
        <f>('Pivot Table for Data Exchange'!$P$93)*100</f>
        <v>0</v>
      </c>
      <c r="I412" s="65"/>
      <c r="J412" s="81"/>
      <c r="K412" s="81"/>
      <c r="L412" s="81"/>
      <c r="M412" s="81"/>
      <c r="N412" s="81"/>
      <c r="O412" s="81"/>
      <c r="P412" s="81"/>
      <c r="Q412" s="97">
        <f t="shared" si="83"/>
        <v>0</v>
      </c>
      <c r="R412" s="97"/>
      <c r="S412" s="63"/>
      <c r="T412" s="74"/>
      <c r="U412" s="63"/>
      <c r="V412" s="63"/>
      <c r="W412" s="63"/>
      <c r="X412" s="63"/>
      <c r="Y412" s="63"/>
      <c r="Z412" s="63"/>
      <c r="AA412" s="63"/>
      <c r="AB412" s="63"/>
      <c r="AC412" s="63"/>
      <c r="AD412" s="63"/>
      <c r="AE412" s="63"/>
      <c r="AF412" s="63"/>
      <c r="AG412" s="63"/>
      <c r="AH412" s="63"/>
      <c r="AI412" s="63"/>
      <c r="AJ412" s="63"/>
      <c r="AK412" s="63"/>
      <c r="AL412" s="63"/>
      <c r="AM412" s="63"/>
      <c r="AN412" s="63"/>
      <c r="AO412" s="63"/>
    </row>
    <row r="413" spans="1:41" ht="15.75" customHeight="1">
      <c r="A413" s="65" t="s">
        <v>144</v>
      </c>
      <c r="B413" s="221">
        <f>('Pivot Table for Data Exchange'!$P$114)*100</f>
        <v>0</v>
      </c>
      <c r="C413" s="221">
        <f>('Pivot Table for Data Exchange'!$P$117)*100</f>
        <v>0</v>
      </c>
      <c r="D413" s="227">
        <f t="shared" si="85"/>
        <v>0</v>
      </c>
      <c r="E413" s="221">
        <f>('Pivot Table for Data Exchange'!$P$120)*100</f>
        <v>0</v>
      </c>
      <c r="F413" s="221">
        <f>('Pivot Table for Data Exchange'!$P$123)*100</f>
        <v>0</v>
      </c>
      <c r="G413" s="223">
        <f>('Pivot Table for Data Exchange'!$P$126)*100</f>
        <v>0</v>
      </c>
      <c r="H413" s="221">
        <f>('Pivot Table for Data Exchange'!$P$129)*100</f>
        <v>0</v>
      </c>
      <c r="I413" s="65"/>
      <c r="J413" s="81"/>
      <c r="K413" s="81"/>
      <c r="L413" s="81"/>
      <c r="M413" s="81"/>
      <c r="N413" s="81"/>
      <c r="O413" s="81"/>
      <c r="P413" s="81"/>
      <c r="Q413" s="97">
        <f t="shared" si="83"/>
        <v>0</v>
      </c>
      <c r="R413" s="97"/>
      <c r="S413" s="63"/>
      <c r="U413" s="63"/>
      <c r="V413" s="63"/>
      <c r="W413" s="63"/>
      <c r="X413" s="63"/>
      <c r="Y413" s="63"/>
      <c r="Z413" s="63"/>
      <c r="AA413" s="63"/>
      <c r="AB413" s="63"/>
      <c r="AC413" s="63"/>
      <c r="AD413" s="63"/>
      <c r="AE413" s="63"/>
      <c r="AF413" s="63"/>
      <c r="AG413" s="63"/>
      <c r="AH413" s="63"/>
      <c r="AI413" s="63"/>
      <c r="AJ413" s="63"/>
      <c r="AK413" s="63"/>
      <c r="AL413" s="63"/>
      <c r="AM413" s="63"/>
      <c r="AN413" s="63"/>
      <c r="AO413" s="63"/>
    </row>
    <row r="414" spans="1:41" ht="15.75" customHeight="1">
      <c r="A414" s="65"/>
      <c r="B414" s="221"/>
      <c r="C414" s="221"/>
      <c r="D414" s="227"/>
      <c r="E414" s="221"/>
      <c r="F414" s="221"/>
      <c r="G414" s="223"/>
      <c r="H414" s="221"/>
      <c r="I414" s="65"/>
      <c r="J414" s="81"/>
      <c r="K414" s="81"/>
      <c r="L414" s="81"/>
      <c r="M414" s="81"/>
      <c r="N414" s="81"/>
      <c r="O414" s="81"/>
      <c r="P414" s="81"/>
      <c r="Q414" s="97">
        <f t="shared" si="83"/>
        <v>0</v>
      </c>
      <c r="R414" s="97"/>
      <c r="S414" s="63"/>
      <c r="U414" s="63"/>
      <c r="V414" s="63"/>
      <c r="W414" s="63"/>
      <c r="X414" s="63"/>
      <c r="Y414" s="63"/>
      <c r="Z414" s="63"/>
      <c r="AA414" s="63"/>
      <c r="AB414" s="63"/>
      <c r="AC414" s="63"/>
      <c r="AD414" s="63"/>
      <c r="AE414" s="63"/>
      <c r="AF414" s="63"/>
      <c r="AG414" s="63"/>
      <c r="AH414" s="63"/>
      <c r="AI414" s="63"/>
      <c r="AJ414" s="63"/>
      <c r="AK414" s="63"/>
      <c r="AL414" s="63"/>
      <c r="AM414" s="63"/>
      <c r="AN414" s="63"/>
      <c r="AO414" s="63"/>
    </row>
    <row r="415" spans="1:41" ht="15.75" customHeight="1">
      <c r="A415" s="65" t="s">
        <v>145</v>
      </c>
      <c r="B415" s="221">
        <f>('Pivot Table for Data Exchange'!$P$150)*100</f>
        <v>68.972071845048262</v>
      </c>
      <c r="C415" s="221">
        <f>('Pivot Table for Data Exchange'!$P$153)*100</f>
        <v>0</v>
      </c>
      <c r="D415" s="227">
        <f t="shared" ref="D415:D418" si="86">SUM(E415:G415)</f>
        <v>31.027928154951727</v>
      </c>
      <c r="E415" s="221">
        <f>('Pivot Table for Data Exchange'!$P$156)*100</f>
        <v>30.631424822516312</v>
      </c>
      <c r="F415" s="221">
        <f>('Pivot Table for Data Exchange'!$P$159)*100</f>
        <v>0.39650333243541508</v>
      </c>
      <c r="G415" s="223">
        <f>('Pivot Table for Data Exchange'!$P$162)*100</f>
        <v>0</v>
      </c>
      <c r="H415" s="221">
        <f>('Pivot Table for Data Exchange'!$P$165)*100</f>
        <v>0</v>
      </c>
      <c r="I415" s="65"/>
      <c r="J415" s="81"/>
      <c r="K415" s="81"/>
      <c r="L415" s="81"/>
      <c r="M415" s="81"/>
      <c r="N415" s="81"/>
      <c r="O415" s="81"/>
      <c r="P415" s="81"/>
      <c r="Q415" s="97">
        <f t="shared" si="83"/>
        <v>99.999999999999986</v>
      </c>
      <c r="R415" s="97"/>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row>
    <row r="416" spans="1:41" ht="15.75" customHeight="1">
      <c r="A416" s="65" t="s">
        <v>146</v>
      </c>
      <c r="B416" s="221">
        <f>('Pivot Table for Data Exchange'!$P$186)*100</f>
        <v>67.730450423720953</v>
      </c>
      <c r="C416" s="221">
        <f>('Pivot Table for Data Exchange'!$P$189)*100</f>
        <v>3.0615461642590911</v>
      </c>
      <c r="D416" s="227">
        <f t="shared" si="86"/>
        <v>29.208003412019952</v>
      </c>
      <c r="E416" s="221">
        <f>('Pivot Table for Data Exchange'!$P$192)*100</f>
        <v>29.208003412019952</v>
      </c>
      <c r="F416" s="221">
        <f>('Pivot Table for Data Exchange'!$P$195)*100</f>
        <v>0</v>
      </c>
      <c r="G416" s="223">
        <f>('Pivot Table for Data Exchange'!$P$198)*100</f>
        <v>0</v>
      </c>
      <c r="H416" s="221">
        <f>('Pivot Table for Data Exchange'!$P$201)*100</f>
        <v>0</v>
      </c>
      <c r="I416" s="65"/>
      <c r="J416" s="81"/>
      <c r="K416" s="81"/>
      <c r="L416" s="81"/>
      <c r="M416" s="81"/>
      <c r="N416" s="81"/>
      <c r="O416" s="81"/>
      <c r="P416" s="81"/>
      <c r="Q416" s="97">
        <f t="shared" si="83"/>
        <v>99.999999999999986</v>
      </c>
      <c r="R416" s="97"/>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row>
    <row r="417" spans="1:41" ht="15.75" customHeight="1">
      <c r="A417" s="65" t="s">
        <v>147</v>
      </c>
      <c r="B417" s="221">
        <f>('Pivot Table for Data Exchange'!$P$222)*100</f>
        <v>0</v>
      </c>
      <c r="C417" s="221">
        <f>('Pivot Table for Data Exchange'!$P$225)*100</f>
        <v>0</v>
      </c>
      <c r="D417" s="227">
        <f t="shared" si="86"/>
        <v>0</v>
      </c>
      <c r="E417" s="221">
        <f>('Pivot Table for Data Exchange'!$P$228)*100</f>
        <v>0</v>
      </c>
      <c r="F417" s="221">
        <f>('Pivot Table for Data Exchange'!$P$231)*100</f>
        <v>0</v>
      </c>
      <c r="G417" s="223">
        <f>('Pivot Table for Data Exchange'!$P$234)*100</f>
        <v>0</v>
      </c>
      <c r="H417" s="221">
        <f>('Pivot Table for Data Exchange'!$P$237)*100</f>
        <v>0</v>
      </c>
      <c r="I417" s="86"/>
      <c r="J417" s="81"/>
      <c r="K417" s="81"/>
      <c r="L417" s="81"/>
      <c r="M417" s="81"/>
      <c r="N417" s="81"/>
      <c r="O417" s="81"/>
      <c r="P417" s="81"/>
      <c r="Q417" s="97">
        <f>SUM(I417,C417,D417,H417)</f>
        <v>0</v>
      </c>
      <c r="R417" s="97"/>
      <c r="S417" s="63"/>
      <c r="T417" s="74"/>
      <c r="U417" s="63"/>
      <c r="V417" s="63"/>
      <c r="W417" s="63"/>
      <c r="X417" s="63"/>
      <c r="Y417" s="63"/>
      <c r="Z417" s="63"/>
      <c r="AA417" s="63"/>
      <c r="AB417" s="63"/>
      <c r="AC417" s="63"/>
      <c r="AD417" s="63"/>
      <c r="AE417" s="63"/>
      <c r="AF417" s="63"/>
      <c r="AG417" s="63"/>
      <c r="AH417" s="63"/>
      <c r="AI417" s="63"/>
      <c r="AJ417" s="63"/>
      <c r="AK417" s="63"/>
      <c r="AL417" s="63"/>
      <c r="AM417" s="63"/>
      <c r="AN417" s="63"/>
      <c r="AO417" s="63"/>
    </row>
    <row r="418" spans="1:41" ht="15.75" customHeight="1">
      <c r="A418" s="65" t="s">
        <v>177</v>
      </c>
      <c r="B418" s="221">
        <f>('Pivot Table for Data Exchange'!$P$258)*100</f>
        <v>0</v>
      </c>
      <c r="C418" s="221">
        <f>('Pivot Table for Data Exchange'!$P$261)*100</f>
        <v>0</v>
      </c>
      <c r="D418" s="227">
        <f t="shared" si="86"/>
        <v>0</v>
      </c>
      <c r="E418" s="221">
        <f>('Pivot Table for Data Exchange'!$P$264)*100</f>
        <v>0</v>
      </c>
      <c r="F418" s="221">
        <f>('Pivot Table for Data Exchange'!$P$267)*100</f>
        <v>0</v>
      </c>
      <c r="G418" s="223">
        <f>('Pivot Table for Data Exchange'!$P$270)*100</f>
        <v>0</v>
      </c>
      <c r="H418" s="221">
        <f>('Pivot Table for Data Exchange'!$P$273)*100</f>
        <v>0</v>
      </c>
      <c r="I418" s="65"/>
      <c r="J418" s="81"/>
      <c r="K418" s="81"/>
      <c r="L418" s="81"/>
      <c r="M418" s="81"/>
      <c r="N418" s="81"/>
      <c r="O418" s="81"/>
      <c r="P418" s="81"/>
      <c r="Q418" s="97">
        <f t="shared" si="83"/>
        <v>0</v>
      </c>
      <c r="R418" s="97"/>
      <c r="S418" s="63"/>
      <c r="U418" s="63"/>
      <c r="V418" s="63"/>
      <c r="W418" s="63"/>
      <c r="X418" s="63"/>
      <c r="Y418" s="63"/>
      <c r="Z418" s="63"/>
      <c r="AA418" s="63"/>
      <c r="AB418" s="63"/>
      <c r="AC418" s="63"/>
      <c r="AD418" s="63"/>
      <c r="AE418" s="63"/>
      <c r="AF418" s="63"/>
      <c r="AG418" s="63"/>
      <c r="AH418" s="63"/>
      <c r="AI418" s="63"/>
      <c r="AJ418" s="63"/>
      <c r="AK418" s="63"/>
      <c r="AL418" s="63"/>
      <c r="AM418" s="63"/>
      <c r="AN418" s="63"/>
      <c r="AO418" s="63"/>
    </row>
    <row r="419" spans="1:41" ht="15.75" customHeight="1">
      <c r="A419" s="65"/>
      <c r="B419" s="221"/>
      <c r="C419" s="221"/>
      <c r="D419" s="227"/>
      <c r="E419" s="221"/>
      <c r="F419" s="221"/>
      <c r="G419" s="223"/>
      <c r="H419" s="221"/>
      <c r="I419" s="65"/>
      <c r="J419" s="81"/>
      <c r="K419" s="81"/>
      <c r="L419" s="81"/>
      <c r="M419" s="81"/>
      <c r="N419" s="81"/>
      <c r="O419" s="81"/>
      <c r="P419" s="81"/>
      <c r="Q419" s="97">
        <f t="shared" si="83"/>
        <v>0</v>
      </c>
      <c r="R419" s="97"/>
      <c r="S419" s="63"/>
      <c r="U419" s="63"/>
      <c r="V419" s="63"/>
      <c r="W419" s="63"/>
      <c r="X419" s="63"/>
      <c r="Y419" s="63"/>
      <c r="Z419" s="63"/>
      <c r="AA419" s="63"/>
      <c r="AB419" s="63"/>
      <c r="AC419" s="63"/>
      <c r="AD419" s="63"/>
      <c r="AE419" s="63"/>
      <c r="AF419" s="63"/>
      <c r="AG419" s="63"/>
      <c r="AH419" s="63"/>
      <c r="AI419" s="63"/>
      <c r="AJ419" s="63"/>
      <c r="AK419" s="63"/>
      <c r="AL419" s="63"/>
      <c r="AM419" s="63"/>
      <c r="AN419" s="63"/>
      <c r="AO419" s="63"/>
    </row>
    <row r="420" spans="1:41" ht="15.75" customHeight="1">
      <c r="A420" s="65" t="s">
        <v>148</v>
      </c>
      <c r="B420" s="221">
        <f>('Pivot Table for Data Exchange'!$P$294)*100</f>
        <v>0</v>
      </c>
      <c r="C420" s="221">
        <f>('Pivot Table for Data Exchange'!$P$297)*100</f>
        <v>0</v>
      </c>
      <c r="D420" s="227">
        <f t="shared" ref="D420:D422" si="87">SUM(E420:G420)</f>
        <v>0</v>
      </c>
      <c r="E420" s="221">
        <f>('Pivot Table for Data Exchange'!$P$300)*100</f>
        <v>0</v>
      </c>
      <c r="F420" s="221">
        <f>('Pivot Table for Data Exchange'!$P$303)*100</f>
        <v>0</v>
      </c>
      <c r="G420" s="223">
        <f>('Pivot Table for Data Exchange'!$P$306)*100</f>
        <v>0</v>
      </c>
      <c r="H420" s="221">
        <f>('Pivot Table for Data Exchange'!$P$309)*100</f>
        <v>0</v>
      </c>
      <c r="I420" s="65"/>
      <c r="J420" s="81"/>
      <c r="K420" s="81"/>
      <c r="L420" s="81"/>
      <c r="M420" s="81"/>
      <c r="N420" s="81"/>
      <c r="O420" s="81"/>
      <c r="P420" s="81"/>
      <c r="Q420" s="97">
        <f t="shared" si="83"/>
        <v>0</v>
      </c>
      <c r="R420" s="97"/>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row>
    <row r="421" spans="1:41" ht="15.75" customHeight="1">
      <c r="A421" s="65" t="s">
        <v>149</v>
      </c>
      <c r="B421" s="221">
        <f>('Pivot Table for Data Exchange'!$P$330)*100</f>
        <v>0</v>
      </c>
      <c r="C421" s="221">
        <f>('Pivot Table for Data Exchange'!$P$333)*100</f>
        <v>0</v>
      </c>
      <c r="D421" s="227">
        <f t="shared" si="87"/>
        <v>0</v>
      </c>
      <c r="E421" s="221">
        <f>('Pivot Table for Data Exchange'!$P$336)*100</f>
        <v>0</v>
      </c>
      <c r="F421" s="221">
        <f>('Pivot Table for Data Exchange'!$P$339)*100</f>
        <v>0</v>
      </c>
      <c r="G421" s="223">
        <f>('Pivot Table for Data Exchange'!$P$342)*100</f>
        <v>0</v>
      </c>
      <c r="H421" s="221">
        <f>('Pivot Table for Data Exchange'!$P$345)*100</f>
        <v>0</v>
      </c>
      <c r="I421" s="65"/>
      <c r="J421" s="81"/>
      <c r="K421" s="81"/>
      <c r="L421" s="81"/>
      <c r="M421" s="81"/>
      <c r="N421" s="81"/>
      <c r="O421" s="81"/>
      <c r="P421" s="81"/>
      <c r="Q421" s="97">
        <f t="shared" si="83"/>
        <v>0</v>
      </c>
      <c r="R421" s="97"/>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row>
    <row r="422" spans="1:41" ht="15.75" customHeight="1">
      <c r="A422" s="65" t="s">
        <v>150</v>
      </c>
      <c r="B422" s="221">
        <f>('Pivot Table for Data Exchange'!$P$366)*100</f>
        <v>0</v>
      </c>
      <c r="C422" s="221">
        <f>('Pivot Table for Data Exchange'!$P$369)*100</f>
        <v>0</v>
      </c>
      <c r="D422" s="227">
        <f t="shared" si="87"/>
        <v>0</v>
      </c>
      <c r="E422" s="221">
        <f>('Pivot Table for Data Exchange'!$P$372)*100</f>
        <v>0</v>
      </c>
      <c r="F422" s="221">
        <f>('Pivot Table for Data Exchange'!$P$375)*100</f>
        <v>0</v>
      </c>
      <c r="G422" s="223">
        <f>('Pivot Table for Data Exchange'!$P$378)*100</f>
        <v>0</v>
      </c>
      <c r="H422" s="221">
        <f>('Pivot Table for Data Exchange'!$P$381)*100</f>
        <v>0</v>
      </c>
      <c r="I422" s="65"/>
      <c r="J422" s="81"/>
      <c r="K422" s="81"/>
      <c r="L422" s="81"/>
      <c r="M422" s="81"/>
      <c r="N422" s="81"/>
      <c r="O422" s="81"/>
      <c r="P422" s="81"/>
      <c r="Q422" s="97">
        <f t="shared" si="83"/>
        <v>0</v>
      </c>
      <c r="R422" s="97"/>
      <c r="S422" s="63"/>
      <c r="T422" s="74"/>
      <c r="U422" s="63"/>
      <c r="V422" s="63"/>
      <c r="W422" s="63"/>
      <c r="X422" s="63"/>
      <c r="Y422" s="63"/>
      <c r="Z422" s="63"/>
      <c r="AA422" s="63"/>
      <c r="AB422" s="63"/>
      <c r="AC422" s="63"/>
      <c r="AD422" s="63"/>
      <c r="AE422" s="63"/>
      <c r="AF422" s="63"/>
      <c r="AG422" s="63"/>
      <c r="AH422" s="63"/>
      <c r="AI422" s="63"/>
      <c r="AJ422" s="63"/>
      <c r="AK422" s="63"/>
      <c r="AL422" s="63"/>
      <c r="AM422" s="63"/>
      <c r="AN422" s="63"/>
      <c r="AO422" s="63"/>
    </row>
    <row r="423" spans="1:41" ht="15.75" customHeight="1">
      <c r="A423" s="65" t="s">
        <v>151</v>
      </c>
      <c r="B423" s="221">
        <f>('Pivot Table for Data Exchange'!$P$402)*100</f>
        <v>0</v>
      </c>
      <c r="C423" s="221">
        <f>('Pivot Table for Data Exchange'!$P$405)*100</f>
        <v>0</v>
      </c>
      <c r="D423" s="227">
        <f>SUM(E423:G423)</f>
        <v>0</v>
      </c>
      <c r="E423" s="221">
        <f>('Pivot Table for Data Exchange'!$P$408)*100</f>
        <v>0</v>
      </c>
      <c r="F423" s="221">
        <f>('Pivot Table for Data Exchange'!$P$411)*100</f>
        <v>0</v>
      </c>
      <c r="G423" s="223">
        <f>('Pivot Table for Data Exchange'!$P$414)*100</f>
        <v>0</v>
      </c>
      <c r="H423" s="221">
        <f>('Pivot Table for Data Exchange'!$P$417)*100</f>
        <v>0</v>
      </c>
      <c r="I423" s="65"/>
      <c r="J423" s="81"/>
      <c r="K423" s="81"/>
      <c r="L423" s="81"/>
      <c r="M423" s="81"/>
      <c r="N423" s="81"/>
      <c r="O423" s="81"/>
      <c r="P423" s="81"/>
      <c r="Q423" s="97">
        <f t="shared" si="83"/>
        <v>0</v>
      </c>
      <c r="R423" s="97"/>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row>
    <row r="424" spans="1:41" ht="15.75" customHeight="1">
      <c r="A424" s="65"/>
      <c r="B424" s="221"/>
      <c r="C424" s="221"/>
      <c r="D424" s="227"/>
      <c r="E424" s="221"/>
      <c r="F424" s="221"/>
      <c r="G424" s="223"/>
      <c r="H424" s="221"/>
      <c r="I424" s="65"/>
      <c r="J424" s="81"/>
      <c r="K424" s="81"/>
      <c r="L424" s="81"/>
      <c r="M424" s="81"/>
      <c r="N424" s="81"/>
      <c r="O424" s="81"/>
      <c r="P424" s="81"/>
      <c r="Q424" s="97">
        <f t="shared" si="83"/>
        <v>0</v>
      </c>
      <c r="R424" s="97"/>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row>
    <row r="425" spans="1:41" ht="15.75" customHeight="1">
      <c r="A425" s="65" t="s">
        <v>152</v>
      </c>
      <c r="B425" s="221">
        <f>('Pivot Table for Data Exchange'!$P$438)*100</f>
        <v>0</v>
      </c>
      <c r="C425" s="221">
        <f>('Pivot Table for Data Exchange'!$P$441)*100</f>
        <v>0</v>
      </c>
      <c r="D425" s="227">
        <f>SUM(E425:G425)</f>
        <v>0</v>
      </c>
      <c r="E425" s="221">
        <f>('Pivot Table for Data Exchange'!$P$444)*100</f>
        <v>0</v>
      </c>
      <c r="F425" s="221">
        <f>('Pivot Table for Data Exchange'!$P$447)*100</f>
        <v>0</v>
      </c>
      <c r="G425" s="223">
        <f>('Pivot Table for Data Exchange'!$P$450)*100</f>
        <v>0</v>
      </c>
      <c r="H425" s="221">
        <f>('Pivot Table for Data Exchange'!$P$453)*100</f>
        <v>0</v>
      </c>
      <c r="I425" s="65"/>
      <c r="J425" s="81"/>
      <c r="K425" s="81"/>
      <c r="L425" s="81"/>
      <c r="M425" s="81"/>
      <c r="N425" s="81"/>
      <c r="O425" s="81"/>
      <c r="P425" s="81"/>
      <c r="Q425" s="97">
        <f t="shared" si="83"/>
        <v>0</v>
      </c>
      <c r="R425" s="97"/>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row>
    <row r="426" spans="1:41" ht="15.75" customHeight="1">
      <c r="A426" s="65" t="s">
        <v>153</v>
      </c>
      <c r="B426" s="221">
        <f>('Pivot Table for Data Exchange'!$P$474)*100</f>
        <v>0</v>
      </c>
      <c r="C426" s="221">
        <f>('Pivot Table for Data Exchange'!$P$477)*100</f>
        <v>0</v>
      </c>
      <c r="D426" s="227">
        <f>SUM(E426:G426)</f>
        <v>0</v>
      </c>
      <c r="E426" s="221">
        <f>('Pivot Table for Data Exchange'!$P$480)*100</f>
        <v>0</v>
      </c>
      <c r="F426" s="221">
        <f>('Pivot Table for Data Exchange'!$P$483)*100</f>
        <v>0</v>
      </c>
      <c r="G426" s="223">
        <f>('Pivot Table for Data Exchange'!$P$486)*100</f>
        <v>0</v>
      </c>
      <c r="H426" s="221">
        <f>('Pivot Table for Data Exchange'!$P$489)*100</f>
        <v>0</v>
      </c>
      <c r="I426" s="65"/>
      <c r="J426" s="81"/>
      <c r="K426" s="81"/>
      <c r="L426" s="81"/>
      <c r="M426" s="81"/>
      <c r="N426" s="81"/>
      <c r="O426" s="81"/>
      <c r="P426" s="81"/>
      <c r="Q426" s="97">
        <f t="shared" si="83"/>
        <v>0</v>
      </c>
      <c r="R426" s="97"/>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row>
    <row r="427" spans="1:41" ht="15.75" customHeight="1">
      <c r="A427" s="65" t="s">
        <v>154</v>
      </c>
      <c r="B427" s="221">
        <f>('Pivot Table for Data Exchange'!$P$510)*100</f>
        <v>0</v>
      </c>
      <c r="C427" s="221">
        <f>('Pivot Table for Data Exchange'!$P$513)*100</f>
        <v>0</v>
      </c>
      <c r="D427" s="227">
        <f t="shared" ref="D427" si="88">SUM(E427:G427)</f>
        <v>0</v>
      </c>
      <c r="E427" s="221">
        <f>('Pivot Table for Data Exchange'!$P$516)*100</f>
        <v>0</v>
      </c>
      <c r="F427" s="221">
        <f>('Pivot Table for Data Exchange'!$P$519)*100</f>
        <v>0</v>
      </c>
      <c r="G427" s="223">
        <f>('Pivot Table for Data Exchange'!$P$522)*100</f>
        <v>0</v>
      </c>
      <c r="H427" s="221">
        <f>('Pivot Table for Data Exchange'!$P$525)*100</f>
        <v>0</v>
      </c>
      <c r="I427" s="65"/>
      <c r="J427" s="81"/>
      <c r="K427" s="81"/>
      <c r="L427" s="81"/>
      <c r="M427" s="81"/>
      <c r="N427" s="81"/>
      <c r="O427" s="81"/>
      <c r="P427" s="81"/>
      <c r="Q427" s="97">
        <f t="shared" si="83"/>
        <v>0</v>
      </c>
      <c r="R427" s="97"/>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row>
    <row r="428" spans="1:41" ht="15.75" customHeight="1">
      <c r="A428" s="39" t="s">
        <v>155</v>
      </c>
      <c r="B428" s="224">
        <f>('Pivot Table for Data Exchange'!$P$546)*100</f>
        <v>0</v>
      </c>
      <c r="C428" s="224">
        <f>('Pivot Table for Data Exchange'!$P$549)*100</f>
        <v>0</v>
      </c>
      <c r="D428" s="228">
        <f>SUM(E428:G428)</f>
        <v>0</v>
      </c>
      <c r="E428" s="224">
        <f>('Pivot Table for Data Exchange'!$P$552)*100</f>
        <v>0</v>
      </c>
      <c r="F428" s="224">
        <f>('Pivot Table for Data Exchange'!$P$555)*100</f>
        <v>0</v>
      </c>
      <c r="G428" s="225">
        <f>('Pivot Table for Data Exchange'!$P$558)*100</f>
        <v>0</v>
      </c>
      <c r="H428" s="224">
        <f>('Pivot Table for Data Exchange'!$P$561)*100</f>
        <v>0</v>
      </c>
      <c r="I428" s="65"/>
      <c r="J428" s="81"/>
      <c r="K428" s="81"/>
      <c r="L428" s="81"/>
      <c r="M428" s="81"/>
      <c r="N428" s="81"/>
      <c r="O428" s="81"/>
      <c r="P428" s="81"/>
      <c r="Q428" s="97">
        <f t="shared" si="83"/>
        <v>0</v>
      </c>
      <c r="R428" s="97"/>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row>
    <row r="429" spans="1:41" s="25" customFormat="1" ht="12" customHeight="1">
      <c r="A429" s="691" t="s">
        <v>175</v>
      </c>
      <c r="B429" s="69"/>
      <c r="C429" s="69"/>
      <c r="D429" s="70"/>
      <c r="E429" s="69"/>
      <c r="F429" s="70"/>
      <c r="G429" s="70"/>
      <c r="H429" s="69"/>
      <c r="I429" s="24"/>
      <c r="J429" s="69"/>
      <c r="K429" s="69"/>
      <c r="L429" s="70"/>
      <c r="M429" s="69"/>
      <c r="N429" s="70"/>
      <c r="O429" s="70"/>
      <c r="P429" s="69"/>
      <c r="Q429" s="97">
        <f t="shared" si="83"/>
        <v>0</v>
      </c>
      <c r="R429" s="101"/>
      <c r="S429" s="71"/>
      <c r="T429" s="71"/>
      <c r="U429" s="71"/>
      <c r="V429" s="71"/>
      <c r="W429" s="71"/>
      <c r="X429" s="71"/>
      <c r="Y429" s="71"/>
      <c r="Z429" s="71"/>
      <c r="AA429" s="71"/>
      <c r="AB429" s="71"/>
      <c r="AC429" s="71"/>
      <c r="AD429" s="71"/>
      <c r="AE429" s="71"/>
      <c r="AF429" s="71"/>
      <c r="AG429" s="71"/>
      <c r="AH429" s="71"/>
      <c r="AI429" s="71"/>
      <c r="AJ429" s="71"/>
      <c r="AK429" s="71"/>
      <c r="AL429" s="71"/>
      <c r="AM429" s="71"/>
      <c r="AN429" s="71"/>
      <c r="AO429" s="71"/>
    </row>
    <row r="430" spans="1:41" s="25" customFormat="1" ht="13.5" customHeight="1">
      <c r="A430" s="24"/>
      <c r="B430" s="76"/>
      <c r="I430" s="24"/>
      <c r="P430" s="77"/>
      <c r="Q430" s="97">
        <f t="shared" si="83"/>
        <v>0</v>
      </c>
      <c r="R430" s="106"/>
    </row>
    <row r="431" spans="1:41" s="25" customFormat="1" ht="13.5" customHeight="1">
      <c r="A431" s="75"/>
      <c r="H431" s="27" t="s">
        <v>899</v>
      </c>
      <c r="I431" s="75"/>
      <c r="Q431" s="97">
        <f t="shared" si="83"/>
        <v>0</v>
      </c>
      <c r="R431" s="106"/>
    </row>
    <row r="432" spans="1:41" ht="18">
      <c r="A432" s="16" t="s">
        <v>214</v>
      </c>
      <c r="B432" s="34"/>
      <c r="C432" s="34"/>
      <c r="D432" s="34"/>
      <c r="E432" s="34"/>
      <c r="F432" s="34"/>
      <c r="G432" s="34"/>
      <c r="H432" s="35"/>
      <c r="I432" s="80"/>
      <c r="J432" s="65"/>
      <c r="K432" s="65"/>
      <c r="L432" s="65"/>
      <c r="M432" s="65"/>
      <c r="N432" s="65"/>
      <c r="O432" s="65"/>
      <c r="P432" s="65"/>
      <c r="Q432" s="97">
        <f t="shared" si="83"/>
        <v>0</v>
      </c>
    </row>
    <row r="433" spans="1:41">
      <c r="A433" s="18"/>
      <c r="B433" s="19"/>
      <c r="C433" s="19"/>
      <c r="D433" s="19"/>
      <c r="E433" s="19"/>
      <c r="F433" s="19"/>
      <c r="G433" s="19"/>
      <c r="H433" s="36"/>
      <c r="I433" s="80"/>
      <c r="J433" s="65"/>
      <c r="K433" s="65"/>
      <c r="L433" s="65"/>
      <c r="M433" s="65"/>
      <c r="N433" s="65"/>
      <c r="O433" s="65"/>
      <c r="P433" s="65"/>
      <c r="Q433" s="97">
        <f t="shared" si="83"/>
        <v>0</v>
      </c>
    </row>
    <row r="434" spans="1:41" ht="15.75">
      <c r="A434" s="37" t="s">
        <v>162</v>
      </c>
      <c r="B434" s="19"/>
      <c r="C434" s="19"/>
      <c r="D434" s="19"/>
      <c r="E434" s="19"/>
      <c r="F434" s="19"/>
      <c r="G434" s="19"/>
      <c r="H434" s="36"/>
      <c r="I434" s="80"/>
      <c r="J434" s="65"/>
      <c r="K434" s="65"/>
      <c r="L434" s="65"/>
      <c r="M434" s="65"/>
      <c r="N434" s="65"/>
      <c r="O434" s="65"/>
      <c r="P434" s="65"/>
      <c r="Q434" s="97">
        <f t="shared" si="83"/>
        <v>0</v>
      </c>
    </row>
    <row r="435" spans="1:41" ht="15.75">
      <c r="A435" s="37" t="s">
        <v>278</v>
      </c>
      <c r="B435" s="19"/>
      <c r="C435" s="19"/>
      <c r="D435" s="19"/>
      <c r="E435" s="19"/>
      <c r="F435" s="19"/>
      <c r="G435" s="19"/>
      <c r="H435" s="36"/>
      <c r="I435" s="80"/>
      <c r="J435" s="65"/>
      <c r="K435" s="65"/>
      <c r="L435" s="65"/>
      <c r="M435" s="65"/>
      <c r="N435" s="65"/>
      <c r="O435" s="65"/>
      <c r="P435" s="65"/>
      <c r="Q435" s="97">
        <f t="shared" si="83"/>
        <v>0</v>
      </c>
    </row>
    <row r="436" spans="1:41">
      <c r="A436" s="39"/>
      <c r="B436" s="40"/>
      <c r="C436" s="40"/>
      <c r="D436" s="40"/>
      <c r="E436" s="40"/>
      <c r="F436" s="40"/>
      <c r="G436" s="40"/>
      <c r="H436" s="40"/>
      <c r="I436" s="80"/>
      <c r="J436" s="65"/>
      <c r="K436" s="65"/>
      <c r="L436" s="65"/>
      <c r="M436" s="65"/>
      <c r="N436" s="65"/>
      <c r="O436" s="65"/>
      <c r="P436" s="65"/>
      <c r="Q436" s="97">
        <f t="shared" si="83"/>
        <v>0</v>
      </c>
    </row>
    <row r="437" spans="1:41">
      <c r="A437" s="43"/>
      <c r="B437" s="44" t="s">
        <v>164</v>
      </c>
      <c r="C437" s="44"/>
      <c r="D437" s="44"/>
      <c r="E437" s="44"/>
      <c r="F437" s="44"/>
      <c r="G437" s="44"/>
      <c r="H437" s="45"/>
      <c r="I437" s="80"/>
      <c r="J437" s="65"/>
      <c r="K437" s="65"/>
      <c r="L437" s="65"/>
      <c r="M437" s="65"/>
      <c r="N437" s="65"/>
      <c r="O437" s="65"/>
      <c r="P437" s="65"/>
      <c r="Q437" s="97">
        <f t="shared" si="83"/>
        <v>0</v>
      </c>
    </row>
    <row r="438" spans="1:41">
      <c r="A438" s="43"/>
      <c r="B438" s="44" t="s">
        <v>165</v>
      </c>
      <c r="C438" s="44"/>
      <c r="D438" s="670" t="s">
        <v>166</v>
      </c>
      <c r="E438" s="668"/>
      <c r="F438" s="668"/>
      <c r="G438" s="668"/>
      <c r="H438" s="49" t="s">
        <v>39</v>
      </c>
      <c r="I438" s="80"/>
      <c r="J438" s="65"/>
      <c r="K438" s="65"/>
      <c r="L438" s="65"/>
      <c r="M438" s="65"/>
      <c r="N438" s="65"/>
      <c r="O438" s="65"/>
      <c r="P438" s="65"/>
      <c r="Q438" s="97">
        <f t="shared" si="83"/>
        <v>0</v>
      </c>
    </row>
    <row r="439" spans="1:41" ht="36">
      <c r="A439" s="43"/>
      <c r="B439" s="50" t="s">
        <v>167</v>
      </c>
      <c r="C439" s="51" t="s">
        <v>168</v>
      </c>
      <c r="D439" s="52" t="s">
        <v>169</v>
      </c>
      <c r="E439" s="53" t="s">
        <v>7</v>
      </c>
      <c r="F439" s="50" t="s">
        <v>170</v>
      </c>
      <c r="G439" s="54" t="s">
        <v>171</v>
      </c>
      <c r="H439" s="55" t="s">
        <v>172</v>
      </c>
      <c r="I439" s="80"/>
      <c r="J439" s="65"/>
      <c r="K439" s="65"/>
      <c r="L439" s="65"/>
      <c r="M439" s="65"/>
      <c r="N439" s="65"/>
      <c r="O439" s="65"/>
      <c r="P439" s="65"/>
      <c r="Q439" s="97">
        <f t="shared" si="83"/>
        <v>0</v>
      </c>
    </row>
    <row r="440" spans="1:41" ht="15.75" customHeight="1">
      <c r="A440" s="62" t="s">
        <v>141</v>
      </c>
      <c r="B440" s="221">
        <f>('Pivot Table for Data Exchange'!$Q$6)*100</f>
        <v>88.093721717561095</v>
      </c>
      <c r="C440" s="221">
        <f>('Pivot Table for Data Exchange'!$Q$9)*100</f>
        <v>4.3458586129453964</v>
      </c>
      <c r="D440" s="227">
        <f>SUM(E440:G440)</f>
        <v>7.5604196694935135</v>
      </c>
      <c r="E440" s="221">
        <f>('Pivot Table for Data Exchange'!$Q$12)*100</f>
        <v>7.5604196694935135</v>
      </c>
      <c r="F440" s="221">
        <f>('Pivot Table for Data Exchange'!$Q$15)*100</f>
        <v>0</v>
      </c>
      <c r="G440" s="60">
        <f>('Pivot Table for Data Exchange'!$Q$18)*100</f>
        <v>0</v>
      </c>
      <c r="H440" s="221">
        <f>('Pivot Table for Data Exchange'!$Q$21)*100</f>
        <v>0</v>
      </c>
      <c r="I440" s="65"/>
      <c r="J440" s="81"/>
      <c r="K440" s="81"/>
      <c r="L440" s="81"/>
      <c r="M440" s="81"/>
      <c r="N440" s="81"/>
      <c r="O440" s="81"/>
      <c r="P440" s="81"/>
      <c r="Q440" s="97">
        <f t="shared" si="83"/>
        <v>100</v>
      </c>
      <c r="R440" s="97"/>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row>
    <row r="441" spans="1:41" ht="15.75" customHeight="1">
      <c r="A441" s="65" t="s">
        <v>142</v>
      </c>
      <c r="B441" s="221">
        <f>('Pivot Table for Data Exchange'!$Q$42)*100</f>
        <v>0</v>
      </c>
      <c r="C441" s="221">
        <f>('Pivot Table for Data Exchange'!$Q$45)*100</f>
        <v>0</v>
      </c>
      <c r="D441" s="227">
        <f t="shared" ref="D441:D443" si="89">SUM(E441:G441)</f>
        <v>0</v>
      </c>
      <c r="E441" s="221">
        <f>('Pivot Table for Data Exchange'!$Q$48)*100</f>
        <v>0</v>
      </c>
      <c r="F441" s="221">
        <f>('Pivot Table for Data Exchange'!$Q$51)*100</f>
        <v>0</v>
      </c>
      <c r="G441" s="223">
        <f>('Pivot Table for Data Exchange'!$Q$54)*100</f>
        <v>0</v>
      </c>
      <c r="H441" s="221">
        <f>('Pivot Table for Data Exchange'!$Q$57)*100</f>
        <v>0</v>
      </c>
      <c r="I441" s="65"/>
      <c r="J441" s="81"/>
      <c r="K441" s="81"/>
      <c r="L441" s="81"/>
      <c r="M441" s="81"/>
      <c r="N441" s="81"/>
      <c r="O441" s="81"/>
      <c r="P441" s="81"/>
      <c r="Q441" s="97">
        <f t="shared" si="83"/>
        <v>0</v>
      </c>
      <c r="R441" s="97"/>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row>
    <row r="442" spans="1:41" ht="15.75" customHeight="1">
      <c r="A442" s="65" t="s">
        <v>143</v>
      </c>
      <c r="B442" s="221">
        <f>('Pivot Table for Data Exchange'!$Q$78)*100</f>
        <v>0</v>
      </c>
      <c r="C442" s="221">
        <f>('Pivot Table for Data Exchange'!$Q$81)*100</f>
        <v>0</v>
      </c>
      <c r="D442" s="227">
        <f t="shared" si="89"/>
        <v>0</v>
      </c>
      <c r="E442" s="221">
        <f>('Pivot Table for Data Exchange'!$Q$84)*100</f>
        <v>0</v>
      </c>
      <c r="F442" s="221">
        <f>('Pivot Table for Data Exchange'!$Q$87)*100</f>
        <v>0</v>
      </c>
      <c r="G442" s="223">
        <f>('Pivot Table for Data Exchange'!$Q$90)*100</f>
        <v>0</v>
      </c>
      <c r="H442" s="221">
        <f>('Pivot Table for Data Exchange'!$Q$93)*100</f>
        <v>0</v>
      </c>
      <c r="I442" s="65"/>
      <c r="J442" s="81"/>
      <c r="K442" s="81"/>
      <c r="L442" s="81"/>
      <c r="M442" s="81"/>
      <c r="N442" s="81"/>
      <c r="O442" s="81"/>
      <c r="P442" s="81"/>
      <c r="Q442" s="97">
        <f t="shared" si="83"/>
        <v>0</v>
      </c>
      <c r="R442" s="97"/>
      <c r="S442" s="63"/>
      <c r="T442" s="74"/>
      <c r="U442" s="63"/>
      <c r="V442" s="63"/>
      <c r="W442" s="63"/>
      <c r="X442" s="63"/>
      <c r="Y442" s="63"/>
      <c r="Z442" s="63"/>
      <c r="AA442" s="63"/>
      <c r="AB442" s="63"/>
      <c r="AC442" s="63"/>
      <c r="AD442" s="63"/>
      <c r="AE442" s="63"/>
      <c r="AF442" s="63"/>
      <c r="AG442" s="63"/>
      <c r="AH442" s="63"/>
      <c r="AI442" s="63"/>
      <c r="AJ442" s="63"/>
      <c r="AK442" s="63"/>
      <c r="AL442" s="63"/>
      <c r="AM442" s="63"/>
      <c r="AN442" s="63"/>
      <c r="AO442" s="63"/>
    </row>
    <row r="443" spans="1:41" ht="15.75" customHeight="1">
      <c r="A443" s="65" t="s">
        <v>144</v>
      </c>
      <c r="B443" s="221">
        <f>('Pivot Table for Data Exchange'!$Q$114)*100</f>
        <v>0</v>
      </c>
      <c r="C443" s="221">
        <f>('Pivot Table for Data Exchange'!$Q$117)*100</f>
        <v>0</v>
      </c>
      <c r="D443" s="227">
        <f t="shared" si="89"/>
        <v>0</v>
      </c>
      <c r="E443" s="221">
        <f>('Pivot Table for Data Exchange'!$Q$120)*100</f>
        <v>0</v>
      </c>
      <c r="F443" s="221">
        <f>('Pivot Table for Data Exchange'!$Q$123)*100</f>
        <v>0</v>
      </c>
      <c r="G443" s="223">
        <f>('Pivot Table for Data Exchange'!$Q$126)*100</f>
        <v>0</v>
      </c>
      <c r="H443" s="221">
        <f>('Pivot Table for Data Exchange'!$Q$129)*100</f>
        <v>0</v>
      </c>
      <c r="I443" s="65"/>
      <c r="J443" s="81"/>
      <c r="K443" s="81"/>
      <c r="L443" s="81"/>
      <c r="M443" s="81"/>
      <c r="N443" s="81"/>
      <c r="O443" s="81"/>
      <c r="P443" s="81"/>
      <c r="Q443" s="97">
        <f t="shared" si="83"/>
        <v>0</v>
      </c>
      <c r="R443" s="97"/>
      <c r="S443" s="63"/>
      <c r="U443" s="63"/>
      <c r="V443" s="63"/>
      <c r="W443" s="63"/>
      <c r="X443" s="63"/>
      <c r="Y443" s="63"/>
      <c r="Z443" s="63"/>
      <c r="AA443" s="63"/>
      <c r="AB443" s="63"/>
      <c r="AC443" s="63"/>
      <c r="AD443" s="63"/>
      <c r="AE443" s="63"/>
      <c r="AF443" s="63"/>
      <c r="AG443" s="63"/>
      <c r="AH443" s="63"/>
      <c r="AI443" s="63"/>
      <c r="AJ443" s="63"/>
      <c r="AK443" s="63"/>
      <c r="AL443" s="63"/>
      <c r="AM443" s="63"/>
      <c r="AN443" s="63"/>
      <c r="AO443" s="63"/>
    </row>
    <row r="444" spans="1:41" ht="15.75" customHeight="1">
      <c r="A444" s="65"/>
      <c r="B444" s="221"/>
      <c r="C444" s="221"/>
      <c r="D444" s="227"/>
      <c r="E444" s="221"/>
      <c r="F444" s="221"/>
      <c r="G444" s="223"/>
      <c r="H444" s="221"/>
      <c r="I444" s="65"/>
      <c r="J444" s="81"/>
      <c r="K444" s="81"/>
      <c r="L444" s="81"/>
      <c r="M444" s="81"/>
      <c r="N444" s="81"/>
      <c r="O444" s="81"/>
      <c r="P444" s="81"/>
      <c r="Q444" s="97">
        <f t="shared" si="83"/>
        <v>0</v>
      </c>
      <c r="R444" s="97"/>
      <c r="S444" s="63"/>
      <c r="U444" s="63"/>
      <c r="V444" s="63"/>
      <c r="W444" s="63"/>
      <c r="X444" s="63"/>
      <c r="Y444" s="63"/>
      <c r="Z444" s="63"/>
      <c r="AA444" s="63"/>
      <c r="AB444" s="63"/>
      <c r="AC444" s="63"/>
      <c r="AD444" s="63"/>
      <c r="AE444" s="63"/>
      <c r="AF444" s="63"/>
      <c r="AG444" s="63"/>
      <c r="AH444" s="63"/>
      <c r="AI444" s="63"/>
      <c r="AJ444" s="63"/>
      <c r="AK444" s="63"/>
      <c r="AL444" s="63"/>
      <c r="AM444" s="63"/>
      <c r="AN444" s="63"/>
      <c r="AO444" s="63"/>
    </row>
    <row r="445" spans="1:41" ht="15.75" customHeight="1">
      <c r="A445" s="65" t="s">
        <v>145</v>
      </c>
      <c r="B445" s="221">
        <f>('Pivot Table for Data Exchange'!$Q$150)*100</f>
        <v>0</v>
      </c>
      <c r="C445" s="221">
        <f>('Pivot Table for Data Exchange'!$Q$153)*100</f>
        <v>0</v>
      </c>
      <c r="D445" s="227">
        <f t="shared" ref="D445:D448" si="90">SUM(E445:G445)</f>
        <v>0</v>
      </c>
      <c r="E445" s="221">
        <f>('Pivot Table for Data Exchange'!$Q$156)*100</f>
        <v>0</v>
      </c>
      <c r="F445" s="221">
        <f>('Pivot Table for Data Exchange'!$Q$159)*100</f>
        <v>0</v>
      </c>
      <c r="G445" s="223">
        <f>('Pivot Table for Data Exchange'!$Q$162)*100</f>
        <v>0</v>
      </c>
      <c r="H445" s="221">
        <f>('Pivot Table for Data Exchange'!$Q$165)*100</f>
        <v>0</v>
      </c>
      <c r="I445" s="65"/>
      <c r="J445" s="81"/>
      <c r="K445" s="81"/>
      <c r="L445" s="81"/>
      <c r="M445" s="81"/>
      <c r="N445" s="81"/>
      <c r="O445" s="81"/>
      <c r="P445" s="81"/>
      <c r="Q445" s="97">
        <f t="shared" si="83"/>
        <v>0</v>
      </c>
      <c r="R445" s="97"/>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row>
    <row r="446" spans="1:41" ht="15.75" customHeight="1">
      <c r="A446" s="65" t="s">
        <v>146</v>
      </c>
      <c r="B446" s="221">
        <f>('Pivot Table for Data Exchange'!$Q$186)*100</f>
        <v>0</v>
      </c>
      <c r="C446" s="221">
        <f>('Pivot Table for Data Exchange'!$Q$189)*100</f>
        <v>0</v>
      </c>
      <c r="D446" s="227">
        <f t="shared" si="90"/>
        <v>0</v>
      </c>
      <c r="E446" s="221">
        <f>('Pivot Table for Data Exchange'!$Q$192)*100</f>
        <v>0</v>
      </c>
      <c r="F446" s="221">
        <f>('Pivot Table for Data Exchange'!$Q$195)*100</f>
        <v>0</v>
      </c>
      <c r="G446" s="223">
        <f>('Pivot Table for Data Exchange'!$Q$198)*100</f>
        <v>0</v>
      </c>
      <c r="H446" s="221">
        <f>('Pivot Table for Data Exchange'!$Q$201)*100</f>
        <v>0</v>
      </c>
      <c r="I446" s="65"/>
      <c r="J446" s="81"/>
      <c r="K446" s="81"/>
      <c r="L446" s="81"/>
      <c r="M446" s="81"/>
      <c r="N446" s="81"/>
      <c r="O446" s="81"/>
      <c r="P446" s="81"/>
      <c r="Q446" s="97">
        <f t="shared" si="83"/>
        <v>0</v>
      </c>
      <c r="R446" s="97"/>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row>
    <row r="447" spans="1:41" ht="15.75" customHeight="1">
      <c r="A447" s="65" t="s">
        <v>147</v>
      </c>
      <c r="B447" s="221">
        <f>('Pivot Table for Data Exchange'!$Q$222)*100</f>
        <v>0</v>
      </c>
      <c r="C447" s="221">
        <f>('Pivot Table for Data Exchange'!$Q$225)*100</f>
        <v>0</v>
      </c>
      <c r="D447" s="227">
        <f t="shared" si="90"/>
        <v>0</v>
      </c>
      <c r="E447" s="221">
        <f>('Pivot Table for Data Exchange'!$Q$228)*100</f>
        <v>0</v>
      </c>
      <c r="F447" s="221">
        <f>('Pivot Table for Data Exchange'!$Q$231)*100</f>
        <v>0</v>
      </c>
      <c r="G447" s="223">
        <f>('Pivot Table for Data Exchange'!$Q$234)*100</f>
        <v>0</v>
      </c>
      <c r="H447" s="221">
        <f>('Pivot Table for Data Exchange'!$Q$237)*100</f>
        <v>0</v>
      </c>
      <c r="I447" s="86"/>
      <c r="J447" s="81"/>
      <c r="K447" s="81"/>
      <c r="L447" s="81"/>
      <c r="M447" s="81"/>
      <c r="N447" s="81"/>
      <c r="O447" s="81"/>
      <c r="P447" s="81"/>
      <c r="Q447" s="97">
        <f>SUM(I447,C447,D447,H447)</f>
        <v>0</v>
      </c>
      <c r="R447" s="97"/>
      <c r="S447" s="63"/>
      <c r="T447" s="74"/>
      <c r="U447" s="63"/>
      <c r="V447" s="63"/>
      <c r="W447" s="63"/>
      <c r="X447" s="63"/>
      <c r="Y447" s="63"/>
      <c r="Z447" s="63"/>
      <c r="AA447" s="63"/>
      <c r="AB447" s="63"/>
      <c r="AC447" s="63"/>
      <c r="AD447" s="63"/>
      <c r="AE447" s="63"/>
      <c r="AF447" s="63"/>
      <c r="AG447" s="63"/>
      <c r="AH447" s="63"/>
      <c r="AI447" s="63"/>
      <c r="AJ447" s="63"/>
      <c r="AK447" s="63"/>
      <c r="AL447" s="63"/>
      <c r="AM447" s="63"/>
      <c r="AN447" s="63"/>
      <c r="AO447" s="63"/>
    </row>
    <row r="448" spans="1:41" ht="15.75" customHeight="1">
      <c r="A448" s="65" t="s">
        <v>177</v>
      </c>
      <c r="B448" s="221">
        <f>('Pivot Table for Data Exchange'!$Q$258)*100</f>
        <v>0</v>
      </c>
      <c r="C448" s="221">
        <f>('Pivot Table for Data Exchange'!$Q$261)*100</f>
        <v>0</v>
      </c>
      <c r="D448" s="227">
        <f t="shared" si="90"/>
        <v>0</v>
      </c>
      <c r="E448" s="221">
        <f>('Pivot Table for Data Exchange'!$Q$264)*100</f>
        <v>0</v>
      </c>
      <c r="F448" s="221">
        <f>('Pivot Table for Data Exchange'!$Q$267)*100</f>
        <v>0</v>
      </c>
      <c r="G448" s="223">
        <f>('Pivot Table for Data Exchange'!$Q$270)*100</f>
        <v>0</v>
      </c>
      <c r="H448" s="221">
        <f>('Pivot Table for Data Exchange'!$Q$273)*100</f>
        <v>0</v>
      </c>
      <c r="I448" s="65"/>
      <c r="J448" s="81"/>
      <c r="K448" s="81"/>
      <c r="L448" s="81"/>
      <c r="M448" s="81"/>
      <c r="N448" s="81"/>
      <c r="O448" s="81"/>
      <c r="P448" s="81"/>
      <c r="Q448" s="97">
        <f t="shared" si="83"/>
        <v>0</v>
      </c>
      <c r="R448" s="97"/>
      <c r="S448" s="63"/>
      <c r="U448" s="63"/>
      <c r="V448" s="63"/>
      <c r="W448" s="63"/>
      <c r="X448" s="63"/>
      <c r="Y448" s="63"/>
      <c r="Z448" s="63"/>
      <c r="AA448" s="63"/>
      <c r="AB448" s="63"/>
      <c r="AC448" s="63"/>
      <c r="AD448" s="63"/>
      <c r="AE448" s="63"/>
      <c r="AF448" s="63"/>
      <c r="AG448" s="63"/>
      <c r="AH448" s="63"/>
      <c r="AI448" s="63"/>
      <c r="AJ448" s="63"/>
      <c r="AK448" s="63"/>
      <c r="AL448" s="63"/>
      <c r="AM448" s="63"/>
      <c r="AN448" s="63"/>
      <c r="AO448" s="63"/>
    </row>
    <row r="449" spans="1:41" ht="15.75" customHeight="1">
      <c r="A449" s="65"/>
      <c r="B449" s="221"/>
      <c r="C449" s="221"/>
      <c r="D449" s="227"/>
      <c r="E449" s="221"/>
      <c r="F449" s="221"/>
      <c r="G449" s="223"/>
      <c r="H449" s="221"/>
      <c r="I449" s="65"/>
      <c r="J449" s="81"/>
      <c r="K449" s="81"/>
      <c r="L449" s="81"/>
      <c r="M449" s="81"/>
      <c r="N449" s="81"/>
      <c r="O449" s="81"/>
      <c r="P449" s="81"/>
      <c r="Q449" s="97">
        <f t="shared" si="83"/>
        <v>0</v>
      </c>
      <c r="R449" s="97"/>
      <c r="S449" s="63"/>
      <c r="U449" s="63"/>
      <c r="V449" s="63"/>
      <c r="W449" s="63"/>
      <c r="X449" s="63"/>
      <c r="Y449" s="63"/>
      <c r="Z449" s="63"/>
      <c r="AA449" s="63"/>
      <c r="AB449" s="63"/>
      <c r="AC449" s="63"/>
      <c r="AD449" s="63"/>
      <c r="AE449" s="63"/>
      <c r="AF449" s="63"/>
      <c r="AG449" s="63"/>
      <c r="AH449" s="63"/>
      <c r="AI449" s="63"/>
      <c r="AJ449" s="63"/>
      <c r="AK449" s="63"/>
      <c r="AL449" s="63"/>
      <c r="AM449" s="63"/>
      <c r="AN449" s="63"/>
      <c r="AO449" s="63"/>
    </row>
    <row r="450" spans="1:41" ht="15.75" customHeight="1">
      <c r="A450" s="65" t="s">
        <v>148</v>
      </c>
      <c r="B450" s="221">
        <f>('Pivot Table for Data Exchange'!$Q$294)*100</f>
        <v>0</v>
      </c>
      <c r="C450" s="221">
        <f>('Pivot Table for Data Exchange'!$Q$297)*100</f>
        <v>0</v>
      </c>
      <c r="D450" s="227">
        <f t="shared" ref="D450:D452" si="91">SUM(E450:G450)</f>
        <v>0</v>
      </c>
      <c r="E450" s="221">
        <f>('Pivot Table for Data Exchange'!$Q$300)*100</f>
        <v>0</v>
      </c>
      <c r="F450" s="221">
        <f>('Pivot Table for Data Exchange'!$Q$303)*100</f>
        <v>0</v>
      </c>
      <c r="G450" s="223">
        <f>('Pivot Table for Data Exchange'!$Q$306)*100</f>
        <v>0</v>
      </c>
      <c r="H450" s="221">
        <f>('Pivot Table for Data Exchange'!$Q$309)*100</f>
        <v>0</v>
      </c>
      <c r="I450" s="65"/>
      <c r="J450" s="81"/>
      <c r="K450" s="81"/>
      <c r="L450" s="81"/>
      <c r="M450" s="81"/>
      <c r="N450" s="81"/>
      <c r="O450" s="81"/>
      <c r="P450" s="81"/>
      <c r="Q450" s="97">
        <f t="shared" si="83"/>
        <v>0</v>
      </c>
      <c r="R450" s="97"/>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row>
    <row r="451" spans="1:41" ht="15.75" customHeight="1">
      <c r="A451" s="65" t="s">
        <v>149</v>
      </c>
      <c r="B451" s="221">
        <f>('Pivot Table for Data Exchange'!$Q$330)*100</f>
        <v>0</v>
      </c>
      <c r="C451" s="221">
        <f>('Pivot Table for Data Exchange'!$Q$333)*100</f>
        <v>0</v>
      </c>
      <c r="D451" s="227">
        <f t="shared" si="91"/>
        <v>0</v>
      </c>
      <c r="E451" s="221">
        <f>('Pivot Table for Data Exchange'!$Q$336)*100</f>
        <v>0</v>
      </c>
      <c r="F451" s="221">
        <f>('Pivot Table for Data Exchange'!$Q$339)*100</f>
        <v>0</v>
      </c>
      <c r="G451" s="223">
        <f>('Pivot Table for Data Exchange'!$Q$342)*100</f>
        <v>0</v>
      </c>
      <c r="H451" s="221">
        <f>('Pivot Table for Data Exchange'!$Q$345)*100</f>
        <v>0</v>
      </c>
      <c r="I451" s="65"/>
      <c r="J451" s="81"/>
      <c r="K451" s="81"/>
      <c r="L451" s="81"/>
      <c r="M451" s="81"/>
      <c r="N451" s="81"/>
      <c r="O451" s="81"/>
      <c r="P451" s="81"/>
      <c r="Q451" s="97">
        <f t="shared" si="83"/>
        <v>0</v>
      </c>
      <c r="R451" s="97"/>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row>
    <row r="452" spans="1:41" ht="15.75" customHeight="1">
      <c r="A452" s="65" t="s">
        <v>150</v>
      </c>
      <c r="B452" s="221">
        <f>('Pivot Table for Data Exchange'!$Q$366)*100</f>
        <v>0</v>
      </c>
      <c r="C452" s="221">
        <f>('Pivot Table for Data Exchange'!$Q$369)*100</f>
        <v>0</v>
      </c>
      <c r="D452" s="227">
        <f t="shared" si="91"/>
        <v>0</v>
      </c>
      <c r="E452" s="221">
        <f>('Pivot Table for Data Exchange'!$Q$372)*100</f>
        <v>0</v>
      </c>
      <c r="F452" s="221">
        <f>('Pivot Table for Data Exchange'!$Q$375)*100</f>
        <v>0</v>
      </c>
      <c r="G452" s="223">
        <f>('Pivot Table for Data Exchange'!$Q$378)*100</f>
        <v>0</v>
      </c>
      <c r="H452" s="221">
        <f>('Pivot Table for Data Exchange'!$Q$381)*100</f>
        <v>0</v>
      </c>
      <c r="I452" s="65"/>
      <c r="J452" s="81"/>
      <c r="K452" s="81"/>
      <c r="L452" s="81"/>
      <c r="M452" s="81"/>
      <c r="N452" s="81"/>
      <c r="O452" s="81"/>
      <c r="P452" s="81"/>
      <c r="Q452" s="97">
        <f t="shared" si="83"/>
        <v>0</v>
      </c>
      <c r="R452" s="97"/>
      <c r="S452" s="63"/>
      <c r="T452" s="74"/>
      <c r="U452" s="63"/>
      <c r="V452" s="63"/>
      <c r="W452" s="63"/>
      <c r="X452" s="63"/>
      <c r="Y452" s="63"/>
      <c r="Z452" s="63"/>
      <c r="AA452" s="63"/>
      <c r="AB452" s="63"/>
      <c r="AC452" s="63"/>
      <c r="AD452" s="63"/>
      <c r="AE452" s="63"/>
      <c r="AF452" s="63"/>
      <c r="AG452" s="63"/>
      <c r="AH452" s="63"/>
      <c r="AI452" s="63"/>
      <c r="AJ452" s="63"/>
      <c r="AK452" s="63"/>
      <c r="AL452" s="63"/>
      <c r="AM452" s="63"/>
      <c r="AN452" s="63"/>
      <c r="AO452" s="63"/>
    </row>
    <row r="453" spans="1:41" ht="15.75" customHeight="1">
      <c r="A453" s="65" t="s">
        <v>151</v>
      </c>
      <c r="B453" s="221">
        <f>('Pivot Table for Data Exchange'!$Q$402)*100</f>
        <v>0</v>
      </c>
      <c r="C453" s="221">
        <f>('Pivot Table for Data Exchange'!$Q$405)*100</f>
        <v>0</v>
      </c>
      <c r="D453" s="227">
        <f>SUM(E453:G453)</f>
        <v>0</v>
      </c>
      <c r="E453" s="221">
        <f>('Pivot Table for Data Exchange'!$Q$408)*100</f>
        <v>0</v>
      </c>
      <c r="F453" s="221">
        <f>('Pivot Table for Data Exchange'!$Q$411)*100</f>
        <v>0</v>
      </c>
      <c r="G453" s="223">
        <f>('Pivot Table for Data Exchange'!$Q$414)*100</f>
        <v>0</v>
      </c>
      <c r="H453" s="221">
        <f>('Pivot Table for Data Exchange'!$Q$417)*100</f>
        <v>0</v>
      </c>
      <c r="I453" s="65"/>
      <c r="J453" s="81"/>
      <c r="K453" s="81"/>
      <c r="L453" s="81"/>
      <c r="M453" s="81"/>
      <c r="N453" s="81"/>
      <c r="O453" s="81"/>
      <c r="P453" s="81"/>
      <c r="Q453" s="97">
        <f t="shared" si="83"/>
        <v>0</v>
      </c>
      <c r="R453" s="97"/>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row>
    <row r="454" spans="1:41" ht="15.75" customHeight="1">
      <c r="A454" s="65"/>
      <c r="B454" s="221"/>
      <c r="C454" s="221"/>
      <c r="D454" s="227"/>
      <c r="E454" s="221"/>
      <c r="F454" s="221"/>
      <c r="G454" s="223"/>
      <c r="H454" s="221"/>
      <c r="I454" s="65"/>
      <c r="J454" s="81"/>
      <c r="K454" s="81"/>
      <c r="L454" s="81"/>
      <c r="M454" s="81"/>
      <c r="N454" s="81"/>
      <c r="O454" s="81"/>
      <c r="P454" s="81"/>
      <c r="Q454" s="97">
        <f t="shared" si="83"/>
        <v>0</v>
      </c>
      <c r="R454" s="97"/>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row>
    <row r="455" spans="1:41" ht="15.75" customHeight="1">
      <c r="A455" s="65" t="s">
        <v>152</v>
      </c>
      <c r="B455" s="221">
        <f>('Pivot Table for Data Exchange'!$Q$438)*100</f>
        <v>0</v>
      </c>
      <c r="C455" s="221">
        <f>('Pivot Table for Data Exchange'!$Q$441)*100</f>
        <v>0</v>
      </c>
      <c r="D455" s="227">
        <f>SUM(E455:G455)</f>
        <v>0</v>
      </c>
      <c r="E455" s="221">
        <f>('Pivot Table for Data Exchange'!$Q$444)*100</f>
        <v>0</v>
      </c>
      <c r="F455" s="221">
        <f>('Pivot Table for Data Exchange'!$Q$447)*100</f>
        <v>0</v>
      </c>
      <c r="G455" s="223">
        <f>('Pivot Table for Data Exchange'!$Q$450)*100</f>
        <v>0</v>
      </c>
      <c r="H455" s="221">
        <f>('Pivot Table for Data Exchange'!$Q$453)*100</f>
        <v>0</v>
      </c>
      <c r="I455" s="65"/>
      <c r="J455" s="81"/>
      <c r="K455" s="81"/>
      <c r="L455" s="81"/>
      <c r="M455" s="81"/>
      <c r="N455" s="81"/>
      <c r="O455" s="81"/>
      <c r="P455" s="81"/>
      <c r="Q455" s="97">
        <f t="shared" si="83"/>
        <v>0</v>
      </c>
      <c r="R455" s="97"/>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row>
    <row r="456" spans="1:41" ht="15.75" customHeight="1">
      <c r="A456" s="65" t="s">
        <v>153</v>
      </c>
      <c r="B456" s="221">
        <f>('Pivot Table for Data Exchange'!$Q$474)*100</f>
        <v>0</v>
      </c>
      <c r="C456" s="221">
        <f>('Pivot Table for Data Exchange'!$Q$477)*100</f>
        <v>0</v>
      </c>
      <c r="D456" s="227">
        <f>SUM(E456:G456)</f>
        <v>0</v>
      </c>
      <c r="E456" s="221">
        <f>('Pivot Table for Data Exchange'!$Q$480)*100</f>
        <v>0</v>
      </c>
      <c r="F456" s="221">
        <f>('Pivot Table for Data Exchange'!$Q$483)*100</f>
        <v>0</v>
      </c>
      <c r="G456" s="223">
        <f>('Pivot Table for Data Exchange'!$Q$486)*100</f>
        <v>0</v>
      </c>
      <c r="H456" s="221">
        <f>('Pivot Table for Data Exchange'!$Q$489)*100</f>
        <v>0</v>
      </c>
      <c r="I456" s="65"/>
      <c r="J456" s="81"/>
      <c r="K456" s="81"/>
      <c r="L456" s="81"/>
      <c r="M456" s="81"/>
      <c r="N456" s="81"/>
      <c r="O456" s="81"/>
      <c r="P456" s="81"/>
      <c r="Q456" s="97">
        <f t="shared" si="83"/>
        <v>0</v>
      </c>
      <c r="R456" s="97"/>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row>
    <row r="457" spans="1:41" ht="15.75" customHeight="1">
      <c r="A457" s="65" t="s">
        <v>154</v>
      </c>
      <c r="B457" s="221">
        <f>('Pivot Table for Data Exchange'!$Q$510)*100</f>
        <v>0</v>
      </c>
      <c r="C457" s="221">
        <f>('Pivot Table for Data Exchange'!$Q$513)*100</f>
        <v>0</v>
      </c>
      <c r="D457" s="227">
        <f t="shared" ref="D457" si="92">SUM(E457:G457)</f>
        <v>0</v>
      </c>
      <c r="E457" s="221">
        <f>('Pivot Table for Data Exchange'!$Q$516)*100</f>
        <v>0</v>
      </c>
      <c r="F457" s="221">
        <f>('Pivot Table for Data Exchange'!$Q$519)*100</f>
        <v>0</v>
      </c>
      <c r="G457" s="223">
        <f>('Pivot Table for Data Exchange'!$Q$522)*100</f>
        <v>0</v>
      </c>
      <c r="H457" s="221">
        <f>('Pivot Table for Data Exchange'!$Q$525)*100</f>
        <v>0</v>
      </c>
      <c r="I457" s="65"/>
      <c r="J457" s="81"/>
      <c r="K457" s="81"/>
      <c r="L457" s="81"/>
      <c r="M457" s="81"/>
      <c r="N457" s="81"/>
      <c r="O457" s="81"/>
      <c r="P457" s="81"/>
      <c r="Q457" s="97">
        <f t="shared" si="83"/>
        <v>0</v>
      </c>
      <c r="R457" s="97"/>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row>
    <row r="458" spans="1:41" ht="15.75" customHeight="1">
      <c r="A458" s="39" t="s">
        <v>155</v>
      </c>
      <c r="B458" s="224">
        <f>('Pivot Table for Data Exchange'!$Q$546)*100</f>
        <v>0</v>
      </c>
      <c r="C458" s="224">
        <f>('Pivot Table for Data Exchange'!$Q$549)*100</f>
        <v>0</v>
      </c>
      <c r="D458" s="228">
        <f>SUM(E458:G458)</f>
        <v>0</v>
      </c>
      <c r="E458" s="224">
        <f>('Pivot Table for Data Exchange'!$Q$552)*100</f>
        <v>0</v>
      </c>
      <c r="F458" s="224">
        <f>('Pivot Table for Data Exchange'!$Q$555)*100</f>
        <v>0</v>
      </c>
      <c r="G458" s="225">
        <f>('Pivot Table for Data Exchange'!$Q$558)*100</f>
        <v>0</v>
      </c>
      <c r="H458" s="224">
        <f>('Pivot Table for Data Exchange'!$Q$561)*100</f>
        <v>0</v>
      </c>
      <c r="I458" s="65"/>
      <c r="J458" s="81"/>
      <c r="K458" s="81"/>
      <c r="L458" s="81"/>
      <c r="M458" s="81"/>
      <c r="N458" s="81"/>
      <c r="O458" s="81"/>
      <c r="P458" s="81"/>
      <c r="Q458" s="97">
        <f>SUM(B458,C458,D458,H458)</f>
        <v>0</v>
      </c>
      <c r="R458" s="97"/>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row>
    <row r="459" spans="1:41" s="25" customFormat="1" ht="12.75" customHeight="1">
      <c r="A459" s="691" t="s">
        <v>175</v>
      </c>
      <c r="B459" s="69"/>
      <c r="C459" s="69"/>
      <c r="D459" s="70"/>
      <c r="E459" s="69"/>
      <c r="F459" s="70"/>
      <c r="G459" s="70"/>
      <c r="H459" s="69"/>
      <c r="I459" s="24"/>
      <c r="J459" s="69"/>
      <c r="K459" s="69"/>
      <c r="L459" s="70"/>
      <c r="M459" s="69"/>
      <c r="N459" s="70"/>
      <c r="O459" s="70"/>
      <c r="P459" s="69"/>
      <c r="Q459" s="101"/>
      <c r="R459" s="101"/>
      <c r="S459" s="71"/>
      <c r="T459" s="71"/>
      <c r="U459" s="71"/>
      <c r="V459" s="71"/>
      <c r="W459" s="71"/>
      <c r="X459" s="71"/>
      <c r="Y459" s="71"/>
      <c r="Z459" s="71"/>
      <c r="AA459" s="71"/>
      <c r="AB459" s="71"/>
      <c r="AC459" s="71"/>
      <c r="AD459" s="71"/>
      <c r="AE459" s="71"/>
      <c r="AF459" s="71"/>
      <c r="AG459" s="71"/>
      <c r="AH459" s="71"/>
      <c r="AI459" s="71"/>
      <c r="AJ459" s="71"/>
      <c r="AK459" s="71"/>
      <c r="AL459" s="71"/>
      <c r="AM459" s="71"/>
      <c r="AN459" s="71"/>
      <c r="AO459" s="71"/>
    </row>
    <row r="460" spans="1:41" s="25" customFormat="1" ht="13.5" customHeight="1">
      <c r="A460" s="24"/>
      <c r="B460" s="69"/>
      <c r="C460" s="69"/>
      <c r="D460" s="70"/>
      <c r="E460" s="69"/>
      <c r="F460" s="70"/>
      <c r="G460" s="70"/>
      <c r="H460" s="69"/>
      <c r="I460" s="24"/>
      <c r="J460" s="69"/>
      <c r="K460" s="69"/>
      <c r="L460" s="70"/>
      <c r="M460" s="69"/>
      <c r="N460" s="70"/>
      <c r="O460" s="70"/>
      <c r="P460" s="69"/>
      <c r="Q460" s="101"/>
      <c r="R460" s="101"/>
      <c r="S460" s="71"/>
      <c r="T460" s="71"/>
      <c r="U460" s="71"/>
      <c r="V460" s="71"/>
      <c r="W460" s="71"/>
      <c r="X460" s="71"/>
      <c r="Y460" s="71"/>
      <c r="Z460" s="71"/>
      <c r="AA460" s="71"/>
      <c r="AB460" s="71"/>
      <c r="AC460" s="71"/>
      <c r="AD460" s="71"/>
      <c r="AE460" s="71"/>
      <c r="AF460" s="71"/>
      <c r="AG460" s="71"/>
      <c r="AH460" s="71"/>
      <c r="AI460" s="71"/>
      <c r="AJ460" s="71"/>
      <c r="AK460" s="71"/>
      <c r="AL460" s="71"/>
      <c r="AM460" s="71"/>
      <c r="AN460" s="71"/>
      <c r="AO460" s="71"/>
    </row>
    <row r="461" spans="1:41" s="25" customFormat="1" ht="13.5" customHeight="1">
      <c r="A461" s="24"/>
      <c r="B461" s="76"/>
      <c r="H461" s="27" t="s">
        <v>899</v>
      </c>
      <c r="I461" s="24"/>
      <c r="P461" s="77"/>
      <c r="Q461" s="108"/>
      <c r="R461" s="106"/>
    </row>
    <row r="462" spans="1:41" s="25" customFormat="1" ht="13.5" customHeight="1">
      <c r="A462" s="75"/>
      <c r="H462" s="26"/>
      <c r="I462" s="75"/>
      <c r="Q462" s="108"/>
      <c r="R462" s="106"/>
    </row>
    <row r="463" spans="1:41" s="25" customFormat="1" ht="13.5" customHeight="1">
      <c r="A463" s="75"/>
      <c r="H463" s="26"/>
      <c r="I463" s="75"/>
      <c r="Q463" s="108"/>
      <c r="R463" s="106"/>
    </row>
    <row r="464" spans="1:41">
      <c r="I464" s="80"/>
      <c r="J464" s="65"/>
      <c r="K464" s="65"/>
      <c r="L464" s="65"/>
      <c r="M464" s="65"/>
      <c r="N464" s="65"/>
      <c r="O464" s="65"/>
      <c r="P464" s="65"/>
    </row>
    <row r="465" spans="8:18" s="38" customFormat="1">
      <c r="H465" s="65"/>
      <c r="I465" s="80"/>
      <c r="J465" s="65"/>
      <c r="K465" s="65"/>
      <c r="L465" s="65"/>
      <c r="M465" s="65"/>
      <c r="N465" s="65"/>
      <c r="O465" s="65"/>
      <c r="P465" s="65"/>
      <c r="Q465" s="92"/>
      <c r="R465" s="94"/>
    </row>
    <row r="466" spans="8:18" s="38" customFormat="1">
      <c r="H466" s="65"/>
      <c r="I466" s="80"/>
      <c r="J466" s="65"/>
      <c r="K466" s="65"/>
      <c r="L466" s="65"/>
      <c r="M466" s="65"/>
      <c r="N466" s="65"/>
      <c r="O466" s="65"/>
      <c r="P466" s="65"/>
      <c r="Q466" s="92"/>
      <c r="R466" s="94"/>
    </row>
    <row r="467" spans="8:18" s="38" customFormat="1">
      <c r="H467" s="65"/>
      <c r="I467" s="80"/>
      <c r="J467" s="65"/>
      <c r="K467" s="65"/>
      <c r="L467" s="65"/>
      <c r="M467" s="65"/>
      <c r="N467" s="65"/>
      <c r="O467" s="65"/>
      <c r="P467" s="65"/>
      <c r="Q467" s="92"/>
      <c r="R467" s="94"/>
    </row>
    <row r="468" spans="8:18" s="38" customFormat="1">
      <c r="H468" s="65"/>
      <c r="I468" s="80"/>
      <c r="J468" s="65"/>
      <c r="K468" s="65"/>
      <c r="L468" s="65"/>
      <c r="M468" s="65"/>
      <c r="N468" s="65"/>
      <c r="O468" s="65"/>
      <c r="P468" s="65"/>
      <c r="Q468" s="92"/>
      <c r="R468" s="94"/>
    </row>
    <row r="469" spans="8:18" s="38" customFormat="1">
      <c r="H469" s="65"/>
      <c r="I469" s="80"/>
      <c r="J469" s="65"/>
      <c r="K469" s="65"/>
      <c r="L469" s="65"/>
      <c r="M469" s="65"/>
      <c r="N469" s="65"/>
      <c r="O469" s="65"/>
      <c r="P469" s="65"/>
      <c r="Q469" s="92"/>
      <c r="R469" s="94"/>
    </row>
    <row r="470" spans="8:18" s="38" customFormat="1">
      <c r="H470" s="65"/>
      <c r="I470" s="80"/>
      <c r="J470" s="65"/>
      <c r="K470" s="65"/>
      <c r="L470" s="65"/>
      <c r="M470" s="65"/>
      <c r="N470" s="65"/>
      <c r="O470" s="65"/>
      <c r="P470" s="65"/>
      <c r="Q470" s="92"/>
      <c r="R470" s="94"/>
    </row>
    <row r="471" spans="8:18" s="38" customFormat="1">
      <c r="H471" s="65"/>
      <c r="I471" s="80"/>
      <c r="J471" s="65"/>
      <c r="K471" s="65"/>
      <c r="L471" s="65"/>
      <c r="M471" s="65"/>
      <c r="N471" s="65"/>
      <c r="O471" s="65"/>
      <c r="P471" s="65"/>
      <c r="Q471" s="92"/>
      <c r="R471" s="94"/>
    </row>
    <row r="472" spans="8:18" s="38" customFormat="1">
      <c r="H472" s="65"/>
      <c r="I472" s="80"/>
      <c r="J472" s="65"/>
      <c r="K472" s="65"/>
      <c r="L472" s="65"/>
      <c r="M472" s="65"/>
      <c r="N472" s="65"/>
      <c r="O472" s="65"/>
      <c r="P472" s="65"/>
      <c r="Q472" s="92"/>
      <c r="R472" s="94"/>
    </row>
    <row r="473" spans="8:18" s="38" customFormat="1">
      <c r="H473" s="65"/>
      <c r="I473" s="80"/>
      <c r="J473" s="65"/>
      <c r="K473" s="65"/>
      <c r="L473" s="65"/>
      <c r="M473" s="65"/>
      <c r="N473" s="65"/>
      <c r="O473" s="65"/>
      <c r="P473" s="65"/>
      <c r="Q473" s="92"/>
      <c r="R473" s="94"/>
    </row>
    <row r="474" spans="8:18" s="38" customFormat="1">
      <c r="H474" s="65"/>
      <c r="I474" s="80"/>
      <c r="J474" s="65"/>
      <c r="K474" s="65"/>
      <c r="L474" s="65"/>
      <c r="M474" s="65"/>
      <c r="N474" s="65"/>
      <c r="O474" s="65"/>
      <c r="P474" s="65"/>
      <c r="Q474" s="92"/>
      <c r="R474" s="94"/>
    </row>
    <row r="475" spans="8:18" s="38" customFormat="1">
      <c r="H475" s="65"/>
      <c r="I475" s="80"/>
      <c r="J475" s="65"/>
      <c r="K475" s="65"/>
      <c r="L475" s="65"/>
      <c r="M475" s="65"/>
      <c r="N475" s="65"/>
      <c r="O475" s="65"/>
      <c r="P475" s="65"/>
      <c r="Q475" s="92"/>
      <c r="R475" s="94"/>
    </row>
    <row r="476" spans="8:18" s="38" customFormat="1">
      <c r="H476" s="65"/>
      <c r="I476" s="80"/>
      <c r="J476" s="65"/>
      <c r="K476" s="65"/>
      <c r="L476" s="65"/>
      <c r="M476" s="65"/>
      <c r="N476" s="65"/>
      <c r="O476" s="65"/>
      <c r="P476" s="65"/>
      <c r="Q476" s="92"/>
      <c r="R476" s="94"/>
    </row>
    <row r="477" spans="8:18" s="38" customFormat="1">
      <c r="H477" s="65"/>
      <c r="I477" s="80"/>
      <c r="J477" s="65"/>
      <c r="K477" s="65"/>
      <c r="L477" s="65"/>
      <c r="M477" s="65"/>
      <c r="N477" s="65"/>
      <c r="O477" s="65"/>
      <c r="P477" s="65"/>
      <c r="Q477" s="92"/>
      <c r="R477" s="94"/>
    </row>
    <row r="478" spans="8:18" s="38" customFormat="1">
      <c r="H478" s="65"/>
      <c r="I478" s="80"/>
      <c r="J478" s="65"/>
      <c r="K478" s="65"/>
      <c r="L478" s="65"/>
      <c r="M478" s="65"/>
      <c r="N478" s="65"/>
      <c r="O478" s="65"/>
      <c r="P478" s="65"/>
      <c r="Q478" s="92"/>
      <c r="R478" s="94"/>
    </row>
    <row r="479" spans="8:18" s="38" customFormat="1">
      <c r="H479" s="65"/>
      <c r="I479" s="80"/>
      <c r="J479" s="65"/>
      <c r="K479" s="65"/>
      <c r="L479" s="65"/>
      <c r="M479" s="65"/>
      <c r="N479" s="65"/>
      <c r="O479" s="65"/>
      <c r="P479" s="65"/>
      <c r="Q479" s="92"/>
      <c r="R479" s="94"/>
    </row>
    <row r="480" spans="8:18" s="38" customFormat="1">
      <c r="H480" s="65"/>
      <c r="I480" s="80"/>
      <c r="J480" s="65"/>
      <c r="K480" s="65"/>
      <c r="L480" s="65"/>
      <c r="M480" s="65"/>
      <c r="N480" s="65"/>
      <c r="O480" s="65"/>
      <c r="P480" s="65"/>
      <c r="Q480" s="92"/>
      <c r="R480" s="94"/>
    </row>
    <row r="481" spans="8:18" s="38" customFormat="1">
      <c r="H481" s="65"/>
      <c r="I481" s="80"/>
      <c r="J481" s="65"/>
      <c r="K481" s="65"/>
      <c r="L481" s="65"/>
      <c r="M481" s="65"/>
      <c r="N481" s="65"/>
      <c r="O481" s="65"/>
      <c r="P481" s="65"/>
      <c r="Q481" s="92"/>
      <c r="R481" s="94"/>
    </row>
    <row r="482" spans="8:18" s="38" customFormat="1">
      <c r="H482" s="65"/>
      <c r="I482" s="80"/>
      <c r="J482" s="65"/>
      <c r="K482" s="65"/>
      <c r="L482" s="65"/>
      <c r="M482" s="65"/>
      <c r="N482" s="65"/>
      <c r="O482" s="65"/>
      <c r="P482" s="65"/>
      <c r="Q482" s="92"/>
      <c r="R482" s="94"/>
    </row>
    <row r="483" spans="8:18" s="38" customFormat="1">
      <c r="H483" s="65"/>
      <c r="I483" s="80"/>
      <c r="J483" s="65"/>
      <c r="K483" s="65"/>
      <c r="L483" s="65"/>
      <c r="M483" s="65"/>
      <c r="N483" s="65"/>
      <c r="O483" s="65"/>
      <c r="P483" s="65"/>
      <c r="Q483" s="92"/>
      <c r="R483" s="94"/>
    </row>
    <row r="484" spans="8:18" s="38" customFormat="1">
      <c r="H484" s="65"/>
      <c r="I484" s="80"/>
      <c r="J484" s="65"/>
      <c r="K484" s="65"/>
      <c r="L484" s="65"/>
      <c r="M484" s="65"/>
      <c r="N484" s="65"/>
      <c r="O484" s="65"/>
      <c r="P484" s="65"/>
      <c r="Q484" s="92"/>
      <c r="R484" s="94"/>
    </row>
    <row r="485" spans="8:18" s="38" customFormat="1">
      <c r="H485" s="65"/>
      <c r="I485" s="80"/>
      <c r="J485" s="65"/>
      <c r="K485" s="65"/>
      <c r="L485" s="65"/>
      <c r="M485" s="65"/>
      <c r="N485" s="65"/>
      <c r="O485" s="65"/>
      <c r="P485" s="65"/>
      <c r="Q485" s="92"/>
      <c r="R485" s="94"/>
    </row>
    <row r="486" spans="8:18" s="38" customFormat="1">
      <c r="H486" s="65"/>
      <c r="I486" s="80"/>
      <c r="J486" s="65"/>
      <c r="K486" s="65"/>
      <c r="L486" s="65"/>
      <c r="M486" s="65"/>
      <c r="N486" s="65"/>
      <c r="O486" s="65"/>
      <c r="P486" s="65"/>
      <c r="Q486" s="92"/>
      <c r="R486" s="94"/>
    </row>
    <row r="487" spans="8:18" s="38" customFormat="1">
      <c r="H487" s="65"/>
      <c r="I487" s="80"/>
      <c r="J487" s="65"/>
      <c r="K487" s="65"/>
      <c r="L487" s="65"/>
      <c r="M487" s="65"/>
      <c r="N487" s="65"/>
      <c r="O487" s="65"/>
      <c r="P487" s="65"/>
      <c r="Q487" s="92"/>
      <c r="R487" s="94"/>
    </row>
    <row r="488" spans="8:18" s="38" customFormat="1">
      <c r="H488" s="65"/>
      <c r="I488" s="80"/>
      <c r="J488" s="65"/>
      <c r="K488" s="65"/>
      <c r="L488" s="65"/>
      <c r="M488" s="65"/>
      <c r="N488" s="65"/>
      <c r="O488" s="65"/>
      <c r="P488" s="65"/>
      <c r="Q488" s="92"/>
      <c r="R488" s="94"/>
    </row>
    <row r="489" spans="8:18" s="38" customFormat="1">
      <c r="H489" s="65"/>
      <c r="I489" s="80"/>
      <c r="J489" s="65"/>
      <c r="K489" s="65"/>
      <c r="L489" s="65"/>
      <c r="M489" s="65"/>
      <c r="N489" s="65"/>
      <c r="O489" s="65"/>
      <c r="P489" s="65"/>
      <c r="Q489" s="92"/>
      <c r="R489" s="94"/>
    </row>
    <row r="490" spans="8:18" s="38" customFormat="1">
      <c r="H490" s="65"/>
      <c r="I490" s="80"/>
      <c r="J490" s="65"/>
      <c r="K490" s="65"/>
      <c r="L490" s="65"/>
      <c r="M490" s="65"/>
      <c r="N490" s="65"/>
      <c r="O490" s="65"/>
      <c r="P490" s="65"/>
      <c r="Q490" s="92"/>
      <c r="R490" s="94"/>
    </row>
    <row r="491" spans="8:18" s="38" customFormat="1">
      <c r="H491" s="65"/>
      <c r="I491" s="80"/>
      <c r="J491" s="65"/>
      <c r="K491" s="65"/>
      <c r="L491" s="65"/>
      <c r="M491" s="65"/>
      <c r="N491" s="65"/>
      <c r="O491" s="65"/>
      <c r="P491" s="65"/>
      <c r="Q491" s="92"/>
      <c r="R491" s="94"/>
    </row>
    <row r="492" spans="8:18" s="38" customFormat="1">
      <c r="H492" s="65"/>
      <c r="I492" s="80"/>
      <c r="J492" s="65"/>
      <c r="K492" s="65"/>
      <c r="L492" s="65"/>
      <c r="M492" s="65"/>
      <c r="N492" s="65"/>
      <c r="O492" s="65"/>
      <c r="P492" s="65"/>
      <c r="Q492" s="92"/>
      <c r="R492" s="94"/>
    </row>
    <row r="493" spans="8:18" s="38" customFormat="1">
      <c r="H493" s="65"/>
      <c r="I493" s="80"/>
      <c r="J493" s="65"/>
      <c r="K493" s="65"/>
      <c r="L493" s="65"/>
      <c r="M493" s="65"/>
      <c r="N493" s="65"/>
      <c r="O493" s="65"/>
      <c r="P493" s="65"/>
      <c r="Q493" s="92"/>
      <c r="R493" s="94"/>
    </row>
    <row r="494" spans="8:18" s="38" customFormat="1">
      <c r="H494" s="65"/>
      <c r="I494" s="80"/>
      <c r="J494" s="65"/>
      <c r="K494" s="65"/>
      <c r="L494" s="65"/>
      <c r="M494" s="65"/>
      <c r="N494" s="65"/>
      <c r="O494" s="65"/>
      <c r="P494" s="65"/>
      <c r="Q494" s="92"/>
      <c r="R494" s="94"/>
    </row>
    <row r="495" spans="8:18" s="38" customFormat="1">
      <c r="H495" s="65"/>
      <c r="I495" s="80"/>
      <c r="J495" s="65"/>
      <c r="K495" s="65"/>
      <c r="L495" s="65"/>
      <c r="M495" s="65"/>
      <c r="N495" s="65"/>
      <c r="O495" s="65"/>
      <c r="P495" s="65"/>
      <c r="Q495" s="92"/>
      <c r="R495" s="94"/>
    </row>
    <row r="496" spans="8:18" s="38" customFormat="1">
      <c r="H496" s="65"/>
      <c r="I496" s="80"/>
      <c r="J496" s="65"/>
      <c r="K496" s="65"/>
      <c r="L496" s="65"/>
      <c r="M496" s="65"/>
      <c r="N496" s="65"/>
      <c r="O496" s="65"/>
      <c r="P496" s="65"/>
      <c r="Q496" s="92"/>
      <c r="R496" s="94"/>
    </row>
    <row r="497" spans="8:18" s="38" customFormat="1">
      <c r="H497" s="65"/>
      <c r="I497" s="80"/>
      <c r="J497" s="65"/>
      <c r="K497" s="65"/>
      <c r="L497" s="65"/>
      <c r="M497" s="65"/>
      <c r="N497" s="65"/>
      <c r="O497" s="65"/>
      <c r="P497" s="65"/>
      <c r="Q497" s="92"/>
      <c r="R497" s="94"/>
    </row>
    <row r="498" spans="8:18" s="38" customFormat="1">
      <c r="H498" s="65"/>
      <c r="I498" s="80"/>
      <c r="J498" s="65"/>
      <c r="K498" s="65"/>
      <c r="L498" s="65"/>
      <c r="M498" s="65"/>
      <c r="N498" s="65"/>
      <c r="O498" s="65"/>
      <c r="P498" s="65"/>
      <c r="Q498" s="92"/>
      <c r="R498" s="94"/>
    </row>
    <row r="499" spans="8:18" s="38" customFormat="1">
      <c r="H499" s="65"/>
      <c r="I499" s="80"/>
      <c r="J499" s="65"/>
      <c r="K499" s="65"/>
      <c r="L499" s="65"/>
      <c r="M499" s="65"/>
      <c r="N499" s="65"/>
      <c r="O499" s="65"/>
      <c r="P499" s="65"/>
      <c r="Q499" s="92"/>
      <c r="R499" s="94"/>
    </row>
    <row r="500" spans="8:18" s="38" customFormat="1">
      <c r="H500" s="65"/>
      <c r="I500" s="80"/>
      <c r="J500" s="65"/>
      <c r="K500" s="65"/>
      <c r="L500" s="65"/>
      <c r="M500" s="65"/>
      <c r="N500" s="65"/>
      <c r="O500" s="65"/>
      <c r="P500" s="65"/>
      <c r="Q500" s="92"/>
      <c r="R500" s="94"/>
    </row>
    <row r="501" spans="8:18" s="38" customFormat="1">
      <c r="H501" s="65"/>
      <c r="I501" s="80"/>
      <c r="J501" s="65"/>
      <c r="K501" s="65"/>
      <c r="L501" s="65"/>
      <c r="M501" s="65"/>
      <c r="N501" s="65"/>
      <c r="O501" s="65"/>
      <c r="P501" s="65"/>
      <c r="Q501" s="92"/>
      <c r="R501" s="94"/>
    </row>
    <row r="502" spans="8:18" s="38" customFormat="1">
      <c r="H502" s="65"/>
      <c r="I502" s="80"/>
      <c r="J502" s="65"/>
      <c r="K502" s="65"/>
      <c r="L502" s="65"/>
      <c r="M502" s="65"/>
      <c r="N502" s="65"/>
      <c r="O502" s="65"/>
      <c r="P502" s="65"/>
      <c r="Q502" s="92"/>
      <c r="R502" s="94"/>
    </row>
    <row r="503" spans="8:18" s="38" customFormat="1">
      <c r="H503" s="65"/>
      <c r="I503" s="80"/>
      <c r="J503" s="65"/>
      <c r="K503" s="65"/>
      <c r="L503" s="65"/>
      <c r="M503" s="65"/>
      <c r="N503" s="65"/>
      <c r="O503" s="65"/>
      <c r="P503" s="65"/>
      <c r="Q503" s="92"/>
      <c r="R503" s="94"/>
    </row>
    <row r="504" spans="8:18" s="38" customFormat="1">
      <c r="H504" s="65"/>
      <c r="I504" s="80"/>
      <c r="J504" s="65"/>
      <c r="K504" s="65"/>
      <c r="L504" s="65"/>
      <c r="M504" s="65"/>
      <c r="N504" s="65"/>
      <c r="O504" s="65"/>
      <c r="P504" s="65"/>
      <c r="Q504" s="92"/>
      <c r="R504" s="94"/>
    </row>
    <row r="505" spans="8:18" s="38" customFormat="1">
      <c r="H505" s="65"/>
      <c r="I505" s="80"/>
      <c r="J505" s="65"/>
      <c r="K505" s="65"/>
      <c r="L505" s="65"/>
      <c r="M505" s="65"/>
      <c r="N505" s="65"/>
      <c r="O505" s="65"/>
      <c r="P505" s="65"/>
      <c r="Q505" s="92"/>
      <c r="R505" s="94"/>
    </row>
    <row r="506" spans="8:18" s="38" customFormat="1">
      <c r="H506" s="65"/>
      <c r="I506" s="80"/>
      <c r="J506" s="65"/>
      <c r="K506" s="65"/>
      <c r="L506" s="65"/>
      <c r="M506" s="65"/>
      <c r="N506" s="65"/>
      <c r="O506" s="65"/>
      <c r="P506" s="65"/>
      <c r="Q506" s="92"/>
      <c r="R506" s="94"/>
    </row>
    <row r="507" spans="8:18" s="38" customFormat="1">
      <c r="H507" s="65"/>
      <c r="I507" s="80"/>
      <c r="J507" s="65"/>
      <c r="K507" s="65"/>
      <c r="L507" s="65"/>
      <c r="M507" s="65"/>
      <c r="N507" s="65"/>
      <c r="O507" s="65"/>
      <c r="P507" s="65"/>
      <c r="Q507" s="92"/>
      <c r="R507" s="94"/>
    </row>
    <row r="508" spans="8:18" s="38" customFormat="1">
      <c r="H508" s="65"/>
      <c r="I508" s="80"/>
      <c r="J508" s="65"/>
      <c r="K508" s="65"/>
      <c r="L508" s="65"/>
      <c r="M508" s="65"/>
      <c r="N508" s="65"/>
      <c r="O508" s="65"/>
      <c r="P508" s="65"/>
      <c r="Q508" s="92"/>
      <c r="R508" s="94"/>
    </row>
    <row r="509" spans="8:18" s="38" customFormat="1">
      <c r="H509" s="65"/>
      <c r="I509" s="80"/>
      <c r="J509" s="65"/>
      <c r="K509" s="65"/>
      <c r="L509" s="65"/>
      <c r="M509" s="65"/>
      <c r="N509" s="65"/>
      <c r="O509" s="65"/>
      <c r="P509" s="65"/>
      <c r="Q509" s="92"/>
      <c r="R509" s="94"/>
    </row>
    <row r="510" spans="8:18" s="38" customFormat="1">
      <c r="H510" s="65"/>
      <c r="I510" s="80"/>
      <c r="J510" s="65"/>
      <c r="K510" s="65"/>
      <c r="L510" s="65"/>
      <c r="M510" s="65"/>
      <c r="N510" s="65"/>
      <c r="O510" s="65"/>
      <c r="P510" s="65"/>
      <c r="Q510" s="92"/>
      <c r="R510" s="94"/>
    </row>
    <row r="511" spans="8:18" s="38" customFormat="1">
      <c r="H511" s="65"/>
      <c r="I511" s="80"/>
      <c r="J511" s="65"/>
      <c r="K511" s="65"/>
      <c r="L511" s="65"/>
      <c r="M511" s="65"/>
      <c r="N511" s="65"/>
      <c r="O511" s="65"/>
      <c r="P511" s="65"/>
      <c r="Q511" s="92"/>
      <c r="R511" s="94"/>
    </row>
    <row r="512" spans="8:18" s="38" customFormat="1">
      <c r="H512" s="65"/>
      <c r="I512" s="80"/>
      <c r="J512" s="65"/>
      <c r="K512" s="65"/>
      <c r="L512" s="65"/>
      <c r="M512" s="65"/>
      <c r="N512" s="65"/>
      <c r="O512" s="65"/>
      <c r="P512" s="65"/>
      <c r="Q512" s="92"/>
      <c r="R512" s="94"/>
    </row>
    <row r="513" spans="8:18" s="38" customFormat="1">
      <c r="H513" s="65"/>
      <c r="I513" s="80"/>
      <c r="J513" s="65"/>
      <c r="K513" s="65"/>
      <c r="L513" s="65"/>
      <c r="M513" s="65"/>
      <c r="N513" s="65"/>
      <c r="O513" s="65"/>
      <c r="P513" s="65"/>
      <c r="Q513" s="92"/>
      <c r="R513" s="94"/>
    </row>
    <row r="514" spans="8:18" s="38" customFormat="1">
      <c r="H514" s="65"/>
      <c r="I514" s="80"/>
      <c r="J514" s="65"/>
      <c r="K514" s="65"/>
      <c r="L514" s="65"/>
      <c r="M514" s="65"/>
      <c r="N514" s="65"/>
      <c r="O514" s="65"/>
      <c r="P514" s="65"/>
      <c r="Q514" s="92"/>
      <c r="R514" s="94"/>
    </row>
    <row r="515" spans="8:18" s="38" customFormat="1">
      <c r="H515" s="65"/>
      <c r="I515" s="80"/>
      <c r="J515" s="65"/>
      <c r="K515" s="65"/>
      <c r="L515" s="65"/>
      <c r="M515" s="65"/>
      <c r="N515" s="65"/>
      <c r="O515" s="65"/>
      <c r="P515" s="65"/>
      <c r="Q515" s="92"/>
      <c r="R515" s="94"/>
    </row>
    <row r="516" spans="8:18" s="38" customFormat="1">
      <c r="H516" s="65"/>
      <c r="I516" s="80"/>
      <c r="J516" s="65"/>
      <c r="K516" s="65"/>
      <c r="L516" s="65"/>
      <c r="M516" s="65"/>
      <c r="N516" s="65"/>
      <c r="O516" s="65"/>
      <c r="P516" s="65"/>
      <c r="Q516" s="92"/>
      <c r="R516" s="94"/>
    </row>
    <row r="517" spans="8:18" s="38" customFormat="1">
      <c r="H517" s="65"/>
      <c r="I517" s="80"/>
      <c r="J517" s="65"/>
      <c r="K517" s="65"/>
      <c r="L517" s="65"/>
      <c r="M517" s="65"/>
      <c r="N517" s="65"/>
      <c r="O517" s="65"/>
      <c r="P517" s="65"/>
      <c r="Q517" s="92"/>
      <c r="R517" s="94"/>
    </row>
    <row r="518" spans="8:18" s="38" customFormat="1">
      <c r="H518" s="65"/>
      <c r="I518" s="80"/>
      <c r="J518" s="65"/>
      <c r="K518" s="65"/>
      <c r="L518" s="65"/>
      <c r="M518" s="65"/>
      <c r="N518" s="65"/>
      <c r="O518" s="65"/>
      <c r="P518" s="65"/>
      <c r="Q518" s="92"/>
      <c r="R518" s="94"/>
    </row>
    <row r="519" spans="8:18" s="38" customFormat="1">
      <c r="H519" s="65"/>
      <c r="I519" s="80"/>
      <c r="J519" s="65"/>
      <c r="K519" s="65"/>
      <c r="L519" s="65"/>
      <c r="M519" s="65"/>
      <c r="N519" s="65"/>
      <c r="O519" s="65"/>
      <c r="P519" s="65"/>
      <c r="Q519" s="92"/>
      <c r="R519" s="94"/>
    </row>
    <row r="520" spans="8:18" s="38" customFormat="1">
      <c r="H520" s="65"/>
      <c r="I520" s="80"/>
      <c r="J520" s="65"/>
      <c r="K520" s="65"/>
      <c r="L520" s="65"/>
      <c r="M520" s="65"/>
      <c r="N520" s="65"/>
      <c r="O520" s="65"/>
      <c r="P520" s="65"/>
      <c r="Q520" s="92"/>
      <c r="R520" s="94"/>
    </row>
    <row r="521" spans="8:18" s="38" customFormat="1">
      <c r="H521" s="65"/>
      <c r="I521" s="80"/>
      <c r="J521" s="65"/>
      <c r="K521" s="65"/>
      <c r="L521" s="65"/>
      <c r="M521" s="65"/>
      <c r="N521" s="65"/>
      <c r="O521" s="65"/>
      <c r="P521" s="65"/>
      <c r="Q521" s="92"/>
      <c r="R521" s="94"/>
    </row>
    <row r="522" spans="8:18" s="38" customFormat="1">
      <c r="H522" s="65"/>
      <c r="I522" s="80"/>
      <c r="J522" s="65"/>
      <c r="K522" s="65"/>
      <c r="L522" s="65"/>
      <c r="M522" s="65"/>
      <c r="N522" s="65"/>
      <c r="O522" s="65"/>
      <c r="P522" s="65"/>
      <c r="Q522" s="92"/>
      <c r="R522" s="94"/>
    </row>
    <row r="523" spans="8:18" s="38" customFormat="1">
      <c r="H523" s="65"/>
      <c r="I523" s="80"/>
      <c r="J523" s="65"/>
      <c r="K523" s="65"/>
      <c r="L523" s="65"/>
      <c r="M523" s="65"/>
      <c r="N523" s="65"/>
      <c r="O523" s="65"/>
      <c r="P523" s="65"/>
      <c r="Q523" s="92"/>
      <c r="R523" s="94"/>
    </row>
    <row r="524" spans="8:18" s="38" customFormat="1">
      <c r="H524" s="65"/>
      <c r="I524" s="80"/>
      <c r="J524" s="65"/>
      <c r="K524" s="65"/>
      <c r="L524" s="65"/>
      <c r="M524" s="65"/>
      <c r="N524" s="65"/>
      <c r="O524" s="65"/>
      <c r="P524" s="65"/>
      <c r="Q524" s="92"/>
      <c r="R524" s="94"/>
    </row>
    <row r="525" spans="8:18" s="38" customFormat="1">
      <c r="H525" s="65"/>
      <c r="I525" s="80"/>
      <c r="J525" s="65"/>
      <c r="K525" s="65"/>
      <c r="L525" s="65"/>
      <c r="M525" s="65"/>
      <c r="N525" s="65"/>
      <c r="O525" s="65"/>
      <c r="P525" s="65"/>
      <c r="Q525" s="92"/>
      <c r="R525" s="94"/>
    </row>
    <row r="526" spans="8:18" s="38" customFormat="1">
      <c r="H526" s="65"/>
      <c r="I526" s="80"/>
      <c r="J526" s="65"/>
      <c r="K526" s="65"/>
      <c r="L526" s="65"/>
      <c r="M526" s="65"/>
      <c r="N526" s="65"/>
      <c r="O526" s="65"/>
      <c r="P526" s="65"/>
      <c r="Q526" s="92"/>
      <c r="R526" s="94"/>
    </row>
    <row r="527" spans="8:18" s="38" customFormat="1">
      <c r="H527" s="65"/>
      <c r="I527" s="80"/>
      <c r="J527" s="65"/>
      <c r="K527" s="65"/>
      <c r="L527" s="65"/>
      <c r="M527" s="65"/>
      <c r="N527" s="65"/>
      <c r="O527" s="65"/>
      <c r="P527" s="65"/>
      <c r="Q527" s="92"/>
      <c r="R527" s="94"/>
    </row>
    <row r="528" spans="8:18" s="38" customFormat="1">
      <c r="H528" s="65"/>
      <c r="I528" s="80"/>
      <c r="J528" s="65"/>
      <c r="K528" s="65"/>
      <c r="L528" s="65"/>
      <c r="M528" s="65"/>
      <c r="N528" s="65"/>
      <c r="O528" s="65"/>
      <c r="P528" s="65"/>
      <c r="Q528" s="92"/>
      <c r="R528" s="94"/>
    </row>
    <row r="529" spans="8:18" s="38" customFormat="1">
      <c r="H529" s="65"/>
      <c r="I529" s="80"/>
      <c r="J529" s="65"/>
      <c r="K529" s="65"/>
      <c r="L529" s="65"/>
      <c r="M529" s="65"/>
      <c r="N529" s="65"/>
      <c r="O529" s="65"/>
      <c r="P529" s="65"/>
      <c r="Q529" s="92"/>
      <c r="R529" s="94"/>
    </row>
    <row r="530" spans="8:18" s="38" customFormat="1">
      <c r="H530" s="65"/>
      <c r="I530" s="80"/>
      <c r="J530" s="65"/>
      <c r="K530" s="65"/>
      <c r="L530" s="65"/>
      <c r="M530" s="65"/>
      <c r="N530" s="65"/>
      <c r="O530" s="65"/>
      <c r="P530" s="65"/>
      <c r="Q530" s="92"/>
      <c r="R530" s="94"/>
    </row>
    <row r="531" spans="8:18" s="38" customFormat="1">
      <c r="H531" s="65"/>
      <c r="I531" s="80"/>
      <c r="J531" s="65"/>
      <c r="K531" s="65"/>
      <c r="L531" s="65"/>
      <c r="M531" s="65"/>
      <c r="N531" s="65"/>
      <c r="O531" s="65"/>
      <c r="P531" s="65"/>
      <c r="Q531" s="92"/>
      <c r="R531" s="94"/>
    </row>
    <row r="532" spans="8:18" s="38" customFormat="1">
      <c r="H532" s="65"/>
      <c r="I532" s="80"/>
      <c r="J532" s="65"/>
      <c r="K532" s="65"/>
      <c r="L532" s="65"/>
      <c r="M532" s="65"/>
      <c r="N532" s="65"/>
      <c r="O532" s="65"/>
      <c r="P532" s="65"/>
      <c r="Q532" s="92"/>
      <c r="R532" s="94"/>
    </row>
  </sheetData>
  <mergeCells count="41">
    <mergeCell ref="D438:G438"/>
    <mergeCell ref="D316:G316"/>
    <mergeCell ref="A338:H338"/>
    <mergeCell ref="D347:G347"/>
    <mergeCell ref="A369:H369"/>
    <mergeCell ref="D378:G378"/>
    <mergeCell ref="D408:G408"/>
    <mergeCell ref="A307:H307"/>
    <mergeCell ref="D192:G192"/>
    <mergeCell ref="L192:O192"/>
    <mergeCell ref="A214:H214"/>
    <mergeCell ref="I214:P214"/>
    <mergeCell ref="D223:G223"/>
    <mergeCell ref="A245:H245"/>
    <mergeCell ref="D254:G254"/>
    <mergeCell ref="A276:H276"/>
    <mergeCell ref="D285:G285"/>
    <mergeCell ref="D131:G131"/>
    <mergeCell ref="L131:O131"/>
    <mergeCell ref="A153:H153"/>
    <mergeCell ref="I153:P153"/>
    <mergeCell ref="D162:G162"/>
    <mergeCell ref="L162:O162"/>
    <mergeCell ref="A122:H122"/>
    <mergeCell ref="I122:P122"/>
    <mergeCell ref="D39:G39"/>
    <mergeCell ref="L39:O39"/>
    <mergeCell ref="A61:H61"/>
    <mergeCell ref="I61:P61"/>
    <mergeCell ref="D70:G70"/>
    <mergeCell ref="L70:O70"/>
    <mergeCell ref="B99:H99"/>
    <mergeCell ref="D100:G100"/>
    <mergeCell ref="L100:O100"/>
    <mergeCell ref="A30:H30"/>
    <mergeCell ref="I30:P30"/>
    <mergeCell ref="A28:H28"/>
    <mergeCell ref="I28:P28"/>
    <mergeCell ref="Q2:X2"/>
    <mergeCell ref="D7:G7"/>
    <mergeCell ref="L7:O7"/>
  </mergeCells>
  <conditionalFormatting sqref="Q1:R7 Q9:R1048576">
    <cfRule type="cellIs" dxfId="878" priority="1" stopIfTrue="1" operator="notEqual">
      <formula>100</formula>
    </cfRule>
  </conditionalFormatting>
  <pageMargins left="0.7" right="0.7" top="0.75" bottom="0.75" header="0.3" footer="0.3"/>
  <pageSetup scale="97" firstPageNumber="91" orientation="landscape" useFirstPageNumber="1" r:id="rId1"/>
  <headerFooter>
    <oddHeader>&amp;R&amp;"Arial,Regular"&amp;8SREB-State Data Exchange</oddHeader>
    <oddFooter>&amp;CC-&amp;P</oddFooter>
  </headerFooter>
  <rowBreaks count="14" manualBreakCount="14">
    <brk id="32" max="15" man="1"/>
    <brk id="63" max="15" man="1"/>
    <brk id="93" max="15" man="1"/>
    <brk id="124" max="15" man="1"/>
    <brk id="155" max="15" man="1"/>
    <brk id="185" max="15" man="1"/>
    <brk id="216" max="15" man="1"/>
    <brk id="247" max="15" man="1"/>
    <brk id="278" max="15" man="1"/>
    <brk id="309" max="15" man="1"/>
    <brk id="340" max="15" man="1"/>
    <brk id="371" max="15" man="1"/>
    <brk id="401" max="15" man="1"/>
    <brk id="431" max="15" man="1"/>
  </rowBreaks>
  <colBreaks count="1" manualBreakCount="1">
    <brk id="8"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00"/>
  </sheetPr>
  <dimension ref="A2:W725"/>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RowHeight="15"/>
  <cols>
    <col min="1" max="1" width="6" style="148" customWidth="1"/>
    <col min="2" max="2" width="21.7109375" style="148" customWidth="1"/>
    <col min="3" max="3" width="12.85546875" style="148" customWidth="1"/>
    <col min="4" max="9" width="12.85546875" style="156" customWidth="1"/>
    <col min="10" max="10" width="16" style="156" customWidth="1"/>
    <col min="11" max="14" width="11.140625" style="156" customWidth="1"/>
    <col min="15" max="15" width="14.28515625" style="156" customWidth="1"/>
    <col min="16" max="17" width="11.28515625" style="156" customWidth="1"/>
    <col min="18" max="18" width="14.5703125" style="156" customWidth="1"/>
    <col min="19" max="21" width="11.42578125" style="156" customWidth="1"/>
    <col min="22" max="22" width="9.140625" style="148" customWidth="1"/>
    <col min="23" max="16384" width="9.140625" style="148"/>
  </cols>
  <sheetData>
    <row r="2" spans="1:22">
      <c r="D2" s="156" t="s">
        <v>39</v>
      </c>
    </row>
    <row r="3" spans="1:22">
      <c r="A3" s="246"/>
      <c r="B3" s="158"/>
      <c r="C3" s="246" t="s">
        <v>225</v>
      </c>
      <c r="D3" s="271" t="s">
        <v>9</v>
      </c>
      <c r="E3" s="271"/>
      <c r="F3" s="159"/>
      <c r="G3" s="159"/>
      <c r="H3" s="159"/>
      <c r="I3" s="159"/>
      <c r="J3" s="247"/>
      <c r="K3" s="247"/>
      <c r="L3" s="247"/>
      <c r="M3" s="247"/>
      <c r="N3" s="247"/>
      <c r="O3" s="247"/>
      <c r="P3" s="247"/>
      <c r="Q3" s="247"/>
      <c r="R3" s="247"/>
      <c r="S3" s="302"/>
      <c r="T3" s="302"/>
      <c r="U3" s="247"/>
      <c r="V3" s="380"/>
    </row>
    <row r="4" spans="1:22">
      <c r="A4" s="160"/>
      <c r="B4" s="161"/>
      <c r="C4" s="160" t="s">
        <v>233</v>
      </c>
      <c r="D4" s="162"/>
      <c r="E4" s="161"/>
      <c r="F4" s="161"/>
      <c r="G4" s="161"/>
      <c r="H4" s="161"/>
      <c r="I4" s="161"/>
      <c r="J4" s="246" t="s">
        <v>234</v>
      </c>
      <c r="K4" s="309" t="s">
        <v>56</v>
      </c>
      <c r="L4" s="162"/>
      <c r="M4" s="161"/>
      <c r="N4" s="161"/>
      <c r="O4" s="246" t="s">
        <v>227</v>
      </c>
      <c r="P4" s="246" t="s">
        <v>57</v>
      </c>
      <c r="Q4" s="249"/>
      <c r="R4" s="246" t="s">
        <v>235</v>
      </c>
      <c r="S4" s="300" t="s">
        <v>239</v>
      </c>
      <c r="T4" s="300" t="s">
        <v>240</v>
      </c>
      <c r="U4" s="378" t="s">
        <v>232</v>
      </c>
      <c r="V4" s="380"/>
    </row>
    <row r="5" spans="1:22">
      <c r="A5" s="246" t="s">
        <v>4</v>
      </c>
      <c r="B5" s="246" t="s">
        <v>58</v>
      </c>
      <c r="C5" s="246">
        <v>1</v>
      </c>
      <c r="D5" s="251">
        <v>2</v>
      </c>
      <c r="E5" s="251">
        <v>3</v>
      </c>
      <c r="F5" s="251">
        <v>4</v>
      </c>
      <c r="G5" s="251">
        <v>5</v>
      </c>
      <c r="H5" s="251">
        <v>6</v>
      </c>
      <c r="I5" s="251">
        <v>15</v>
      </c>
      <c r="J5" s="164"/>
      <c r="K5" s="163">
        <v>7</v>
      </c>
      <c r="L5" s="251">
        <v>8</v>
      </c>
      <c r="M5" s="251">
        <v>9</v>
      </c>
      <c r="N5" s="251">
        <v>10</v>
      </c>
      <c r="O5" s="164"/>
      <c r="P5" s="306">
        <v>12</v>
      </c>
      <c r="Q5" s="156">
        <v>13</v>
      </c>
      <c r="R5" s="164"/>
      <c r="S5" s="301" t="s">
        <v>239</v>
      </c>
      <c r="T5" s="301"/>
      <c r="U5" s="379"/>
      <c r="V5" s="380"/>
    </row>
    <row r="6" spans="1:22">
      <c r="A6" s="296" t="s">
        <v>38</v>
      </c>
      <c r="B6" s="246" t="s">
        <v>59</v>
      </c>
      <c r="C6" s="297">
        <v>0.94531626632384747</v>
      </c>
      <c r="D6" s="298">
        <v>0.8749376603664486</v>
      </c>
      <c r="E6" s="298">
        <v>0.83996890863017881</v>
      </c>
      <c r="F6" s="298">
        <v>0.86159570187019474</v>
      </c>
      <c r="G6" s="298">
        <v>0.95438235991464471</v>
      </c>
      <c r="H6" s="298">
        <v>0.33448306137039219</v>
      </c>
      <c r="I6" s="298">
        <v>1</v>
      </c>
      <c r="J6" s="307">
        <v>0.88449718906893549</v>
      </c>
      <c r="K6" s="307">
        <v>0</v>
      </c>
      <c r="L6" s="298">
        <v>0.74020730253891442</v>
      </c>
      <c r="M6" s="298">
        <v>0.67171594856619565</v>
      </c>
      <c r="N6" s="298">
        <v>0.66689806035650434</v>
      </c>
      <c r="O6" s="307">
        <v>0.69086793205116104</v>
      </c>
      <c r="P6" s="165">
        <v>0.40154074874983103</v>
      </c>
      <c r="Q6" s="298">
        <v>0.88093721717561091</v>
      </c>
      <c r="R6" s="307">
        <v>0.69745812685571218</v>
      </c>
      <c r="S6" s="307">
        <v>0</v>
      </c>
      <c r="T6" s="307">
        <v>0</v>
      </c>
      <c r="U6" s="307">
        <v>0.81184631328999024</v>
      </c>
      <c r="V6" s="380"/>
    </row>
    <row r="7" spans="1:22">
      <c r="A7" s="166"/>
      <c r="B7" s="167" t="s">
        <v>60</v>
      </c>
      <c r="C7" s="168">
        <v>0.93555745868708384</v>
      </c>
      <c r="D7" s="169">
        <v>0.85923185555909354</v>
      </c>
      <c r="E7" s="169">
        <v>0.83909413866896443</v>
      </c>
      <c r="F7" s="169">
        <v>0.85203369821850183</v>
      </c>
      <c r="G7" s="169">
        <v>0.94861264467339756</v>
      </c>
      <c r="H7" s="169">
        <v>0.23614234506821496</v>
      </c>
      <c r="I7" s="169">
        <v>1</v>
      </c>
      <c r="J7" s="170">
        <v>0.87655015386612301</v>
      </c>
      <c r="K7" s="170">
        <v>0</v>
      </c>
      <c r="L7" s="169">
        <v>0.70602878330231822</v>
      </c>
      <c r="M7" s="169">
        <v>0.66186971692789542</v>
      </c>
      <c r="N7" s="169">
        <v>0.65961704032785751</v>
      </c>
      <c r="O7" s="170">
        <v>0.67428353278534725</v>
      </c>
      <c r="P7" s="170">
        <v>0.85871127205840092</v>
      </c>
      <c r="Q7" s="169">
        <v>0.88958180484225968</v>
      </c>
      <c r="R7" s="170">
        <v>0.87791177748804872</v>
      </c>
      <c r="S7" s="170">
        <v>0</v>
      </c>
      <c r="T7" s="170">
        <v>0</v>
      </c>
      <c r="U7" s="170">
        <v>0.80559001437497335</v>
      </c>
      <c r="V7" s="380"/>
    </row>
    <row r="8" spans="1:22">
      <c r="A8" s="166"/>
      <c r="B8" s="199" t="s">
        <v>236</v>
      </c>
      <c r="C8" s="200">
        <v>-0.97588076367636223</v>
      </c>
      <c r="D8" s="201">
        <v>-1.5705804807355062</v>
      </c>
      <c r="E8" s="201">
        <v>-8.7476996121438333E-2</v>
      </c>
      <c r="F8" s="201">
        <v>-0.95620036516929074</v>
      </c>
      <c r="G8" s="201">
        <v>-0.5769715241247142</v>
      </c>
      <c r="H8" s="656">
        <v>-9.8340716302177213</v>
      </c>
      <c r="I8" s="201">
        <v>0</v>
      </c>
      <c r="J8" s="202">
        <v>-0.79470352028124802</v>
      </c>
      <c r="K8" s="202">
        <v>0</v>
      </c>
      <c r="L8" s="201">
        <v>-3.4178519236596205</v>
      </c>
      <c r="M8" s="201">
        <v>-0.98462316383002291</v>
      </c>
      <c r="N8" s="201">
        <v>-0.72810200286468341</v>
      </c>
      <c r="O8" s="202">
        <v>-1.6584399265813787</v>
      </c>
      <c r="P8" s="657">
        <v>45.717052330856987</v>
      </c>
      <c r="Q8" s="201">
        <v>0.86445876666487731</v>
      </c>
      <c r="R8" s="202">
        <v>18.045365063233653</v>
      </c>
      <c r="S8" s="202">
        <v>0</v>
      </c>
      <c r="T8" s="202">
        <v>0</v>
      </c>
      <c r="U8" s="202">
        <v>-0.62562989150168891</v>
      </c>
      <c r="V8" s="380"/>
    </row>
    <row r="9" spans="1:22">
      <c r="A9" s="166"/>
      <c r="B9" s="246" t="s">
        <v>61</v>
      </c>
      <c r="C9" s="297">
        <v>1.5714125220957665E-4</v>
      </c>
      <c r="D9" s="298">
        <v>3.5416139640779155E-4</v>
      </c>
      <c r="E9" s="298">
        <v>3.3786884693542034E-3</v>
      </c>
      <c r="F9" s="298">
        <v>6.8199628643844032E-3</v>
      </c>
      <c r="G9" s="298">
        <v>4.7103453726389001E-3</v>
      </c>
      <c r="H9" s="298">
        <v>5.8447992574847292E-2</v>
      </c>
      <c r="I9" s="298">
        <v>0</v>
      </c>
      <c r="J9" s="307">
        <v>3.4362504885308001E-3</v>
      </c>
      <c r="K9" s="307">
        <v>0</v>
      </c>
      <c r="L9" s="298">
        <v>4.1449673155404675E-2</v>
      </c>
      <c r="M9" s="298">
        <v>0.16845308822305136</v>
      </c>
      <c r="N9" s="298">
        <v>0.10689711220675083</v>
      </c>
      <c r="O9" s="307">
        <v>0.12201884436610112</v>
      </c>
      <c r="P9" s="165">
        <v>0.5255304770914988</v>
      </c>
      <c r="Q9" s="298">
        <v>4.3458586129453962E-2</v>
      </c>
      <c r="R9" s="307">
        <v>0.22796163913056972</v>
      </c>
      <c r="S9" s="307">
        <v>0</v>
      </c>
      <c r="T9" s="307">
        <v>0</v>
      </c>
      <c r="U9" s="307">
        <v>4.9923992808543129E-2</v>
      </c>
      <c r="V9" s="380"/>
    </row>
    <row r="10" spans="1:22">
      <c r="A10" s="166"/>
      <c r="B10" s="167" t="s">
        <v>62</v>
      </c>
      <c r="C10" s="168">
        <v>2.6100748890718172E-4</v>
      </c>
      <c r="D10" s="169">
        <v>3.3543425367093898E-4</v>
      </c>
      <c r="E10" s="169">
        <v>4.1740530690943505E-3</v>
      </c>
      <c r="F10" s="169">
        <v>5.1440028098109231E-3</v>
      </c>
      <c r="G10" s="169">
        <v>3.9718159937086432E-3</v>
      </c>
      <c r="H10" s="169">
        <v>4.732114868272206E-2</v>
      </c>
      <c r="I10" s="169">
        <v>0</v>
      </c>
      <c r="J10" s="170">
        <v>3.0472763502871507E-3</v>
      </c>
      <c r="K10" s="170">
        <v>0</v>
      </c>
      <c r="L10" s="169">
        <v>4.207150004208085E-2</v>
      </c>
      <c r="M10" s="169">
        <v>0.17132628175212983</v>
      </c>
      <c r="N10" s="169">
        <v>0.10672245755415505</v>
      </c>
      <c r="O10" s="170">
        <v>0.12381165587078906</v>
      </c>
      <c r="P10" s="170">
        <v>7.2483761568086447E-2</v>
      </c>
      <c r="Q10" s="169">
        <v>5.1235020787478602E-2</v>
      </c>
      <c r="R10" s="170">
        <v>5.9267709691438505E-2</v>
      </c>
      <c r="S10" s="170">
        <v>0</v>
      </c>
      <c r="T10" s="170">
        <v>0</v>
      </c>
      <c r="U10" s="170">
        <v>4.6410573907762959E-2</v>
      </c>
      <c r="V10" s="380"/>
    </row>
    <row r="11" spans="1:22">
      <c r="A11" s="166"/>
      <c r="B11" s="199" t="s">
        <v>63</v>
      </c>
      <c r="C11" s="200">
        <v>1.0386623669760509E-2</v>
      </c>
      <c r="D11" s="201">
        <v>-1.8727142736852569E-3</v>
      </c>
      <c r="E11" s="201">
        <v>7.9536459974014706E-2</v>
      </c>
      <c r="F11" s="201">
        <v>-0.16759600545734801</v>
      </c>
      <c r="G11" s="201">
        <v>-7.3852937893025689E-2</v>
      </c>
      <c r="H11" s="201">
        <v>-1.1126843892125233</v>
      </c>
      <c r="I11" s="201">
        <v>0</v>
      </c>
      <c r="J11" s="202">
        <v>-3.8897413824364943E-2</v>
      </c>
      <c r="K11" s="202">
        <v>0</v>
      </c>
      <c r="L11" s="201">
        <v>6.2182688667617586E-2</v>
      </c>
      <c r="M11" s="201">
        <v>0.28731935290784716</v>
      </c>
      <c r="N11" s="201">
        <v>-1.7465465259577928E-2</v>
      </c>
      <c r="O11" s="202">
        <v>0.17928115046879356</v>
      </c>
      <c r="P11" s="657">
        <v>-45.304671552341233</v>
      </c>
      <c r="Q11" s="201">
        <v>0.77764346580246402</v>
      </c>
      <c r="R11" s="202">
        <v>-16.86939294391312</v>
      </c>
      <c r="S11" s="202">
        <v>0</v>
      </c>
      <c r="T11" s="202">
        <v>0</v>
      </c>
      <c r="U11" s="202">
        <v>-0.35134189007801697</v>
      </c>
      <c r="V11" s="380"/>
    </row>
    <row r="12" spans="1:22">
      <c r="A12" s="166"/>
      <c r="B12" s="246" t="s">
        <v>64</v>
      </c>
      <c r="C12" s="297">
        <v>5.4299768625504667E-2</v>
      </c>
      <c r="D12" s="298">
        <v>0.12386011829472492</v>
      </c>
      <c r="E12" s="298">
        <v>0.154016142880878</v>
      </c>
      <c r="F12" s="298">
        <v>0.13158433526542082</v>
      </c>
      <c r="G12" s="298">
        <v>4.0907294712716355E-2</v>
      </c>
      <c r="H12" s="298">
        <v>0.60706894605476047</v>
      </c>
      <c r="I12" s="298">
        <v>0</v>
      </c>
      <c r="J12" s="307">
        <v>0.11118269548747858</v>
      </c>
      <c r="K12" s="307">
        <v>0</v>
      </c>
      <c r="L12" s="298">
        <v>0.21572465600057786</v>
      </c>
      <c r="M12" s="298">
        <v>0.15224001180646479</v>
      </c>
      <c r="N12" s="298">
        <v>0.22556482635314515</v>
      </c>
      <c r="O12" s="307">
        <v>0.18204381629890773</v>
      </c>
      <c r="P12" s="165">
        <v>7.2928774158670093E-2</v>
      </c>
      <c r="Q12" s="298">
        <v>7.5604196694935136E-2</v>
      </c>
      <c r="R12" s="307">
        <v>7.458023401371805E-2</v>
      </c>
      <c r="S12" s="307">
        <v>0</v>
      </c>
      <c r="T12" s="307">
        <v>0</v>
      </c>
      <c r="U12" s="307">
        <v>0.13586475467438128</v>
      </c>
      <c r="V12" s="380"/>
    </row>
    <row r="13" spans="1:22">
      <c r="A13" s="166"/>
      <c r="B13" s="167" t="s">
        <v>65</v>
      </c>
      <c r="C13" s="168">
        <v>6.3772368237950211E-2</v>
      </c>
      <c r="D13" s="169">
        <v>0.14018478052147873</v>
      </c>
      <c r="E13" s="169">
        <v>0.15405151530132991</v>
      </c>
      <c r="F13" s="169">
        <v>0.14282229897168724</v>
      </c>
      <c r="G13" s="169">
        <v>4.7415539332893789E-2</v>
      </c>
      <c r="H13" s="169">
        <v>0.71653650624906295</v>
      </c>
      <c r="I13" s="169">
        <v>0</v>
      </c>
      <c r="J13" s="170">
        <v>0.11951020035346242</v>
      </c>
      <c r="K13" s="170">
        <v>0</v>
      </c>
      <c r="L13" s="169">
        <v>0.24905318084479647</v>
      </c>
      <c r="M13" s="169">
        <v>0.15990342314759309</v>
      </c>
      <c r="N13" s="169">
        <v>0.23366050211798739</v>
      </c>
      <c r="O13" s="170">
        <v>0.19725985323230144</v>
      </c>
      <c r="P13" s="170">
        <v>6.8804966373512674E-2</v>
      </c>
      <c r="Q13" s="169">
        <v>5.9183174370261681E-2</v>
      </c>
      <c r="R13" s="170">
        <v>6.2820512820512819E-2</v>
      </c>
      <c r="S13" s="170">
        <v>0</v>
      </c>
      <c r="T13" s="170">
        <v>0</v>
      </c>
      <c r="U13" s="170">
        <v>0.14580568641683628</v>
      </c>
      <c r="V13" s="380"/>
    </row>
    <row r="14" spans="1:22" s="171" customFormat="1">
      <c r="A14" s="166"/>
      <c r="B14" s="199" t="s">
        <v>66</v>
      </c>
      <c r="C14" s="200">
        <v>0.94725996124455436</v>
      </c>
      <c r="D14" s="201">
        <v>1.6324662226753814</v>
      </c>
      <c r="E14" s="201">
        <v>3.5372420451901254E-3</v>
      </c>
      <c r="F14" s="201">
        <v>1.1237963706266423</v>
      </c>
      <c r="G14" s="201">
        <v>0.65082446201774335</v>
      </c>
      <c r="H14" s="656">
        <v>10.946756019430248</v>
      </c>
      <c r="I14" s="201">
        <v>0</v>
      </c>
      <c r="J14" s="202">
        <v>0.83275048659838391</v>
      </c>
      <c r="K14" s="202">
        <v>0</v>
      </c>
      <c r="L14" s="201">
        <v>3.3328524844218608</v>
      </c>
      <c r="M14" s="201">
        <v>0.76634113411283011</v>
      </c>
      <c r="N14" s="201">
        <v>0.80956757648422417</v>
      </c>
      <c r="O14" s="202">
        <v>1.5216036933393711</v>
      </c>
      <c r="P14" s="202">
        <v>-0.41238077851574184</v>
      </c>
      <c r="Q14" s="201">
        <v>-1.6421022324673455</v>
      </c>
      <c r="R14" s="202">
        <v>-1.175972119320523</v>
      </c>
      <c r="S14" s="202">
        <v>0</v>
      </c>
      <c r="T14" s="202">
        <v>0</v>
      </c>
      <c r="U14" s="202">
        <v>0.99409317424550003</v>
      </c>
      <c r="V14" s="380"/>
    </row>
    <row r="15" spans="1:22">
      <c r="A15" s="166"/>
      <c r="B15" s="246" t="s">
        <v>67</v>
      </c>
      <c r="C15" s="297">
        <v>2.268237984382577E-4</v>
      </c>
      <c r="D15" s="298">
        <v>8.4805994241865729E-4</v>
      </c>
      <c r="E15" s="298">
        <v>2.4445531428890109E-3</v>
      </c>
      <c r="F15" s="298">
        <v>0</v>
      </c>
      <c r="G15" s="298">
        <v>0</v>
      </c>
      <c r="H15" s="298">
        <v>0</v>
      </c>
      <c r="I15" s="298">
        <v>0</v>
      </c>
      <c r="J15" s="307">
        <v>8.3426028921023364E-4</v>
      </c>
      <c r="K15" s="307">
        <v>0</v>
      </c>
      <c r="L15" s="298">
        <v>2.6183683051031097E-3</v>
      </c>
      <c r="M15" s="298">
        <v>4.3536338936358615E-3</v>
      </c>
      <c r="N15" s="298">
        <v>0</v>
      </c>
      <c r="O15" s="307">
        <v>3.1750028854124041E-3</v>
      </c>
      <c r="P15" s="165">
        <v>0</v>
      </c>
      <c r="Q15" s="298">
        <v>0</v>
      </c>
      <c r="R15" s="307">
        <v>0</v>
      </c>
      <c r="S15" s="307">
        <v>0</v>
      </c>
      <c r="T15" s="307">
        <v>0</v>
      </c>
      <c r="U15" s="307">
        <v>1.656376938624357E-3</v>
      </c>
      <c r="V15" s="380"/>
    </row>
    <row r="16" spans="1:22">
      <c r="A16" s="166"/>
      <c r="B16" s="167" t="s">
        <v>68</v>
      </c>
      <c r="C16" s="168">
        <v>4.0916558605873845E-4</v>
      </c>
      <c r="D16" s="169">
        <v>2.4792966575678101E-4</v>
      </c>
      <c r="E16" s="169">
        <v>2.1435280989342393E-3</v>
      </c>
      <c r="F16" s="169">
        <v>0</v>
      </c>
      <c r="G16" s="169">
        <v>0</v>
      </c>
      <c r="H16" s="169">
        <v>0</v>
      </c>
      <c r="I16" s="169">
        <v>0</v>
      </c>
      <c r="J16" s="170">
        <v>7.5535917418870994E-4</v>
      </c>
      <c r="K16" s="170">
        <v>0</v>
      </c>
      <c r="L16" s="169">
        <v>2.8465358108044924E-3</v>
      </c>
      <c r="M16" s="169">
        <v>4.7731927963743648E-3</v>
      </c>
      <c r="N16" s="169">
        <v>0</v>
      </c>
      <c r="O16" s="170">
        <v>3.4666852681287199E-3</v>
      </c>
      <c r="P16" s="170">
        <v>0</v>
      </c>
      <c r="Q16" s="169">
        <v>0</v>
      </c>
      <c r="R16" s="170">
        <v>0</v>
      </c>
      <c r="S16" s="170">
        <v>0</v>
      </c>
      <c r="T16" s="170">
        <v>0</v>
      </c>
      <c r="U16" s="170">
        <v>1.6936849745947254E-3</v>
      </c>
      <c r="V16" s="380"/>
    </row>
    <row r="17" spans="1:22">
      <c r="A17" s="166"/>
      <c r="B17" s="199" t="s">
        <v>69</v>
      </c>
      <c r="C17" s="200">
        <v>1.8234178762048074E-2</v>
      </c>
      <c r="D17" s="201">
        <v>-6.0013027666187629E-2</v>
      </c>
      <c r="E17" s="201">
        <v>-3.010250439547716E-2</v>
      </c>
      <c r="F17" s="201">
        <v>0</v>
      </c>
      <c r="G17" s="201">
        <v>0</v>
      </c>
      <c r="H17" s="201">
        <v>0</v>
      </c>
      <c r="I17" s="201">
        <v>0</v>
      </c>
      <c r="J17" s="202">
        <v>-7.89011150215237E-3</v>
      </c>
      <c r="K17" s="202">
        <v>0</v>
      </c>
      <c r="L17" s="201">
        <v>2.2816750570138274E-2</v>
      </c>
      <c r="M17" s="201">
        <v>4.1955890273850327E-2</v>
      </c>
      <c r="N17" s="201">
        <v>0</v>
      </c>
      <c r="O17" s="202">
        <v>2.9168238271631581E-2</v>
      </c>
      <c r="P17" s="202">
        <v>0</v>
      </c>
      <c r="Q17" s="201">
        <v>0</v>
      </c>
      <c r="R17" s="202">
        <v>0</v>
      </c>
      <c r="S17" s="202">
        <v>0</v>
      </c>
      <c r="T17" s="202">
        <v>0</v>
      </c>
      <c r="U17" s="202">
        <v>3.7308035970368397E-3</v>
      </c>
      <c r="V17" s="380"/>
    </row>
    <row r="18" spans="1:22">
      <c r="A18" s="166"/>
      <c r="B18" s="246" t="s">
        <v>70</v>
      </c>
      <c r="C18" s="297">
        <v>0</v>
      </c>
      <c r="D18" s="298">
        <v>0</v>
      </c>
      <c r="E18" s="298">
        <v>1.9170687669994621E-4</v>
      </c>
      <c r="F18" s="298">
        <v>0</v>
      </c>
      <c r="G18" s="298">
        <v>0</v>
      </c>
      <c r="H18" s="298">
        <v>0</v>
      </c>
      <c r="I18" s="298">
        <v>0</v>
      </c>
      <c r="J18" s="307">
        <v>4.9604665844932808E-5</v>
      </c>
      <c r="K18" s="307">
        <v>0</v>
      </c>
      <c r="L18" s="298">
        <v>0</v>
      </c>
      <c r="M18" s="298">
        <v>3.2373175106523073E-3</v>
      </c>
      <c r="N18" s="298">
        <v>6.4000108359971825E-4</v>
      </c>
      <c r="O18" s="307">
        <v>1.8944043984177447E-3</v>
      </c>
      <c r="P18" s="165">
        <v>0</v>
      </c>
      <c r="Q18" s="298">
        <v>0</v>
      </c>
      <c r="R18" s="307">
        <v>0</v>
      </c>
      <c r="S18" s="307">
        <v>0</v>
      </c>
      <c r="T18" s="307">
        <v>0</v>
      </c>
      <c r="U18" s="307">
        <v>7.0856228846103689E-4</v>
      </c>
      <c r="V18" s="380"/>
    </row>
    <row r="19" spans="1:22">
      <c r="A19" s="166"/>
      <c r="B19" s="167" t="s">
        <v>71</v>
      </c>
      <c r="C19" s="168">
        <v>0</v>
      </c>
      <c r="D19" s="169">
        <v>0</v>
      </c>
      <c r="E19" s="169">
        <v>5.3676486167710772E-4</v>
      </c>
      <c r="F19" s="169">
        <v>0</v>
      </c>
      <c r="G19" s="169">
        <v>0</v>
      </c>
      <c r="H19" s="169">
        <v>0</v>
      </c>
      <c r="I19" s="169">
        <v>0</v>
      </c>
      <c r="J19" s="170">
        <v>1.3701025593876364E-4</v>
      </c>
      <c r="K19" s="170">
        <v>0</v>
      </c>
      <c r="L19" s="169">
        <v>0</v>
      </c>
      <c r="M19" s="169">
        <v>2.1273853760073107E-3</v>
      </c>
      <c r="N19" s="169">
        <v>0</v>
      </c>
      <c r="O19" s="170">
        <v>1.1782728434335487E-3</v>
      </c>
      <c r="P19" s="170">
        <v>0</v>
      </c>
      <c r="Q19" s="169">
        <v>0</v>
      </c>
      <c r="R19" s="170">
        <v>0</v>
      </c>
      <c r="S19" s="170">
        <v>0</v>
      </c>
      <c r="T19" s="170">
        <v>0</v>
      </c>
      <c r="U19" s="170">
        <v>5.0004032583272841E-4</v>
      </c>
      <c r="V19" s="380"/>
    </row>
    <row r="20" spans="1:22">
      <c r="A20" s="166"/>
      <c r="B20" s="199" t="s">
        <v>72</v>
      </c>
      <c r="C20" s="200">
        <v>0</v>
      </c>
      <c r="D20" s="201">
        <v>0</v>
      </c>
      <c r="E20" s="201">
        <v>3.450579849771615E-2</v>
      </c>
      <c r="F20" s="201">
        <v>0</v>
      </c>
      <c r="G20" s="201">
        <v>0</v>
      </c>
      <c r="H20" s="201">
        <v>0</v>
      </c>
      <c r="I20" s="201">
        <v>0</v>
      </c>
      <c r="J20" s="202">
        <v>8.740559009383083E-3</v>
      </c>
      <c r="K20" s="202">
        <v>0</v>
      </c>
      <c r="L20" s="201">
        <v>0</v>
      </c>
      <c r="M20" s="201">
        <v>-0.11099321346449967</v>
      </c>
      <c r="N20" s="656">
        <v>-6.400010835997183E-2</v>
      </c>
      <c r="O20" s="202">
        <v>-7.1613155498419609E-2</v>
      </c>
      <c r="P20" s="202">
        <v>0</v>
      </c>
      <c r="Q20" s="201">
        <v>0</v>
      </c>
      <c r="R20" s="202">
        <v>0</v>
      </c>
      <c r="S20" s="202">
        <v>0</v>
      </c>
      <c r="T20" s="202">
        <v>0</v>
      </c>
      <c r="U20" s="202">
        <v>-2.0852196262830847E-2</v>
      </c>
      <c r="V20" s="380"/>
    </row>
    <row r="21" spans="1:22">
      <c r="A21" s="166"/>
      <c r="B21" s="246" t="s">
        <v>73</v>
      </c>
      <c r="C21" s="297">
        <v>0</v>
      </c>
      <c r="D21" s="298">
        <v>0</v>
      </c>
      <c r="E21" s="298">
        <v>0</v>
      </c>
      <c r="F21" s="298">
        <v>0</v>
      </c>
      <c r="G21" s="298">
        <v>0</v>
      </c>
      <c r="H21" s="298">
        <v>0</v>
      </c>
      <c r="I21" s="298">
        <v>0</v>
      </c>
      <c r="J21" s="307">
        <v>0</v>
      </c>
      <c r="K21" s="307">
        <v>0</v>
      </c>
      <c r="L21" s="298">
        <v>0</v>
      </c>
      <c r="M21" s="298">
        <v>0</v>
      </c>
      <c r="N21" s="298">
        <v>0</v>
      </c>
      <c r="O21" s="307">
        <v>0</v>
      </c>
      <c r="P21" s="165">
        <v>0</v>
      </c>
      <c r="Q21" s="298">
        <v>0</v>
      </c>
      <c r="R21" s="307">
        <v>0</v>
      </c>
      <c r="S21" s="307">
        <v>0</v>
      </c>
      <c r="T21" s="307">
        <v>0</v>
      </c>
      <c r="U21" s="307">
        <v>0</v>
      </c>
      <c r="V21" s="380"/>
    </row>
    <row r="22" spans="1:22">
      <c r="A22" s="166"/>
      <c r="B22" s="167" t="s">
        <v>74</v>
      </c>
      <c r="C22" s="168">
        <v>0</v>
      </c>
      <c r="D22" s="169">
        <v>0</v>
      </c>
      <c r="E22" s="169">
        <v>0</v>
      </c>
      <c r="F22" s="169">
        <v>0</v>
      </c>
      <c r="G22" s="169">
        <v>0</v>
      </c>
      <c r="H22" s="169">
        <v>0</v>
      </c>
      <c r="I22" s="169">
        <v>0</v>
      </c>
      <c r="J22" s="170">
        <v>0</v>
      </c>
      <c r="K22" s="170">
        <v>0</v>
      </c>
      <c r="L22" s="169">
        <v>0</v>
      </c>
      <c r="M22" s="169">
        <v>0</v>
      </c>
      <c r="N22" s="169">
        <v>0</v>
      </c>
      <c r="O22" s="170">
        <v>0</v>
      </c>
      <c r="P22" s="170">
        <v>0</v>
      </c>
      <c r="Q22" s="169">
        <v>0</v>
      </c>
      <c r="R22" s="170">
        <v>0</v>
      </c>
      <c r="S22" s="170">
        <v>0</v>
      </c>
      <c r="T22" s="170">
        <v>0</v>
      </c>
      <c r="U22" s="170">
        <v>0</v>
      </c>
      <c r="V22" s="380"/>
    </row>
    <row r="23" spans="1:22" ht="15.75" thickBot="1">
      <c r="A23" s="166"/>
      <c r="B23" s="303" t="s">
        <v>75</v>
      </c>
      <c r="C23" s="304">
        <v>0</v>
      </c>
      <c r="D23" s="305">
        <v>0</v>
      </c>
      <c r="E23" s="305">
        <v>0</v>
      </c>
      <c r="F23" s="305">
        <v>0</v>
      </c>
      <c r="G23" s="305">
        <v>0</v>
      </c>
      <c r="H23" s="305">
        <v>0</v>
      </c>
      <c r="I23" s="305">
        <v>0</v>
      </c>
      <c r="J23" s="308">
        <v>0</v>
      </c>
      <c r="K23" s="308">
        <v>0</v>
      </c>
      <c r="L23" s="305">
        <v>0</v>
      </c>
      <c r="M23" s="305">
        <v>0</v>
      </c>
      <c r="N23" s="305">
        <v>0</v>
      </c>
      <c r="O23" s="308">
        <v>0</v>
      </c>
      <c r="P23" s="308">
        <v>0</v>
      </c>
      <c r="Q23" s="305">
        <v>0</v>
      </c>
      <c r="R23" s="308">
        <v>0</v>
      </c>
      <c r="S23" s="308">
        <v>0</v>
      </c>
      <c r="T23" s="308">
        <v>0</v>
      </c>
      <c r="U23" s="308">
        <v>0</v>
      </c>
      <c r="V23" s="380"/>
    </row>
    <row r="24" spans="1:22" ht="15.75" thickTop="1">
      <c r="A24" s="166"/>
      <c r="B24" s="167" t="s">
        <v>76</v>
      </c>
      <c r="C24" s="168">
        <v>0.82884505326605729</v>
      </c>
      <c r="D24" s="169">
        <v>0.76947094286413142</v>
      </c>
      <c r="E24" s="169">
        <v>0.6651082310609967</v>
      </c>
      <c r="F24" s="169">
        <v>0.57405520787852327</v>
      </c>
      <c r="G24" s="169">
        <v>0.24869021921879575</v>
      </c>
      <c r="H24" s="169">
        <v>0</v>
      </c>
      <c r="I24" s="169">
        <v>0</v>
      </c>
      <c r="J24" s="170">
        <v>0.70075377086792379</v>
      </c>
      <c r="K24" s="170">
        <v>0</v>
      </c>
      <c r="L24" s="169">
        <v>0</v>
      </c>
      <c r="M24" s="169">
        <v>0</v>
      </c>
      <c r="N24" s="169">
        <v>0</v>
      </c>
      <c r="O24" s="170">
        <v>0</v>
      </c>
      <c r="P24" s="170">
        <v>0</v>
      </c>
      <c r="Q24" s="169">
        <v>0</v>
      </c>
      <c r="R24" s="170">
        <v>0</v>
      </c>
      <c r="S24" s="170">
        <v>0</v>
      </c>
      <c r="T24" s="170">
        <v>0</v>
      </c>
      <c r="U24" s="170">
        <v>0.70075377086792379</v>
      </c>
      <c r="V24" s="380"/>
    </row>
    <row r="25" spans="1:22">
      <c r="A25" s="166"/>
      <c r="B25" s="167" t="s">
        <v>77</v>
      </c>
      <c r="C25" s="168">
        <v>0.8117331347821366</v>
      </c>
      <c r="D25" s="169">
        <v>0.7172151171145279</v>
      </c>
      <c r="E25" s="169">
        <v>0.67092577918647645</v>
      </c>
      <c r="F25" s="169">
        <v>0.54750832253309956</v>
      </c>
      <c r="G25" s="169">
        <v>0.23887799728547732</v>
      </c>
      <c r="H25" s="169">
        <v>0</v>
      </c>
      <c r="I25" s="169">
        <v>0</v>
      </c>
      <c r="J25" s="170">
        <v>0.69034300864681097</v>
      </c>
      <c r="K25" s="170">
        <v>0</v>
      </c>
      <c r="L25" s="169">
        <v>0</v>
      </c>
      <c r="M25" s="169">
        <v>0</v>
      </c>
      <c r="N25" s="169">
        <v>0</v>
      </c>
      <c r="O25" s="170">
        <v>0</v>
      </c>
      <c r="P25" s="170">
        <v>0</v>
      </c>
      <c r="Q25" s="169">
        <v>0</v>
      </c>
      <c r="R25" s="170">
        <v>0</v>
      </c>
      <c r="S25" s="170">
        <v>0</v>
      </c>
      <c r="T25" s="170">
        <v>0</v>
      </c>
      <c r="U25" s="170">
        <v>0.69034300864681097</v>
      </c>
      <c r="V25" s="380"/>
    </row>
    <row r="26" spans="1:22">
      <c r="A26" s="166"/>
      <c r="B26" s="199" t="s">
        <v>78</v>
      </c>
      <c r="C26" s="200">
        <v>-1.7111918483920685</v>
      </c>
      <c r="D26" s="656">
        <v>-5.2255825749603524</v>
      </c>
      <c r="E26" s="201">
        <v>0.58175481254797434</v>
      </c>
      <c r="F26" s="201">
        <v>-2.654688534542371</v>
      </c>
      <c r="G26" s="201">
        <v>-0.98122219333184324</v>
      </c>
      <c r="H26" s="201">
        <v>0</v>
      </c>
      <c r="I26" s="201">
        <v>0</v>
      </c>
      <c r="J26" s="202">
        <v>-1.0410762221112813</v>
      </c>
      <c r="K26" s="202">
        <v>0</v>
      </c>
      <c r="L26" s="201">
        <v>0</v>
      </c>
      <c r="M26" s="201">
        <v>0</v>
      </c>
      <c r="N26" s="201">
        <v>0</v>
      </c>
      <c r="O26" s="202">
        <v>0</v>
      </c>
      <c r="P26" s="202">
        <v>0</v>
      </c>
      <c r="Q26" s="201">
        <v>0</v>
      </c>
      <c r="R26" s="202">
        <v>0</v>
      </c>
      <c r="S26" s="202">
        <v>0</v>
      </c>
      <c r="T26" s="202">
        <v>0</v>
      </c>
      <c r="U26" s="202">
        <v>-1.0410762221112813</v>
      </c>
      <c r="V26" s="380"/>
    </row>
    <row r="27" spans="1:22">
      <c r="A27" s="166"/>
      <c r="B27" s="246" t="s">
        <v>79</v>
      </c>
      <c r="C27" s="297">
        <v>2.9722932494657642E-2</v>
      </c>
      <c r="D27" s="298">
        <v>1.6373865124242815E-2</v>
      </c>
      <c r="E27" s="298">
        <v>2.3949488351839754E-3</v>
      </c>
      <c r="F27" s="298">
        <v>2.8307378838597002E-2</v>
      </c>
      <c r="G27" s="298">
        <v>2.321267802713931E-3</v>
      </c>
      <c r="H27" s="298">
        <v>0</v>
      </c>
      <c r="I27" s="298">
        <v>0</v>
      </c>
      <c r="J27" s="307">
        <v>1.9058862244375484E-2</v>
      </c>
      <c r="K27" s="307">
        <v>0</v>
      </c>
      <c r="L27" s="298">
        <v>0</v>
      </c>
      <c r="M27" s="298">
        <v>0</v>
      </c>
      <c r="N27" s="298">
        <v>0</v>
      </c>
      <c r="O27" s="307">
        <v>0</v>
      </c>
      <c r="P27" s="165">
        <v>0</v>
      </c>
      <c r="Q27" s="298">
        <v>0</v>
      </c>
      <c r="R27" s="307">
        <v>0</v>
      </c>
      <c r="S27" s="307">
        <v>0</v>
      </c>
      <c r="T27" s="307">
        <v>0</v>
      </c>
      <c r="U27" s="307">
        <v>1.9058862244375484E-2</v>
      </c>
      <c r="V27" s="380"/>
    </row>
    <row r="28" spans="1:22">
      <c r="A28" s="166"/>
      <c r="B28" s="167" t="s">
        <v>80</v>
      </c>
      <c r="C28" s="168">
        <v>2.8469346073701791E-2</v>
      </c>
      <c r="D28" s="169">
        <v>2.7561431240120705E-2</v>
      </c>
      <c r="E28" s="169">
        <v>5.6127839408346542E-4</v>
      </c>
      <c r="F28" s="169">
        <v>4.8029274986658536E-3</v>
      </c>
      <c r="G28" s="169">
        <v>2.8401950434826322E-3</v>
      </c>
      <c r="H28" s="169">
        <v>0</v>
      </c>
      <c r="I28" s="169">
        <v>0</v>
      </c>
      <c r="J28" s="170">
        <v>1.7961070874288672E-2</v>
      </c>
      <c r="K28" s="170">
        <v>0</v>
      </c>
      <c r="L28" s="169">
        <v>0</v>
      </c>
      <c r="M28" s="169">
        <v>0</v>
      </c>
      <c r="N28" s="169">
        <v>0</v>
      </c>
      <c r="O28" s="170">
        <v>0</v>
      </c>
      <c r="P28" s="170">
        <v>0</v>
      </c>
      <c r="Q28" s="169">
        <v>0</v>
      </c>
      <c r="R28" s="170">
        <v>0</v>
      </c>
      <c r="S28" s="170">
        <v>0</v>
      </c>
      <c r="T28" s="170">
        <v>0</v>
      </c>
      <c r="U28" s="170">
        <v>1.7961070874288672E-2</v>
      </c>
      <c r="V28" s="380"/>
    </row>
    <row r="29" spans="1:22">
      <c r="A29" s="166"/>
      <c r="B29" s="199" t="s">
        <v>81</v>
      </c>
      <c r="C29" s="200">
        <v>-0.12535864209558512</v>
      </c>
      <c r="D29" s="201">
        <v>1.1187566115877889</v>
      </c>
      <c r="E29" s="201">
        <v>-0.183367044110051</v>
      </c>
      <c r="F29" s="201">
        <v>-2.3504451339931149</v>
      </c>
      <c r="G29" s="201">
        <v>5.1892724076870116E-2</v>
      </c>
      <c r="H29" s="201">
        <v>0</v>
      </c>
      <c r="I29" s="201">
        <v>0</v>
      </c>
      <c r="J29" s="202">
        <v>-0.10977913700868126</v>
      </c>
      <c r="K29" s="202">
        <v>0</v>
      </c>
      <c r="L29" s="201">
        <v>0</v>
      </c>
      <c r="M29" s="201">
        <v>0</v>
      </c>
      <c r="N29" s="201">
        <v>0</v>
      </c>
      <c r="O29" s="202">
        <v>0</v>
      </c>
      <c r="P29" s="202">
        <v>0</v>
      </c>
      <c r="Q29" s="201">
        <v>0</v>
      </c>
      <c r="R29" s="202">
        <v>0</v>
      </c>
      <c r="S29" s="202">
        <v>0</v>
      </c>
      <c r="T29" s="202">
        <v>0</v>
      </c>
      <c r="U29" s="202">
        <v>-0.10977913700868126</v>
      </c>
      <c r="V29" s="380"/>
    </row>
    <row r="30" spans="1:22">
      <c r="A30" s="166"/>
      <c r="B30" s="246" t="s">
        <v>82</v>
      </c>
      <c r="C30" s="297">
        <v>0.13993562919053446</v>
      </c>
      <c r="D30" s="298">
        <v>0.21073078085207408</v>
      </c>
      <c r="E30" s="298">
        <v>0.32679019560658668</v>
      </c>
      <c r="F30" s="298">
        <v>0.39763741328287971</v>
      </c>
      <c r="G30" s="298">
        <v>0.74898851297849034</v>
      </c>
      <c r="H30" s="298">
        <v>0</v>
      </c>
      <c r="I30" s="298">
        <v>0</v>
      </c>
      <c r="J30" s="307">
        <v>0.27783780176436002</v>
      </c>
      <c r="K30" s="307">
        <v>0</v>
      </c>
      <c r="L30" s="298">
        <v>0</v>
      </c>
      <c r="M30" s="298">
        <v>0</v>
      </c>
      <c r="N30" s="298">
        <v>0</v>
      </c>
      <c r="O30" s="307">
        <v>0</v>
      </c>
      <c r="P30" s="165">
        <v>0</v>
      </c>
      <c r="Q30" s="298">
        <v>0</v>
      </c>
      <c r="R30" s="307">
        <v>0</v>
      </c>
      <c r="S30" s="307">
        <v>0</v>
      </c>
      <c r="T30" s="307">
        <v>0</v>
      </c>
      <c r="U30" s="307">
        <v>0.27783780176436002</v>
      </c>
      <c r="V30" s="380"/>
    </row>
    <row r="31" spans="1:22">
      <c r="A31" s="166"/>
      <c r="B31" s="167" t="s">
        <v>83</v>
      </c>
      <c r="C31" s="168">
        <v>0.15804468436047384</v>
      </c>
      <c r="D31" s="169">
        <v>0.25210518752694355</v>
      </c>
      <c r="E31" s="169">
        <v>0.32719228737453776</v>
      </c>
      <c r="F31" s="169">
        <v>0.4476887499682346</v>
      </c>
      <c r="G31" s="169">
        <v>0.75828180767104003</v>
      </c>
      <c r="H31" s="169">
        <v>0</v>
      </c>
      <c r="I31" s="169">
        <v>0</v>
      </c>
      <c r="J31" s="170">
        <v>0.29013469071022097</v>
      </c>
      <c r="K31" s="170">
        <v>0</v>
      </c>
      <c r="L31" s="169">
        <v>0</v>
      </c>
      <c r="M31" s="169">
        <v>0</v>
      </c>
      <c r="N31" s="169">
        <v>0</v>
      </c>
      <c r="O31" s="170">
        <v>0</v>
      </c>
      <c r="P31" s="170">
        <v>0</v>
      </c>
      <c r="Q31" s="169">
        <v>0</v>
      </c>
      <c r="R31" s="170">
        <v>0</v>
      </c>
      <c r="S31" s="170">
        <v>0</v>
      </c>
      <c r="T31" s="170">
        <v>0</v>
      </c>
      <c r="U31" s="170">
        <v>0.29013469071022097</v>
      </c>
      <c r="V31" s="380"/>
    </row>
    <row r="32" spans="1:22">
      <c r="A32" s="166"/>
      <c r="B32" s="199" t="s">
        <v>84</v>
      </c>
      <c r="C32" s="200">
        <v>1.8109055169939381</v>
      </c>
      <c r="D32" s="656">
        <v>4.1374406674869473</v>
      </c>
      <c r="E32" s="201">
        <v>4.0209176795108492E-2</v>
      </c>
      <c r="F32" s="656">
        <v>5.005133668535489</v>
      </c>
      <c r="G32" s="201">
        <v>0.92932946925496918</v>
      </c>
      <c r="H32" s="201">
        <v>0</v>
      </c>
      <c r="I32" s="201">
        <v>0</v>
      </c>
      <c r="J32" s="202">
        <v>1.2296888945860951</v>
      </c>
      <c r="K32" s="202">
        <v>0</v>
      </c>
      <c r="L32" s="201">
        <v>0</v>
      </c>
      <c r="M32" s="201">
        <v>0</v>
      </c>
      <c r="N32" s="201">
        <v>0</v>
      </c>
      <c r="O32" s="202">
        <v>0</v>
      </c>
      <c r="P32" s="202">
        <v>0</v>
      </c>
      <c r="Q32" s="201">
        <v>0</v>
      </c>
      <c r="R32" s="202">
        <v>0</v>
      </c>
      <c r="S32" s="202">
        <v>0</v>
      </c>
      <c r="T32" s="202">
        <v>0</v>
      </c>
      <c r="U32" s="202">
        <v>1.2296888945860951</v>
      </c>
      <c r="V32" s="380"/>
    </row>
    <row r="33" spans="1:22">
      <c r="A33" s="166"/>
      <c r="B33" s="246" t="s">
        <v>85</v>
      </c>
      <c r="C33" s="297">
        <v>1.4963850487506498E-3</v>
      </c>
      <c r="D33" s="298">
        <v>3.424411159551661E-3</v>
      </c>
      <c r="E33" s="298">
        <v>0</v>
      </c>
      <c r="F33" s="298">
        <v>0</v>
      </c>
      <c r="G33" s="298">
        <v>0</v>
      </c>
      <c r="H33" s="298">
        <v>0</v>
      </c>
      <c r="I33" s="298">
        <v>0</v>
      </c>
      <c r="J33" s="307">
        <v>1.2035480504477636E-3</v>
      </c>
      <c r="K33" s="307">
        <v>0</v>
      </c>
      <c r="L33" s="298">
        <v>0</v>
      </c>
      <c r="M33" s="298">
        <v>0</v>
      </c>
      <c r="N33" s="298">
        <v>0</v>
      </c>
      <c r="O33" s="307">
        <v>0</v>
      </c>
      <c r="P33" s="165">
        <v>0</v>
      </c>
      <c r="Q33" s="298">
        <v>0</v>
      </c>
      <c r="R33" s="307">
        <v>0</v>
      </c>
      <c r="S33" s="307">
        <v>0</v>
      </c>
      <c r="T33" s="307">
        <v>0</v>
      </c>
      <c r="U33" s="307">
        <v>1.2035480504477636E-3</v>
      </c>
      <c r="V33" s="380"/>
    </row>
    <row r="34" spans="1:22">
      <c r="A34" s="166"/>
      <c r="B34" s="167" t="s">
        <v>86</v>
      </c>
      <c r="C34" s="168">
        <v>1.7528347836877783E-3</v>
      </c>
      <c r="D34" s="169">
        <v>3.1182641184078173E-3</v>
      </c>
      <c r="E34" s="169">
        <v>0</v>
      </c>
      <c r="F34" s="169">
        <v>0</v>
      </c>
      <c r="G34" s="169">
        <v>0</v>
      </c>
      <c r="H34" s="169">
        <v>0</v>
      </c>
      <c r="I34" s="169">
        <v>0</v>
      </c>
      <c r="J34" s="170">
        <v>1.2840883896238268E-3</v>
      </c>
      <c r="K34" s="170">
        <v>0</v>
      </c>
      <c r="L34" s="169">
        <v>0</v>
      </c>
      <c r="M34" s="169">
        <v>0</v>
      </c>
      <c r="N34" s="169">
        <v>0</v>
      </c>
      <c r="O34" s="170">
        <v>0</v>
      </c>
      <c r="P34" s="170">
        <v>0</v>
      </c>
      <c r="Q34" s="169">
        <v>0</v>
      </c>
      <c r="R34" s="170">
        <v>0</v>
      </c>
      <c r="S34" s="170">
        <v>0</v>
      </c>
      <c r="T34" s="170">
        <v>0</v>
      </c>
      <c r="U34" s="170">
        <v>1.2840883896238268E-3</v>
      </c>
      <c r="V34" s="380"/>
    </row>
    <row r="35" spans="1:22">
      <c r="A35" s="166"/>
      <c r="B35" s="199" t="s">
        <v>87</v>
      </c>
      <c r="C35" s="200">
        <v>2.5644973493712846E-2</v>
      </c>
      <c r="D35" s="201">
        <v>-3.0614704114384363E-2</v>
      </c>
      <c r="E35" s="201">
        <v>0</v>
      </c>
      <c r="F35" s="201">
        <v>0</v>
      </c>
      <c r="G35" s="201">
        <v>0</v>
      </c>
      <c r="H35" s="201">
        <v>0</v>
      </c>
      <c r="I35" s="201">
        <v>0</v>
      </c>
      <c r="J35" s="202">
        <v>8.0540339176063142E-3</v>
      </c>
      <c r="K35" s="202">
        <v>0</v>
      </c>
      <c r="L35" s="201">
        <v>0</v>
      </c>
      <c r="M35" s="201">
        <v>0</v>
      </c>
      <c r="N35" s="201">
        <v>0</v>
      </c>
      <c r="O35" s="202">
        <v>0</v>
      </c>
      <c r="P35" s="202">
        <v>0</v>
      </c>
      <c r="Q35" s="201">
        <v>0</v>
      </c>
      <c r="R35" s="202">
        <v>0</v>
      </c>
      <c r="S35" s="202">
        <v>0</v>
      </c>
      <c r="T35" s="202">
        <v>0</v>
      </c>
      <c r="U35" s="202">
        <v>8.0540339176063142E-3</v>
      </c>
      <c r="V35" s="380"/>
    </row>
    <row r="36" spans="1:22">
      <c r="A36" s="166"/>
      <c r="B36" s="246" t="s">
        <v>88</v>
      </c>
      <c r="C36" s="297">
        <v>0</v>
      </c>
      <c r="D36" s="298">
        <v>0</v>
      </c>
      <c r="E36" s="298">
        <v>5.7066244972326305E-3</v>
      </c>
      <c r="F36" s="298">
        <v>0</v>
      </c>
      <c r="G36" s="298">
        <v>0</v>
      </c>
      <c r="H36" s="298">
        <v>0</v>
      </c>
      <c r="I36" s="298">
        <v>0</v>
      </c>
      <c r="J36" s="307">
        <v>1.1460170728928992E-3</v>
      </c>
      <c r="K36" s="307">
        <v>0</v>
      </c>
      <c r="L36" s="298">
        <v>0</v>
      </c>
      <c r="M36" s="298">
        <v>0</v>
      </c>
      <c r="N36" s="298">
        <v>0</v>
      </c>
      <c r="O36" s="307">
        <v>0</v>
      </c>
      <c r="P36" s="165">
        <v>0</v>
      </c>
      <c r="Q36" s="298">
        <v>0</v>
      </c>
      <c r="R36" s="307">
        <v>0</v>
      </c>
      <c r="S36" s="307">
        <v>0</v>
      </c>
      <c r="T36" s="307">
        <v>0</v>
      </c>
      <c r="U36" s="307">
        <v>1.1460170728928992E-3</v>
      </c>
      <c r="V36" s="380"/>
    </row>
    <row r="37" spans="1:22">
      <c r="A37" s="166"/>
      <c r="B37" s="167" t="s">
        <v>89</v>
      </c>
      <c r="C37" s="168">
        <v>0</v>
      </c>
      <c r="D37" s="169">
        <v>0</v>
      </c>
      <c r="E37" s="169">
        <v>1.3206550449022716E-3</v>
      </c>
      <c r="F37" s="169">
        <v>0</v>
      </c>
      <c r="G37" s="169">
        <v>0</v>
      </c>
      <c r="H37" s="169">
        <v>0</v>
      </c>
      <c r="I37" s="169">
        <v>0</v>
      </c>
      <c r="J37" s="170">
        <v>2.7714137905550216E-4</v>
      </c>
      <c r="K37" s="170">
        <v>0</v>
      </c>
      <c r="L37" s="169">
        <v>0</v>
      </c>
      <c r="M37" s="169">
        <v>0</v>
      </c>
      <c r="N37" s="169">
        <v>0</v>
      </c>
      <c r="O37" s="170">
        <v>0</v>
      </c>
      <c r="P37" s="170">
        <v>0</v>
      </c>
      <c r="Q37" s="169">
        <v>0</v>
      </c>
      <c r="R37" s="170">
        <v>0</v>
      </c>
      <c r="S37" s="170">
        <v>0</v>
      </c>
      <c r="T37" s="170">
        <v>0</v>
      </c>
      <c r="U37" s="170">
        <v>2.7714137905550216E-4</v>
      </c>
      <c r="V37" s="380"/>
    </row>
    <row r="38" spans="1:22">
      <c r="A38" s="166"/>
      <c r="B38" s="199" t="s">
        <v>90</v>
      </c>
      <c r="C38" s="200">
        <v>0</v>
      </c>
      <c r="D38" s="201">
        <v>0</v>
      </c>
      <c r="E38" s="201">
        <v>-0.43859694523303588</v>
      </c>
      <c r="F38" s="201">
        <v>0</v>
      </c>
      <c r="G38" s="201">
        <v>0</v>
      </c>
      <c r="H38" s="201">
        <v>0</v>
      </c>
      <c r="I38" s="201">
        <v>0</v>
      </c>
      <c r="J38" s="202">
        <v>-8.6887569383739705E-2</v>
      </c>
      <c r="K38" s="202">
        <v>0</v>
      </c>
      <c r="L38" s="201">
        <v>0</v>
      </c>
      <c r="M38" s="201">
        <v>0</v>
      </c>
      <c r="N38" s="201">
        <v>0</v>
      </c>
      <c r="O38" s="202">
        <v>0</v>
      </c>
      <c r="P38" s="202">
        <v>0</v>
      </c>
      <c r="Q38" s="201">
        <v>0</v>
      </c>
      <c r="R38" s="202">
        <v>0</v>
      </c>
      <c r="S38" s="202">
        <v>0</v>
      </c>
      <c r="T38" s="202">
        <v>0</v>
      </c>
      <c r="U38" s="202">
        <v>-8.6887569383739705E-2</v>
      </c>
      <c r="V38" s="380"/>
    </row>
    <row r="39" spans="1:22">
      <c r="A39" s="166"/>
      <c r="B39" s="246" t="s">
        <v>91</v>
      </c>
      <c r="C39" s="297">
        <v>0</v>
      </c>
      <c r="D39" s="298">
        <v>0</v>
      </c>
      <c r="E39" s="298">
        <v>0</v>
      </c>
      <c r="F39" s="298">
        <v>0</v>
      </c>
      <c r="G39" s="298">
        <v>0</v>
      </c>
      <c r="H39" s="298">
        <v>0</v>
      </c>
      <c r="I39" s="298">
        <v>0</v>
      </c>
      <c r="J39" s="307">
        <v>0</v>
      </c>
      <c r="K39" s="307">
        <v>0</v>
      </c>
      <c r="L39" s="298">
        <v>0</v>
      </c>
      <c r="M39" s="298">
        <v>0</v>
      </c>
      <c r="N39" s="298">
        <v>0</v>
      </c>
      <c r="O39" s="307">
        <v>0</v>
      </c>
      <c r="P39" s="165">
        <v>0</v>
      </c>
      <c r="Q39" s="298">
        <v>0</v>
      </c>
      <c r="R39" s="307">
        <v>0</v>
      </c>
      <c r="S39" s="307">
        <v>0</v>
      </c>
      <c r="T39" s="307">
        <v>0</v>
      </c>
      <c r="U39" s="307">
        <v>0</v>
      </c>
      <c r="V39" s="380"/>
    </row>
    <row r="40" spans="1:22">
      <c r="A40" s="166"/>
      <c r="B40" s="167" t="s">
        <v>92</v>
      </c>
      <c r="C40" s="168">
        <v>0</v>
      </c>
      <c r="D40" s="169">
        <v>0</v>
      </c>
      <c r="E40" s="169">
        <v>0</v>
      </c>
      <c r="F40" s="169">
        <v>0</v>
      </c>
      <c r="G40" s="169">
        <v>0</v>
      </c>
      <c r="H40" s="169">
        <v>0</v>
      </c>
      <c r="I40" s="169">
        <v>0</v>
      </c>
      <c r="J40" s="170">
        <v>0</v>
      </c>
      <c r="K40" s="170">
        <v>0</v>
      </c>
      <c r="L40" s="169">
        <v>0</v>
      </c>
      <c r="M40" s="169">
        <v>0</v>
      </c>
      <c r="N40" s="169">
        <v>0</v>
      </c>
      <c r="O40" s="170">
        <v>0</v>
      </c>
      <c r="P40" s="170">
        <v>0</v>
      </c>
      <c r="Q40" s="169">
        <v>0</v>
      </c>
      <c r="R40" s="170">
        <v>0</v>
      </c>
      <c r="S40" s="170">
        <v>0</v>
      </c>
      <c r="T40" s="170">
        <v>0</v>
      </c>
      <c r="U40" s="170">
        <v>0</v>
      </c>
      <c r="V40" s="380"/>
    </row>
    <row r="41" spans="1:22" ht="15.75" thickBot="1">
      <c r="A41" s="310"/>
      <c r="B41" s="311" t="s">
        <v>93</v>
      </c>
      <c r="C41" s="312">
        <v>0</v>
      </c>
      <c r="D41" s="313">
        <v>0</v>
      </c>
      <c r="E41" s="313">
        <v>0</v>
      </c>
      <c r="F41" s="313">
        <v>0</v>
      </c>
      <c r="G41" s="313">
        <v>0</v>
      </c>
      <c r="H41" s="313">
        <v>0</v>
      </c>
      <c r="I41" s="313">
        <v>0</v>
      </c>
      <c r="J41" s="314">
        <v>0</v>
      </c>
      <c r="K41" s="314">
        <v>0</v>
      </c>
      <c r="L41" s="313">
        <v>0</v>
      </c>
      <c r="M41" s="313">
        <v>0</v>
      </c>
      <c r="N41" s="313">
        <v>0</v>
      </c>
      <c r="O41" s="314">
        <v>0</v>
      </c>
      <c r="P41" s="314">
        <v>0</v>
      </c>
      <c r="Q41" s="313">
        <v>0</v>
      </c>
      <c r="R41" s="314">
        <v>0</v>
      </c>
      <c r="S41" s="314">
        <v>0</v>
      </c>
      <c r="T41" s="314">
        <v>0</v>
      </c>
      <c r="U41" s="314">
        <v>0</v>
      </c>
      <c r="V41" s="380"/>
    </row>
    <row r="42" spans="1:22">
      <c r="A42" s="299" t="s">
        <v>40</v>
      </c>
      <c r="B42" s="167" t="s">
        <v>59</v>
      </c>
      <c r="C42" s="168">
        <v>0.91245171816728821</v>
      </c>
      <c r="D42" s="169">
        <v>0.62089430194525741</v>
      </c>
      <c r="E42" s="169">
        <v>0.77661861026843593</v>
      </c>
      <c r="F42" s="169">
        <v>0.84030589037980441</v>
      </c>
      <c r="G42" s="169">
        <v>0.78504372709619963</v>
      </c>
      <c r="H42" s="169">
        <v>0.85301748404546407</v>
      </c>
      <c r="I42" s="169">
        <v>1</v>
      </c>
      <c r="J42" s="170">
        <v>0.81499671602692103</v>
      </c>
      <c r="K42" s="170">
        <v>0</v>
      </c>
      <c r="L42" s="169">
        <v>0.65034815902237741</v>
      </c>
      <c r="M42" s="169">
        <v>0.72881761608425089</v>
      </c>
      <c r="N42" s="169">
        <v>0.67800985077982812</v>
      </c>
      <c r="O42" s="170">
        <v>0.67566079834828996</v>
      </c>
      <c r="P42" s="170">
        <v>0</v>
      </c>
      <c r="Q42" s="169">
        <v>0</v>
      </c>
      <c r="R42" s="170">
        <v>0</v>
      </c>
      <c r="S42" s="170">
        <v>0</v>
      </c>
      <c r="T42" s="170">
        <v>0</v>
      </c>
      <c r="U42" s="170">
        <v>0.76397506797630965</v>
      </c>
      <c r="V42" s="380"/>
    </row>
    <row r="43" spans="1:22">
      <c r="A43" s="166"/>
      <c r="B43" s="167" t="s">
        <v>60</v>
      </c>
      <c r="C43" s="168">
        <v>0.88802610975301632</v>
      </c>
      <c r="D43" s="169">
        <v>0.61267628464905166</v>
      </c>
      <c r="E43" s="169">
        <v>0.76643511147790266</v>
      </c>
      <c r="F43" s="169">
        <v>0.83453363780080803</v>
      </c>
      <c r="G43" s="169">
        <v>0.74290198111034322</v>
      </c>
      <c r="H43" s="169">
        <v>0.82640521789705457</v>
      </c>
      <c r="I43" s="169">
        <v>1</v>
      </c>
      <c r="J43" s="170">
        <v>0.80042813562738568</v>
      </c>
      <c r="K43" s="170">
        <v>0</v>
      </c>
      <c r="L43" s="169">
        <v>0.64663156533059574</v>
      </c>
      <c r="M43" s="169">
        <v>0.73029137749805773</v>
      </c>
      <c r="N43" s="169">
        <v>0.65654452661317519</v>
      </c>
      <c r="O43" s="170">
        <v>0.66336891850180413</v>
      </c>
      <c r="P43" s="170">
        <v>0</v>
      </c>
      <c r="Q43" s="169">
        <v>0</v>
      </c>
      <c r="R43" s="170">
        <v>0</v>
      </c>
      <c r="S43" s="170">
        <v>0</v>
      </c>
      <c r="T43" s="170">
        <v>0</v>
      </c>
      <c r="U43" s="170">
        <v>0.7527466339173996</v>
      </c>
      <c r="V43" s="380"/>
    </row>
    <row r="44" spans="1:22">
      <c r="A44" s="166"/>
      <c r="B44" s="199" t="s">
        <v>236</v>
      </c>
      <c r="C44" s="200">
        <v>-2.4425608414271882</v>
      </c>
      <c r="D44" s="201">
        <v>-0.82180172962057485</v>
      </c>
      <c r="E44" s="201">
        <v>-1.0183498790533263</v>
      </c>
      <c r="F44" s="201">
        <v>-0.57722525789963841</v>
      </c>
      <c r="G44" s="201">
        <v>-4.2141745985856405</v>
      </c>
      <c r="H44" s="201">
        <v>-2.6612266148409502</v>
      </c>
      <c r="I44" s="201">
        <v>0</v>
      </c>
      <c r="J44" s="202">
        <v>-1.4568580399535347</v>
      </c>
      <c r="K44" s="202">
        <v>0</v>
      </c>
      <c r="L44" s="201">
        <v>-0.37165936917816778</v>
      </c>
      <c r="M44" s="201">
        <v>0.147376141380684</v>
      </c>
      <c r="N44" s="201">
        <v>-2.1465324166652922</v>
      </c>
      <c r="O44" s="202">
        <v>-1.2291879846485831</v>
      </c>
      <c r="P44" s="202">
        <v>0</v>
      </c>
      <c r="Q44" s="201">
        <v>0</v>
      </c>
      <c r="R44" s="202">
        <v>0</v>
      </c>
      <c r="S44" s="202">
        <v>0</v>
      </c>
      <c r="T44" s="202">
        <v>0</v>
      </c>
      <c r="U44" s="202">
        <v>-1.1228434058910053</v>
      </c>
      <c r="V44" s="380"/>
    </row>
    <row r="45" spans="1:22">
      <c r="A45" s="166"/>
      <c r="B45" s="246" t="s">
        <v>61</v>
      </c>
      <c r="C45" s="297">
        <v>1.4825852424080981E-2</v>
      </c>
      <c r="D45" s="298">
        <v>9.3690824582544324E-2</v>
      </c>
      <c r="E45" s="298">
        <v>4.3158158327877318E-2</v>
      </c>
      <c r="F45" s="298">
        <v>1.7654082328860586E-2</v>
      </c>
      <c r="G45" s="298">
        <v>1.781203918648621E-2</v>
      </c>
      <c r="H45" s="298">
        <v>8.8857218221832027E-3</v>
      </c>
      <c r="I45" s="298">
        <v>0</v>
      </c>
      <c r="J45" s="307">
        <v>3.3192663528647949E-2</v>
      </c>
      <c r="K45" s="307">
        <v>0</v>
      </c>
      <c r="L45" s="298">
        <v>5.3649718298682751E-2</v>
      </c>
      <c r="M45" s="298">
        <v>6.4384873145045471E-2</v>
      </c>
      <c r="N45" s="298">
        <v>0.10537630161252587</v>
      </c>
      <c r="O45" s="307">
        <v>8.2885232941422443E-2</v>
      </c>
      <c r="P45" s="165">
        <v>0</v>
      </c>
      <c r="Q45" s="298">
        <v>0</v>
      </c>
      <c r="R45" s="307">
        <v>0</v>
      </c>
      <c r="S45" s="307">
        <v>0</v>
      </c>
      <c r="T45" s="307">
        <v>0</v>
      </c>
      <c r="U45" s="307">
        <v>5.1388953685195221E-2</v>
      </c>
      <c r="V45" s="380"/>
    </row>
    <row r="46" spans="1:22">
      <c r="A46" s="166"/>
      <c r="B46" s="167" t="s">
        <v>62</v>
      </c>
      <c r="C46" s="168">
        <v>1.5447948668843553E-2</v>
      </c>
      <c r="D46" s="169">
        <v>8.2342588518630022E-2</v>
      </c>
      <c r="E46" s="169">
        <v>4.3654109833839112E-2</v>
      </c>
      <c r="F46" s="169">
        <v>2.014358323464583E-2</v>
      </c>
      <c r="G46" s="169">
        <v>5.5949090071412119E-2</v>
      </c>
      <c r="H46" s="169">
        <v>9.758630717460845E-3</v>
      </c>
      <c r="I46" s="169">
        <v>0</v>
      </c>
      <c r="J46" s="170">
        <v>3.3480982081047661E-2</v>
      </c>
      <c r="K46" s="170">
        <v>0</v>
      </c>
      <c r="L46" s="169">
        <v>5.8423632575434384E-2</v>
      </c>
      <c r="M46" s="169">
        <v>6.6149155507968321E-2</v>
      </c>
      <c r="N46" s="169">
        <v>0.10994896372463327</v>
      </c>
      <c r="O46" s="170">
        <v>8.7393874242085584E-2</v>
      </c>
      <c r="P46" s="170">
        <v>0</v>
      </c>
      <c r="Q46" s="169">
        <v>0</v>
      </c>
      <c r="R46" s="170">
        <v>0</v>
      </c>
      <c r="S46" s="170">
        <v>0</v>
      </c>
      <c r="T46" s="170">
        <v>0</v>
      </c>
      <c r="U46" s="170">
        <v>5.2236726595562492E-2</v>
      </c>
      <c r="V46" s="380"/>
    </row>
    <row r="47" spans="1:22">
      <c r="A47" s="166"/>
      <c r="B47" s="199" t="s">
        <v>63</v>
      </c>
      <c r="C47" s="200">
        <v>6.2209624476257212E-2</v>
      </c>
      <c r="D47" s="201">
        <v>-1.1348236063914303</v>
      </c>
      <c r="E47" s="201">
        <v>4.9595150596179471E-2</v>
      </c>
      <c r="F47" s="201">
        <v>0.24895009057852441</v>
      </c>
      <c r="G47" s="201">
        <v>3.8137050884925907</v>
      </c>
      <c r="H47" s="201">
        <v>8.7290889527764232E-2</v>
      </c>
      <c r="I47" s="201">
        <v>0</v>
      </c>
      <c r="J47" s="202">
        <v>2.8831855239971199E-2</v>
      </c>
      <c r="K47" s="202">
        <v>0</v>
      </c>
      <c r="L47" s="201">
        <v>0.47739142767516329</v>
      </c>
      <c r="M47" s="201">
        <v>0.17642823629228505</v>
      </c>
      <c r="N47" s="201">
        <v>0.45726621121073979</v>
      </c>
      <c r="O47" s="202">
        <v>0.45086413006631409</v>
      </c>
      <c r="P47" s="202">
        <v>0</v>
      </c>
      <c r="Q47" s="201">
        <v>0</v>
      </c>
      <c r="R47" s="202">
        <v>0</v>
      </c>
      <c r="S47" s="202">
        <v>0</v>
      </c>
      <c r="T47" s="202">
        <v>0</v>
      </c>
      <c r="U47" s="202">
        <v>8.4777291036727126E-2</v>
      </c>
      <c r="V47" s="380"/>
    </row>
    <row r="48" spans="1:22">
      <c r="A48" s="166"/>
      <c r="B48" s="246" t="s">
        <v>64</v>
      </c>
      <c r="C48" s="297">
        <v>6.1244672349493871E-2</v>
      </c>
      <c r="D48" s="298">
        <v>0.28541487347219829</v>
      </c>
      <c r="E48" s="298">
        <v>0.1746150575555144</v>
      </c>
      <c r="F48" s="298">
        <v>0.14086308846941095</v>
      </c>
      <c r="G48" s="298">
        <v>0.1505409311900486</v>
      </c>
      <c r="H48" s="298">
        <v>0.13652594654393846</v>
      </c>
      <c r="I48" s="298">
        <v>0</v>
      </c>
      <c r="J48" s="307">
        <v>0.14473686693869539</v>
      </c>
      <c r="K48" s="307">
        <v>0</v>
      </c>
      <c r="L48" s="298">
        <v>0.29561279955562608</v>
      </c>
      <c r="M48" s="298">
        <v>0.20679751077070369</v>
      </c>
      <c r="N48" s="298">
        <v>0.19775546851973955</v>
      </c>
      <c r="O48" s="307">
        <v>0.23118795061857456</v>
      </c>
      <c r="P48" s="165">
        <v>0</v>
      </c>
      <c r="Q48" s="298">
        <v>0</v>
      </c>
      <c r="R48" s="307">
        <v>0</v>
      </c>
      <c r="S48" s="307">
        <v>0</v>
      </c>
      <c r="T48" s="307">
        <v>0</v>
      </c>
      <c r="U48" s="307">
        <v>0.17639329005338816</v>
      </c>
      <c r="V48" s="380"/>
    </row>
    <row r="49" spans="1:22">
      <c r="A49" s="166"/>
      <c r="B49" s="167" t="s">
        <v>65</v>
      </c>
      <c r="C49" s="168">
        <v>8.9557547189548378E-2</v>
      </c>
      <c r="D49" s="169">
        <v>0.30498112683231826</v>
      </c>
      <c r="E49" s="169">
        <v>0.18435995243262915</v>
      </c>
      <c r="F49" s="169">
        <v>0.14493180646294543</v>
      </c>
      <c r="G49" s="169">
        <v>0.17998445058742224</v>
      </c>
      <c r="H49" s="169">
        <v>0.16287649038261809</v>
      </c>
      <c r="I49" s="169">
        <v>0</v>
      </c>
      <c r="J49" s="170">
        <v>0.16118350542196297</v>
      </c>
      <c r="K49" s="170">
        <v>0</v>
      </c>
      <c r="L49" s="169">
        <v>0.2946530554951573</v>
      </c>
      <c r="M49" s="169">
        <v>0.20355946699397398</v>
      </c>
      <c r="N49" s="169">
        <v>0.21617905581253744</v>
      </c>
      <c r="O49" s="170">
        <v>0.2397537421192866</v>
      </c>
      <c r="P49" s="170">
        <v>0</v>
      </c>
      <c r="Q49" s="169">
        <v>0</v>
      </c>
      <c r="R49" s="170">
        <v>0</v>
      </c>
      <c r="S49" s="170">
        <v>0</v>
      </c>
      <c r="T49" s="170">
        <v>0</v>
      </c>
      <c r="U49" s="170">
        <v>0.1885172882496062</v>
      </c>
      <c r="V49" s="380"/>
    </row>
    <row r="50" spans="1:22">
      <c r="A50" s="166"/>
      <c r="B50" s="199" t="s">
        <v>66</v>
      </c>
      <c r="C50" s="200">
        <v>2.8312874840054505</v>
      </c>
      <c r="D50" s="201">
        <v>1.9566253360119967</v>
      </c>
      <c r="E50" s="201">
        <v>0.97448948771147459</v>
      </c>
      <c r="F50" s="201">
        <v>0.40687179935344764</v>
      </c>
      <c r="G50" s="201">
        <v>2.9443519397373636</v>
      </c>
      <c r="H50" s="201">
        <v>2.635054383867963</v>
      </c>
      <c r="I50" s="201">
        <v>0</v>
      </c>
      <c r="J50" s="202">
        <v>1.6446638483267577</v>
      </c>
      <c r="K50" s="202">
        <v>0</v>
      </c>
      <c r="L50" s="201">
        <v>-9.5974406046878125E-2</v>
      </c>
      <c r="M50" s="201">
        <v>-0.32380437767297043</v>
      </c>
      <c r="N50" s="201">
        <v>1.8423587292797889</v>
      </c>
      <c r="O50" s="202">
        <v>0.85657915007120444</v>
      </c>
      <c r="P50" s="202">
        <v>0</v>
      </c>
      <c r="Q50" s="201">
        <v>0</v>
      </c>
      <c r="R50" s="202">
        <v>0</v>
      </c>
      <c r="S50" s="202">
        <v>0</v>
      </c>
      <c r="T50" s="202">
        <v>0</v>
      </c>
      <c r="U50" s="202">
        <v>1.2123998196218038</v>
      </c>
      <c r="V50" s="380"/>
    </row>
    <row r="51" spans="1:22">
      <c r="A51" s="166"/>
      <c r="B51" s="246" t="s">
        <v>67</v>
      </c>
      <c r="C51" s="297">
        <v>1.4567794352690463E-3</v>
      </c>
      <c r="D51" s="298">
        <v>0</v>
      </c>
      <c r="E51" s="298">
        <v>3.9883245645839912E-3</v>
      </c>
      <c r="F51" s="298">
        <v>1.176938821924039E-3</v>
      </c>
      <c r="G51" s="298">
        <v>4.6603302527265557E-2</v>
      </c>
      <c r="H51" s="298">
        <v>1.5708475884143101E-3</v>
      </c>
      <c r="I51" s="298">
        <v>0</v>
      </c>
      <c r="J51" s="307">
        <v>3.6477580278043054E-3</v>
      </c>
      <c r="K51" s="307">
        <v>0</v>
      </c>
      <c r="L51" s="298">
        <v>3.8932312331375972E-4</v>
      </c>
      <c r="M51" s="298">
        <v>0</v>
      </c>
      <c r="N51" s="298">
        <v>1.870037768412481E-2</v>
      </c>
      <c r="O51" s="307">
        <v>1.0181080471861146E-2</v>
      </c>
      <c r="P51" s="165">
        <v>0</v>
      </c>
      <c r="Q51" s="298">
        <v>0</v>
      </c>
      <c r="R51" s="307">
        <v>0</v>
      </c>
      <c r="S51" s="307">
        <v>0</v>
      </c>
      <c r="T51" s="307">
        <v>0</v>
      </c>
      <c r="U51" s="307">
        <v>6.0401123029644012E-3</v>
      </c>
      <c r="V51" s="380"/>
    </row>
    <row r="52" spans="1:22">
      <c r="A52" s="166"/>
      <c r="B52" s="167" t="s">
        <v>68</v>
      </c>
      <c r="C52" s="168">
        <v>1.1748101394161677E-3</v>
      </c>
      <c r="D52" s="169">
        <v>0</v>
      </c>
      <c r="E52" s="169">
        <v>3.4518835249241326E-3</v>
      </c>
      <c r="F52" s="169">
        <v>3.9097250160072077E-4</v>
      </c>
      <c r="G52" s="169">
        <v>2.1164478230822389E-2</v>
      </c>
      <c r="H52" s="169">
        <v>9.5966100286651985E-4</v>
      </c>
      <c r="I52" s="169">
        <v>0</v>
      </c>
      <c r="J52" s="170">
        <v>2.4397295477462549E-3</v>
      </c>
      <c r="K52" s="170">
        <v>0</v>
      </c>
      <c r="L52" s="169">
        <v>2.917465988126464E-4</v>
      </c>
      <c r="M52" s="169">
        <v>0</v>
      </c>
      <c r="N52" s="169">
        <v>1.7219423247530848E-2</v>
      </c>
      <c r="O52" s="170">
        <v>9.4249252285717334E-3</v>
      </c>
      <c r="P52" s="170">
        <v>0</v>
      </c>
      <c r="Q52" s="169">
        <v>0</v>
      </c>
      <c r="R52" s="170">
        <v>0</v>
      </c>
      <c r="S52" s="170">
        <v>0</v>
      </c>
      <c r="T52" s="170">
        <v>0</v>
      </c>
      <c r="U52" s="170">
        <v>4.8698077780537736E-3</v>
      </c>
      <c r="V52" s="380"/>
    </row>
    <row r="53" spans="1:22">
      <c r="A53" s="166"/>
      <c r="B53" s="199" t="s">
        <v>69</v>
      </c>
      <c r="C53" s="200">
        <v>-2.8196929585287862E-2</v>
      </c>
      <c r="D53" s="201">
        <v>0</v>
      </c>
      <c r="E53" s="201">
        <v>-5.3644103965985866E-2</v>
      </c>
      <c r="F53" s="201">
        <v>-7.8596632032331831E-2</v>
      </c>
      <c r="G53" s="201">
        <v>-2.5438824296443165</v>
      </c>
      <c r="H53" s="201">
        <v>-6.1118658554779028E-2</v>
      </c>
      <c r="I53" s="201">
        <v>0</v>
      </c>
      <c r="J53" s="202">
        <v>-0.12080284800580504</v>
      </c>
      <c r="K53" s="202">
        <v>0</v>
      </c>
      <c r="L53" s="201">
        <v>-9.7576524501113322E-3</v>
      </c>
      <c r="M53" s="201">
        <v>0</v>
      </c>
      <c r="N53" s="201">
        <v>-0.1480954436593962</v>
      </c>
      <c r="O53" s="202">
        <v>-7.5615524328941253E-2</v>
      </c>
      <c r="P53" s="202">
        <v>0</v>
      </c>
      <c r="Q53" s="201">
        <v>0</v>
      </c>
      <c r="R53" s="202">
        <v>0</v>
      </c>
      <c r="S53" s="202">
        <v>0</v>
      </c>
      <c r="T53" s="202">
        <v>0</v>
      </c>
      <c r="U53" s="202">
        <v>-0.11703045249106275</v>
      </c>
      <c r="V53" s="380"/>
    </row>
    <row r="54" spans="1:22">
      <c r="A54" s="166"/>
      <c r="B54" s="246" t="s">
        <v>70</v>
      </c>
      <c r="C54" s="297">
        <v>4.495205114544486E-5</v>
      </c>
      <c r="D54" s="298">
        <v>0</v>
      </c>
      <c r="E54" s="298">
        <v>1.126851675539754E-3</v>
      </c>
      <c r="F54" s="298">
        <v>0</v>
      </c>
      <c r="G54" s="298">
        <v>0</v>
      </c>
      <c r="H54" s="298">
        <v>0</v>
      </c>
      <c r="I54" s="298">
        <v>0</v>
      </c>
      <c r="J54" s="307">
        <v>4.2040517433367434E-4</v>
      </c>
      <c r="K54" s="307">
        <v>0</v>
      </c>
      <c r="L54" s="298">
        <v>0</v>
      </c>
      <c r="M54" s="298">
        <v>0</v>
      </c>
      <c r="N54" s="298">
        <v>7.5962213356587892E-5</v>
      </c>
      <c r="O54" s="307">
        <v>4.0835394159558587E-5</v>
      </c>
      <c r="P54" s="165">
        <v>0</v>
      </c>
      <c r="Q54" s="298">
        <v>0</v>
      </c>
      <c r="R54" s="307">
        <v>0</v>
      </c>
      <c r="S54" s="307">
        <v>0</v>
      </c>
      <c r="T54" s="307">
        <v>0</v>
      </c>
      <c r="U54" s="307">
        <v>2.8141534272859835E-4</v>
      </c>
      <c r="V54" s="380"/>
    </row>
    <row r="55" spans="1:22">
      <c r="A55" s="166"/>
      <c r="B55" s="167" t="s">
        <v>71</v>
      </c>
      <c r="C55" s="168">
        <v>0</v>
      </c>
      <c r="D55" s="169">
        <v>0</v>
      </c>
      <c r="E55" s="169">
        <v>1.8844996653388526E-3</v>
      </c>
      <c r="F55" s="169">
        <v>0</v>
      </c>
      <c r="G55" s="169">
        <v>0</v>
      </c>
      <c r="H55" s="169">
        <v>0</v>
      </c>
      <c r="I55" s="169">
        <v>0</v>
      </c>
      <c r="J55" s="170">
        <v>6.8611478747712749E-4</v>
      </c>
      <c r="K55" s="170">
        <v>0</v>
      </c>
      <c r="L55" s="169">
        <v>0</v>
      </c>
      <c r="M55" s="169">
        <v>0</v>
      </c>
      <c r="N55" s="169">
        <v>6.8746746805731508E-5</v>
      </c>
      <c r="O55" s="170">
        <v>3.7252668887635305E-5</v>
      </c>
      <c r="P55" s="170">
        <v>0</v>
      </c>
      <c r="Q55" s="169">
        <v>0</v>
      </c>
      <c r="R55" s="170">
        <v>0</v>
      </c>
      <c r="S55" s="170">
        <v>0</v>
      </c>
      <c r="T55" s="170">
        <v>0</v>
      </c>
      <c r="U55" s="170">
        <v>4.6038228392195101E-4</v>
      </c>
      <c r="V55" s="380"/>
    </row>
    <row r="56" spans="1:22">
      <c r="A56" s="166"/>
      <c r="B56" s="199" t="s">
        <v>72</v>
      </c>
      <c r="C56" s="200">
        <v>-4.4952051145444863E-3</v>
      </c>
      <c r="D56" s="201">
        <v>0</v>
      </c>
      <c r="E56" s="201">
        <v>7.5764798979909856E-2</v>
      </c>
      <c r="F56" s="201">
        <v>0</v>
      </c>
      <c r="G56" s="201">
        <v>0</v>
      </c>
      <c r="H56" s="201">
        <v>0</v>
      </c>
      <c r="I56" s="201">
        <v>0</v>
      </c>
      <c r="J56" s="202">
        <v>2.6570961314345314E-2</v>
      </c>
      <c r="K56" s="202">
        <v>0</v>
      </c>
      <c r="L56" s="201">
        <v>0</v>
      </c>
      <c r="M56" s="201">
        <v>0</v>
      </c>
      <c r="N56" s="201">
        <v>-7.215466550856384E-4</v>
      </c>
      <c r="O56" s="202">
        <v>-3.5827252719232823E-4</v>
      </c>
      <c r="P56" s="202">
        <v>0</v>
      </c>
      <c r="Q56" s="201">
        <v>0</v>
      </c>
      <c r="R56" s="202">
        <v>0</v>
      </c>
      <c r="S56" s="202">
        <v>0</v>
      </c>
      <c r="T56" s="202">
        <v>0</v>
      </c>
      <c r="U56" s="202">
        <v>1.7896694119335265E-2</v>
      </c>
      <c r="V56" s="380"/>
    </row>
    <row r="57" spans="1:22">
      <c r="A57" s="166"/>
      <c r="B57" s="246" t="s">
        <v>73</v>
      </c>
      <c r="C57" s="297">
        <v>9.9760255727224297E-3</v>
      </c>
      <c r="D57" s="298">
        <v>0</v>
      </c>
      <c r="E57" s="298">
        <v>4.9299760804864248E-4</v>
      </c>
      <c r="F57" s="298">
        <v>0</v>
      </c>
      <c r="G57" s="298">
        <v>0</v>
      </c>
      <c r="H57" s="298">
        <v>0</v>
      </c>
      <c r="I57" s="298">
        <v>0</v>
      </c>
      <c r="J57" s="307">
        <v>3.005590303597649E-3</v>
      </c>
      <c r="K57" s="307">
        <v>0</v>
      </c>
      <c r="L57" s="298">
        <v>0</v>
      </c>
      <c r="M57" s="298">
        <v>0</v>
      </c>
      <c r="N57" s="298">
        <v>8.2039190425114931E-5</v>
      </c>
      <c r="O57" s="307">
        <v>4.4102225692323275E-5</v>
      </c>
      <c r="P57" s="165">
        <v>0</v>
      </c>
      <c r="Q57" s="298">
        <v>0</v>
      </c>
      <c r="R57" s="307">
        <v>0</v>
      </c>
      <c r="S57" s="307">
        <v>0</v>
      </c>
      <c r="T57" s="307">
        <v>0</v>
      </c>
      <c r="U57" s="307">
        <v>1.9211606394139383E-3</v>
      </c>
      <c r="V57" s="380"/>
    </row>
    <row r="58" spans="1:22">
      <c r="A58" s="166"/>
      <c r="B58" s="167" t="s">
        <v>74</v>
      </c>
      <c r="C58" s="168">
        <v>5.7935842491756212E-3</v>
      </c>
      <c r="D58" s="169">
        <v>0</v>
      </c>
      <c r="E58" s="169">
        <v>2.1444306536614528E-4</v>
      </c>
      <c r="F58" s="169">
        <v>0</v>
      </c>
      <c r="G58" s="169">
        <v>0</v>
      </c>
      <c r="H58" s="169">
        <v>0</v>
      </c>
      <c r="I58" s="169">
        <v>0</v>
      </c>
      <c r="J58" s="170">
        <v>1.7815325343802657E-3</v>
      </c>
      <c r="K58" s="170">
        <v>0</v>
      </c>
      <c r="L58" s="169">
        <v>0</v>
      </c>
      <c r="M58" s="169">
        <v>0</v>
      </c>
      <c r="N58" s="169">
        <v>3.9283855317560867E-5</v>
      </c>
      <c r="O58" s="170">
        <v>2.1287239364363032E-5</v>
      </c>
      <c r="P58" s="170">
        <v>0</v>
      </c>
      <c r="Q58" s="169">
        <v>0</v>
      </c>
      <c r="R58" s="170">
        <v>0</v>
      </c>
      <c r="S58" s="170">
        <v>0</v>
      </c>
      <c r="T58" s="170">
        <v>0</v>
      </c>
      <c r="U58" s="170">
        <v>1.1691611754559466E-3</v>
      </c>
      <c r="V58" s="380"/>
    </row>
    <row r="59" spans="1:22" ht="15.75" thickBot="1">
      <c r="A59" s="166"/>
      <c r="B59" s="303" t="s">
        <v>75</v>
      </c>
      <c r="C59" s="304">
        <v>-0.41824413235468083</v>
      </c>
      <c r="D59" s="305">
        <v>0</v>
      </c>
      <c r="E59" s="305">
        <v>-2.7855454268249723E-2</v>
      </c>
      <c r="F59" s="305">
        <v>0</v>
      </c>
      <c r="G59" s="305">
        <v>0</v>
      </c>
      <c r="H59" s="305">
        <v>0</v>
      </c>
      <c r="I59" s="305">
        <v>0</v>
      </c>
      <c r="J59" s="308">
        <v>-0.12240577692173833</v>
      </c>
      <c r="K59" s="308">
        <v>0</v>
      </c>
      <c r="L59" s="305">
        <v>0</v>
      </c>
      <c r="M59" s="305">
        <v>0</v>
      </c>
      <c r="N59" s="305">
        <v>-4.2755335107554065E-3</v>
      </c>
      <c r="O59" s="308">
        <v>-2.2814986327960242E-3</v>
      </c>
      <c r="P59" s="308">
        <v>0</v>
      </c>
      <c r="Q59" s="305">
        <v>0</v>
      </c>
      <c r="R59" s="308">
        <v>0</v>
      </c>
      <c r="S59" s="308">
        <v>0</v>
      </c>
      <c r="T59" s="308">
        <v>0</v>
      </c>
      <c r="U59" s="308">
        <v>-7.5199946395799175E-2</v>
      </c>
      <c r="V59" s="380"/>
    </row>
    <row r="60" spans="1:22" ht="15.75" thickTop="1">
      <c r="A60" s="166"/>
      <c r="B60" s="167" t="s">
        <v>76</v>
      </c>
      <c r="C60" s="168">
        <v>0.75240991803701218</v>
      </c>
      <c r="D60" s="169">
        <v>0.48640071516370542</v>
      </c>
      <c r="E60" s="169">
        <v>0.41710382245755095</v>
      </c>
      <c r="F60" s="169">
        <v>0.4031145154143192</v>
      </c>
      <c r="G60" s="169">
        <v>0.42323651452282157</v>
      </c>
      <c r="H60" s="169">
        <v>0.69259962049335866</v>
      </c>
      <c r="I60" s="169">
        <v>1</v>
      </c>
      <c r="J60" s="170">
        <v>0.61016891060294942</v>
      </c>
      <c r="K60" s="170">
        <v>0</v>
      </c>
      <c r="L60" s="169">
        <v>0</v>
      </c>
      <c r="M60" s="169">
        <v>0</v>
      </c>
      <c r="N60" s="169">
        <v>0</v>
      </c>
      <c r="O60" s="170">
        <v>0</v>
      </c>
      <c r="P60" s="170">
        <v>0</v>
      </c>
      <c r="Q60" s="169">
        <v>0</v>
      </c>
      <c r="R60" s="170">
        <v>0</v>
      </c>
      <c r="S60" s="170">
        <v>0</v>
      </c>
      <c r="T60" s="170">
        <v>0</v>
      </c>
      <c r="U60" s="170">
        <v>0.61016891060294942</v>
      </c>
      <c r="V60" s="380"/>
    </row>
    <row r="61" spans="1:22">
      <c r="A61" s="166"/>
      <c r="B61" s="167" t="s">
        <v>77</v>
      </c>
      <c r="C61" s="168">
        <v>0.72800311816330121</v>
      </c>
      <c r="D61" s="169">
        <v>0.49512132344338627</v>
      </c>
      <c r="E61" s="169">
        <v>0.39606707973493455</v>
      </c>
      <c r="F61" s="169">
        <v>0.31049371128214753</v>
      </c>
      <c r="G61" s="169">
        <v>0.17082477252714998</v>
      </c>
      <c r="H61" s="169">
        <v>0.7646276595744681</v>
      </c>
      <c r="I61" s="169">
        <v>1</v>
      </c>
      <c r="J61" s="170">
        <v>0.59359919417609086</v>
      </c>
      <c r="K61" s="170">
        <v>0</v>
      </c>
      <c r="L61" s="169">
        <v>0</v>
      </c>
      <c r="M61" s="169">
        <v>0</v>
      </c>
      <c r="N61" s="169">
        <v>0</v>
      </c>
      <c r="O61" s="170">
        <v>0</v>
      </c>
      <c r="P61" s="170">
        <v>0</v>
      </c>
      <c r="Q61" s="169">
        <v>0</v>
      </c>
      <c r="R61" s="170">
        <v>0</v>
      </c>
      <c r="S61" s="170">
        <v>0</v>
      </c>
      <c r="T61" s="170">
        <v>0</v>
      </c>
      <c r="U61" s="170">
        <v>0.59359919417609086</v>
      </c>
      <c r="V61" s="380"/>
    </row>
    <row r="62" spans="1:22">
      <c r="A62" s="166"/>
      <c r="B62" s="199" t="s">
        <v>78</v>
      </c>
      <c r="C62" s="200">
        <v>-2.4406799873710971</v>
      </c>
      <c r="D62" s="201">
        <v>0.87206082796808526</v>
      </c>
      <c r="E62" s="201">
        <v>-2.1036742722616406</v>
      </c>
      <c r="F62" s="656">
        <v>-9.2620804132171664</v>
      </c>
      <c r="G62" s="656">
        <v>-25.241174199567162</v>
      </c>
      <c r="H62" s="656">
        <v>7.2028039081109441</v>
      </c>
      <c r="I62" s="201">
        <v>0</v>
      </c>
      <c r="J62" s="202">
        <v>-1.6569716426858561</v>
      </c>
      <c r="K62" s="202">
        <v>0</v>
      </c>
      <c r="L62" s="201">
        <v>0</v>
      </c>
      <c r="M62" s="201">
        <v>0</v>
      </c>
      <c r="N62" s="201">
        <v>0</v>
      </c>
      <c r="O62" s="202">
        <v>0</v>
      </c>
      <c r="P62" s="202">
        <v>0</v>
      </c>
      <c r="Q62" s="201">
        <v>0</v>
      </c>
      <c r="R62" s="202">
        <v>0</v>
      </c>
      <c r="S62" s="202">
        <v>0</v>
      </c>
      <c r="T62" s="202">
        <v>0</v>
      </c>
      <c r="U62" s="202">
        <v>-1.6569716426858561</v>
      </c>
      <c r="V62" s="380"/>
    </row>
    <row r="63" spans="1:22">
      <c r="A63" s="166"/>
      <c r="B63" s="246" t="s">
        <v>79</v>
      </c>
      <c r="C63" s="297">
        <v>4.1329449971648023E-2</v>
      </c>
      <c r="D63" s="298">
        <v>0.27842217007486869</v>
      </c>
      <c r="E63" s="298">
        <v>9.4213201287771074E-3</v>
      </c>
      <c r="F63" s="298">
        <v>9.7233651959232767E-2</v>
      </c>
      <c r="G63" s="298">
        <v>0</v>
      </c>
      <c r="H63" s="298">
        <v>0</v>
      </c>
      <c r="I63" s="298">
        <v>0</v>
      </c>
      <c r="J63" s="307">
        <v>5.718843767818807E-2</v>
      </c>
      <c r="K63" s="307">
        <v>0</v>
      </c>
      <c r="L63" s="298">
        <v>0</v>
      </c>
      <c r="M63" s="298">
        <v>0</v>
      </c>
      <c r="N63" s="298">
        <v>0</v>
      </c>
      <c r="O63" s="307">
        <v>0</v>
      </c>
      <c r="P63" s="165">
        <v>0</v>
      </c>
      <c r="Q63" s="298">
        <v>0</v>
      </c>
      <c r="R63" s="307">
        <v>0</v>
      </c>
      <c r="S63" s="307">
        <v>0</v>
      </c>
      <c r="T63" s="307">
        <v>0</v>
      </c>
      <c r="U63" s="307">
        <v>5.718843767818807E-2</v>
      </c>
      <c r="V63" s="380"/>
    </row>
    <row r="64" spans="1:22">
      <c r="A64" s="166"/>
      <c r="B64" s="167" t="s">
        <v>80</v>
      </c>
      <c r="C64" s="168">
        <v>3.9542837025674557E-2</v>
      </c>
      <c r="D64" s="169">
        <v>0.28331422420853125</v>
      </c>
      <c r="E64" s="169">
        <v>3.3890736266277521E-3</v>
      </c>
      <c r="F64" s="169">
        <v>0.15017833677492021</v>
      </c>
      <c r="G64" s="169">
        <v>0</v>
      </c>
      <c r="H64" s="169">
        <v>0</v>
      </c>
      <c r="I64" s="169">
        <v>0</v>
      </c>
      <c r="J64" s="170">
        <v>5.5180623597820611E-2</v>
      </c>
      <c r="K64" s="170">
        <v>0</v>
      </c>
      <c r="L64" s="169">
        <v>0</v>
      </c>
      <c r="M64" s="169">
        <v>0</v>
      </c>
      <c r="N64" s="169">
        <v>0</v>
      </c>
      <c r="O64" s="170">
        <v>0</v>
      </c>
      <c r="P64" s="170">
        <v>0</v>
      </c>
      <c r="Q64" s="169">
        <v>0</v>
      </c>
      <c r="R64" s="170">
        <v>0</v>
      </c>
      <c r="S64" s="170">
        <v>0</v>
      </c>
      <c r="T64" s="170">
        <v>0</v>
      </c>
      <c r="U64" s="170">
        <v>5.5180623597820611E-2</v>
      </c>
      <c r="V64" s="380"/>
    </row>
    <row r="65" spans="1:23">
      <c r="A65" s="166"/>
      <c r="B65" s="199" t="s">
        <v>81</v>
      </c>
      <c r="C65" s="200">
        <v>-0.17866129459734661</v>
      </c>
      <c r="D65" s="201">
        <v>0.489205413366256</v>
      </c>
      <c r="E65" s="201">
        <v>-0.60322465021493543</v>
      </c>
      <c r="F65" s="201">
        <v>5.2944684815687442</v>
      </c>
      <c r="G65" s="201">
        <v>0</v>
      </c>
      <c r="H65" s="201">
        <v>0</v>
      </c>
      <c r="I65" s="201">
        <v>0</v>
      </c>
      <c r="J65" s="202">
        <v>-0.20078140803674593</v>
      </c>
      <c r="K65" s="202">
        <v>0</v>
      </c>
      <c r="L65" s="201">
        <v>0</v>
      </c>
      <c r="M65" s="201">
        <v>0</v>
      </c>
      <c r="N65" s="201">
        <v>0</v>
      </c>
      <c r="O65" s="202">
        <v>0</v>
      </c>
      <c r="P65" s="202">
        <v>0</v>
      </c>
      <c r="Q65" s="201">
        <v>0</v>
      </c>
      <c r="R65" s="202">
        <v>0</v>
      </c>
      <c r="S65" s="202">
        <v>0</v>
      </c>
      <c r="T65" s="202">
        <v>0</v>
      </c>
      <c r="U65" s="202">
        <v>-0.20078140803674593</v>
      </c>
      <c r="V65" s="380"/>
    </row>
    <row r="66" spans="1:23">
      <c r="A66" s="166"/>
      <c r="B66" s="246" t="s">
        <v>82</v>
      </c>
      <c r="C66" s="297">
        <v>0.19725243569256148</v>
      </c>
      <c r="D66" s="298">
        <v>0.23517711476142586</v>
      </c>
      <c r="E66" s="298">
        <v>0.55602948145969178</v>
      </c>
      <c r="F66" s="298">
        <v>0.49965183262644808</v>
      </c>
      <c r="G66" s="298">
        <v>0.57676348547717837</v>
      </c>
      <c r="H66" s="298">
        <v>0.30740037950664134</v>
      </c>
      <c r="I66" s="298">
        <v>0</v>
      </c>
      <c r="J66" s="307">
        <v>0.3238123132433266</v>
      </c>
      <c r="K66" s="307">
        <v>0</v>
      </c>
      <c r="L66" s="298">
        <v>0</v>
      </c>
      <c r="M66" s="298">
        <v>0</v>
      </c>
      <c r="N66" s="298">
        <v>0</v>
      </c>
      <c r="O66" s="307">
        <v>0</v>
      </c>
      <c r="P66" s="165">
        <v>0</v>
      </c>
      <c r="Q66" s="298">
        <v>0</v>
      </c>
      <c r="R66" s="307">
        <v>0</v>
      </c>
      <c r="S66" s="307">
        <v>0</v>
      </c>
      <c r="T66" s="307">
        <v>0</v>
      </c>
      <c r="U66" s="307">
        <v>0.3238123132433266</v>
      </c>
      <c r="V66" s="380"/>
    </row>
    <row r="67" spans="1:23">
      <c r="A67" s="166"/>
      <c r="B67" s="167" t="s">
        <v>83</v>
      </c>
      <c r="C67" s="168">
        <v>0.23226544622425629</v>
      </c>
      <c r="D67" s="169">
        <v>0.22156445234808245</v>
      </c>
      <c r="E67" s="169">
        <v>0.56112692678803533</v>
      </c>
      <c r="F67" s="169">
        <v>0.53932795194293226</v>
      </c>
      <c r="G67" s="169">
        <v>0.82917522747285</v>
      </c>
      <c r="H67" s="169">
        <v>0.23537234042553193</v>
      </c>
      <c r="I67" s="169">
        <v>0</v>
      </c>
      <c r="J67" s="170">
        <v>0.33608656502296902</v>
      </c>
      <c r="K67" s="170">
        <v>0</v>
      </c>
      <c r="L67" s="169">
        <v>0</v>
      </c>
      <c r="M67" s="169">
        <v>0</v>
      </c>
      <c r="N67" s="169">
        <v>0</v>
      </c>
      <c r="O67" s="170">
        <v>0</v>
      </c>
      <c r="P67" s="170">
        <v>0</v>
      </c>
      <c r="Q67" s="169">
        <v>0</v>
      </c>
      <c r="R67" s="170">
        <v>0</v>
      </c>
      <c r="S67" s="170">
        <v>0</v>
      </c>
      <c r="T67" s="170">
        <v>0</v>
      </c>
      <c r="U67" s="170">
        <v>0.33608656502296902</v>
      </c>
      <c r="V67" s="380"/>
    </row>
    <row r="68" spans="1:23">
      <c r="A68" s="166"/>
      <c r="B68" s="199" t="s">
        <v>84</v>
      </c>
      <c r="C68" s="200">
        <v>3.501301053169481</v>
      </c>
      <c r="D68" s="201">
        <v>-1.3612662413343413</v>
      </c>
      <c r="E68" s="201">
        <v>0.50974453283435528</v>
      </c>
      <c r="F68" s="201">
        <v>3.9676119316484182</v>
      </c>
      <c r="G68" s="656">
        <v>25.241174199567162</v>
      </c>
      <c r="H68" s="656">
        <v>-7.2028039081109414</v>
      </c>
      <c r="I68" s="201">
        <v>0</v>
      </c>
      <c r="J68" s="202">
        <v>1.227425177964242</v>
      </c>
      <c r="K68" s="202">
        <v>0</v>
      </c>
      <c r="L68" s="201">
        <v>0</v>
      </c>
      <c r="M68" s="201">
        <v>0</v>
      </c>
      <c r="N68" s="201">
        <v>0</v>
      </c>
      <c r="O68" s="202">
        <v>0</v>
      </c>
      <c r="P68" s="202">
        <v>0</v>
      </c>
      <c r="Q68" s="201">
        <v>0</v>
      </c>
      <c r="R68" s="202">
        <v>0</v>
      </c>
      <c r="S68" s="202">
        <v>0</v>
      </c>
      <c r="T68" s="202">
        <v>0</v>
      </c>
      <c r="U68" s="202">
        <v>1.227425177964242</v>
      </c>
      <c r="V68" s="380"/>
    </row>
    <row r="69" spans="1:23">
      <c r="A69" s="166"/>
      <c r="B69" s="246" t="s">
        <v>85</v>
      </c>
      <c r="C69" s="297">
        <v>0</v>
      </c>
      <c r="D69" s="298">
        <v>0</v>
      </c>
      <c r="E69" s="298">
        <v>1.4928665980291219E-2</v>
      </c>
      <c r="F69" s="298">
        <v>0</v>
      </c>
      <c r="G69" s="298">
        <v>0</v>
      </c>
      <c r="H69" s="298">
        <v>0</v>
      </c>
      <c r="I69" s="298">
        <v>0</v>
      </c>
      <c r="J69" s="307">
        <v>5.6926705697967527E-3</v>
      </c>
      <c r="K69" s="307">
        <v>0</v>
      </c>
      <c r="L69" s="298">
        <v>0</v>
      </c>
      <c r="M69" s="298">
        <v>0</v>
      </c>
      <c r="N69" s="298">
        <v>0</v>
      </c>
      <c r="O69" s="307">
        <v>0</v>
      </c>
      <c r="P69" s="165">
        <v>0</v>
      </c>
      <c r="Q69" s="298">
        <v>0</v>
      </c>
      <c r="R69" s="307">
        <v>0</v>
      </c>
      <c r="S69" s="307">
        <v>0</v>
      </c>
      <c r="T69" s="307">
        <v>0</v>
      </c>
      <c r="U69" s="307">
        <v>5.6926705697967527E-3</v>
      </c>
      <c r="V69" s="380"/>
    </row>
    <row r="70" spans="1:23">
      <c r="A70" s="166"/>
      <c r="B70" s="167" t="s">
        <v>86</v>
      </c>
      <c r="C70" s="168">
        <v>3.7719717353584631E-5</v>
      </c>
      <c r="D70" s="169">
        <v>0</v>
      </c>
      <c r="E70" s="169">
        <v>3.5613183097693041E-2</v>
      </c>
      <c r="F70" s="169">
        <v>0</v>
      </c>
      <c r="G70" s="169">
        <v>0</v>
      </c>
      <c r="H70" s="169">
        <v>0</v>
      </c>
      <c r="I70" s="169">
        <v>0</v>
      </c>
      <c r="J70" s="170">
        <v>1.3641011553195061E-2</v>
      </c>
      <c r="K70" s="170">
        <v>0</v>
      </c>
      <c r="L70" s="169">
        <v>0</v>
      </c>
      <c r="M70" s="169">
        <v>0</v>
      </c>
      <c r="N70" s="169">
        <v>0</v>
      </c>
      <c r="O70" s="170">
        <v>0</v>
      </c>
      <c r="P70" s="170">
        <v>0</v>
      </c>
      <c r="Q70" s="169">
        <v>0</v>
      </c>
      <c r="R70" s="170">
        <v>0</v>
      </c>
      <c r="S70" s="170">
        <v>0</v>
      </c>
      <c r="T70" s="170">
        <v>0</v>
      </c>
      <c r="U70" s="170">
        <v>1.3641011553195061E-2</v>
      </c>
      <c r="V70" s="380"/>
    </row>
    <row r="71" spans="1:23">
      <c r="A71" s="166"/>
      <c r="B71" s="199" t="s">
        <v>87</v>
      </c>
      <c r="C71" s="200">
        <v>0</v>
      </c>
      <c r="D71" s="201">
        <v>0</v>
      </c>
      <c r="E71" s="201">
        <v>2.0684517117401824</v>
      </c>
      <c r="F71" s="201">
        <v>0</v>
      </c>
      <c r="G71" s="201">
        <v>0</v>
      </c>
      <c r="H71" s="201">
        <v>0</v>
      </c>
      <c r="I71" s="201">
        <v>0</v>
      </c>
      <c r="J71" s="202">
        <v>0.79483409833983087</v>
      </c>
      <c r="K71" s="202">
        <v>0</v>
      </c>
      <c r="L71" s="201">
        <v>0</v>
      </c>
      <c r="M71" s="201">
        <v>0</v>
      </c>
      <c r="N71" s="201">
        <v>0</v>
      </c>
      <c r="O71" s="202">
        <v>0</v>
      </c>
      <c r="P71" s="202">
        <v>0</v>
      </c>
      <c r="Q71" s="201">
        <v>0</v>
      </c>
      <c r="R71" s="202">
        <v>0</v>
      </c>
      <c r="S71" s="202">
        <v>0</v>
      </c>
      <c r="T71" s="202">
        <v>0</v>
      </c>
      <c r="U71" s="202">
        <v>0.79483409833983087</v>
      </c>
      <c r="V71" s="380"/>
    </row>
    <row r="72" spans="1:23">
      <c r="A72" s="166"/>
      <c r="B72" s="246" t="s">
        <v>88</v>
      </c>
      <c r="C72" s="297">
        <v>9.0081962987782881E-3</v>
      </c>
      <c r="D72" s="298">
        <v>0</v>
      </c>
      <c r="E72" s="298">
        <v>2.5167099736889413E-3</v>
      </c>
      <c r="F72" s="298">
        <v>0</v>
      </c>
      <c r="G72" s="298">
        <v>0</v>
      </c>
      <c r="H72" s="298">
        <v>0</v>
      </c>
      <c r="I72" s="298">
        <v>0</v>
      </c>
      <c r="J72" s="307">
        <v>3.1376679057390968E-3</v>
      </c>
      <c r="K72" s="307">
        <v>0</v>
      </c>
      <c r="L72" s="298">
        <v>0</v>
      </c>
      <c r="M72" s="298">
        <v>0</v>
      </c>
      <c r="N72" s="298">
        <v>0</v>
      </c>
      <c r="O72" s="307">
        <v>0</v>
      </c>
      <c r="P72" s="165">
        <v>0</v>
      </c>
      <c r="Q72" s="298">
        <v>0</v>
      </c>
      <c r="R72" s="307">
        <v>0</v>
      </c>
      <c r="S72" s="307">
        <v>0</v>
      </c>
      <c r="T72" s="307">
        <v>0</v>
      </c>
      <c r="U72" s="307">
        <v>3.1376679057390968E-3</v>
      </c>
      <c r="V72" s="380"/>
    </row>
    <row r="73" spans="1:23">
      <c r="A73" s="166"/>
      <c r="B73" s="167" t="s">
        <v>89</v>
      </c>
      <c r="C73" s="168">
        <v>1.5087886941433852E-4</v>
      </c>
      <c r="D73" s="169">
        <v>0</v>
      </c>
      <c r="E73" s="169">
        <v>3.8037367527092654E-3</v>
      </c>
      <c r="F73" s="169">
        <v>0</v>
      </c>
      <c r="G73" s="169">
        <v>0</v>
      </c>
      <c r="H73" s="169">
        <v>0</v>
      </c>
      <c r="I73" s="169">
        <v>0</v>
      </c>
      <c r="J73" s="170">
        <v>1.492605649924454E-3</v>
      </c>
      <c r="K73" s="170">
        <v>0</v>
      </c>
      <c r="L73" s="169">
        <v>0</v>
      </c>
      <c r="M73" s="169">
        <v>0</v>
      </c>
      <c r="N73" s="169">
        <v>0</v>
      </c>
      <c r="O73" s="170">
        <v>0</v>
      </c>
      <c r="P73" s="170">
        <v>0</v>
      </c>
      <c r="Q73" s="169">
        <v>0</v>
      </c>
      <c r="R73" s="170">
        <v>0</v>
      </c>
      <c r="S73" s="170">
        <v>0</v>
      </c>
      <c r="T73" s="170">
        <v>0</v>
      </c>
      <c r="U73" s="170">
        <v>1.492605649924454E-3</v>
      </c>
      <c r="V73" s="380"/>
    </row>
    <row r="74" spans="1:23">
      <c r="A74" s="166"/>
      <c r="B74" s="199" t="s">
        <v>90</v>
      </c>
      <c r="C74" s="200">
        <v>-0.88573174293639489</v>
      </c>
      <c r="D74" s="201">
        <v>0</v>
      </c>
      <c r="E74" s="201">
        <v>0.12870267790203241</v>
      </c>
      <c r="F74" s="201">
        <v>0</v>
      </c>
      <c r="G74" s="201">
        <v>0</v>
      </c>
      <c r="H74" s="201">
        <v>0</v>
      </c>
      <c r="I74" s="201">
        <v>0</v>
      </c>
      <c r="J74" s="202">
        <v>-0.16450622558146427</v>
      </c>
      <c r="K74" s="202">
        <v>0</v>
      </c>
      <c r="L74" s="201">
        <v>0</v>
      </c>
      <c r="M74" s="201">
        <v>0</v>
      </c>
      <c r="N74" s="201">
        <v>0</v>
      </c>
      <c r="O74" s="202">
        <v>0</v>
      </c>
      <c r="P74" s="202">
        <v>0</v>
      </c>
      <c r="Q74" s="201">
        <v>0</v>
      </c>
      <c r="R74" s="202">
        <v>0</v>
      </c>
      <c r="S74" s="202">
        <v>0</v>
      </c>
      <c r="T74" s="202">
        <v>0</v>
      </c>
      <c r="U74" s="202">
        <v>-0.16450622558146427</v>
      </c>
      <c r="V74" s="380"/>
    </row>
    <row r="75" spans="1:23">
      <c r="A75" s="166"/>
      <c r="B75" s="246" t="s">
        <v>91</v>
      </c>
      <c r="C75" s="297">
        <v>0</v>
      </c>
      <c r="D75" s="298">
        <v>0</v>
      </c>
      <c r="E75" s="298">
        <v>0</v>
      </c>
      <c r="F75" s="298">
        <v>0</v>
      </c>
      <c r="G75" s="298">
        <v>0</v>
      </c>
      <c r="H75" s="298">
        <v>0</v>
      </c>
      <c r="I75" s="298">
        <v>0</v>
      </c>
      <c r="J75" s="307">
        <v>0</v>
      </c>
      <c r="K75" s="307">
        <v>0</v>
      </c>
      <c r="L75" s="298">
        <v>0</v>
      </c>
      <c r="M75" s="298">
        <v>0</v>
      </c>
      <c r="N75" s="298">
        <v>0</v>
      </c>
      <c r="O75" s="307">
        <v>0</v>
      </c>
      <c r="P75" s="165">
        <v>0</v>
      </c>
      <c r="Q75" s="298">
        <v>0</v>
      </c>
      <c r="R75" s="307">
        <v>0</v>
      </c>
      <c r="S75" s="307">
        <v>0</v>
      </c>
      <c r="T75" s="307">
        <v>0</v>
      </c>
      <c r="U75" s="307">
        <v>0</v>
      </c>
      <c r="V75" s="380"/>
    </row>
    <row r="76" spans="1:23">
      <c r="A76" s="166"/>
      <c r="B76" s="167" t="s">
        <v>92</v>
      </c>
      <c r="C76" s="168">
        <v>0</v>
      </c>
      <c r="D76" s="169">
        <v>0</v>
      </c>
      <c r="E76" s="169">
        <v>0</v>
      </c>
      <c r="F76" s="169">
        <v>0</v>
      </c>
      <c r="G76" s="169">
        <v>0</v>
      </c>
      <c r="H76" s="169">
        <v>0</v>
      </c>
      <c r="I76" s="169">
        <v>0</v>
      </c>
      <c r="J76" s="170">
        <v>0</v>
      </c>
      <c r="K76" s="170">
        <v>0</v>
      </c>
      <c r="L76" s="169">
        <v>0</v>
      </c>
      <c r="M76" s="169">
        <v>0</v>
      </c>
      <c r="N76" s="169">
        <v>0</v>
      </c>
      <c r="O76" s="170">
        <v>0</v>
      </c>
      <c r="P76" s="170">
        <v>0</v>
      </c>
      <c r="Q76" s="169">
        <v>0</v>
      </c>
      <c r="R76" s="170">
        <v>0</v>
      </c>
      <c r="S76" s="170">
        <v>0</v>
      </c>
      <c r="T76" s="170">
        <v>0</v>
      </c>
      <c r="U76" s="170">
        <v>0</v>
      </c>
      <c r="V76" s="380"/>
      <c r="W76" s="231"/>
    </row>
    <row r="77" spans="1:23" ht="15.75" thickBot="1">
      <c r="A77" s="310"/>
      <c r="B77" s="311" t="s">
        <v>93</v>
      </c>
      <c r="C77" s="312">
        <v>0</v>
      </c>
      <c r="D77" s="313">
        <v>0</v>
      </c>
      <c r="E77" s="313">
        <v>0</v>
      </c>
      <c r="F77" s="313">
        <v>0</v>
      </c>
      <c r="G77" s="313">
        <v>0</v>
      </c>
      <c r="H77" s="313">
        <v>0</v>
      </c>
      <c r="I77" s="313">
        <v>0</v>
      </c>
      <c r="J77" s="314">
        <v>0</v>
      </c>
      <c r="K77" s="314">
        <v>0</v>
      </c>
      <c r="L77" s="313">
        <v>0</v>
      </c>
      <c r="M77" s="313">
        <v>0</v>
      </c>
      <c r="N77" s="313">
        <v>0</v>
      </c>
      <c r="O77" s="314">
        <v>0</v>
      </c>
      <c r="P77" s="314">
        <v>0</v>
      </c>
      <c r="Q77" s="313">
        <v>0</v>
      </c>
      <c r="R77" s="314">
        <v>0</v>
      </c>
      <c r="S77" s="314">
        <v>0</v>
      </c>
      <c r="T77" s="314">
        <v>0</v>
      </c>
      <c r="U77" s="314">
        <v>0</v>
      </c>
      <c r="V77" s="380"/>
    </row>
    <row r="78" spans="1:23">
      <c r="A78" s="296" t="s">
        <v>41</v>
      </c>
      <c r="B78" s="246" t="s">
        <v>59</v>
      </c>
      <c r="C78" s="297">
        <v>0.97439417010288276</v>
      </c>
      <c r="D78" s="298">
        <v>0</v>
      </c>
      <c r="E78" s="298">
        <v>0.98160052818124954</v>
      </c>
      <c r="F78" s="298">
        <v>0</v>
      </c>
      <c r="G78" s="298">
        <v>0</v>
      </c>
      <c r="H78" s="298">
        <v>0</v>
      </c>
      <c r="I78" s="298">
        <v>0</v>
      </c>
      <c r="J78" s="307">
        <v>0.97566073746087489</v>
      </c>
      <c r="K78" s="307">
        <v>0</v>
      </c>
      <c r="L78" s="298">
        <v>0.92113063304721032</v>
      </c>
      <c r="M78" s="298">
        <v>0.88104118915796659</v>
      </c>
      <c r="N78" s="298">
        <v>0</v>
      </c>
      <c r="O78" s="307">
        <v>0.9002106734817561</v>
      </c>
      <c r="P78" s="165">
        <v>0</v>
      </c>
      <c r="Q78" s="298">
        <v>0</v>
      </c>
      <c r="R78" s="307">
        <v>0</v>
      </c>
      <c r="S78" s="307">
        <v>0</v>
      </c>
      <c r="T78" s="307">
        <v>0</v>
      </c>
      <c r="U78" s="307">
        <v>0.95132327341444567</v>
      </c>
      <c r="V78" s="380"/>
    </row>
    <row r="79" spans="1:23">
      <c r="A79" s="166"/>
      <c r="B79" s="167" t="s">
        <v>60</v>
      </c>
      <c r="C79" s="168">
        <v>0.97167301032749187</v>
      </c>
      <c r="D79" s="169">
        <v>0</v>
      </c>
      <c r="E79" s="169">
        <v>0.9816308166196549</v>
      </c>
      <c r="F79" s="169">
        <v>0</v>
      </c>
      <c r="G79" s="169">
        <v>0</v>
      </c>
      <c r="H79" s="169">
        <v>0</v>
      </c>
      <c r="I79" s="169">
        <v>0</v>
      </c>
      <c r="J79" s="170">
        <v>0.97339291185019694</v>
      </c>
      <c r="K79" s="170">
        <v>0</v>
      </c>
      <c r="L79" s="169">
        <v>0.91623062775346098</v>
      </c>
      <c r="M79" s="169">
        <v>0.87404616588917383</v>
      </c>
      <c r="N79" s="169">
        <v>0</v>
      </c>
      <c r="O79" s="170">
        <v>0.89394331673430683</v>
      </c>
      <c r="P79" s="170">
        <v>0</v>
      </c>
      <c r="Q79" s="169">
        <v>0</v>
      </c>
      <c r="R79" s="170">
        <v>0</v>
      </c>
      <c r="S79" s="170">
        <v>0</v>
      </c>
      <c r="T79" s="170">
        <v>0</v>
      </c>
      <c r="U79" s="170">
        <v>0.94894635777485326</v>
      </c>
      <c r="V79" s="380"/>
    </row>
    <row r="80" spans="1:23">
      <c r="A80" s="166"/>
      <c r="B80" s="199" t="s">
        <v>236</v>
      </c>
      <c r="C80" s="200">
        <v>-0.27211597753908912</v>
      </c>
      <c r="D80" s="201">
        <v>0</v>
      </c>
      <c r="E80" s="201">
        <v>3.0288438405356999E-3</v>
      </c>
      <c r="F80" s="201">
        <v>0</v>
      </c>
      <c r="G80" s="201">
        <v>0</v>
      </c>
      <c r="H80" s="201">
        <v>0</v>
      </c>
      <c r="I80" s="201">
        <v>0</v>
      </c>
      <c r="J80" s="202">
        <v>-0.22678256106779537</v>
      </c>
      <c r="K80" s="202">
        <v>0</v>
      </c>
      <c r="L80" s="201">
        <v>-0.49000052937493432</v>
      </c>
      <c r="M80" s="201">
        <v>-0.69950232687927549</v>
      </c>
      <c r="N80" s="201">
        <v>0</v>
      </c>
      <c r="O80" s="202">
        <v>-0.62673567474492708</v>
      </c>
      <c r="P80" s="202">
        <v>0</v>
      </c>
      <c r="Q80" s="201">
        <v>0</v>
      </c>
      <c r="R80" s="202">
        <v>0</v>
      </c>
      <c r="S80" s="202">
        <v>0</v>
      </c>
      <c r="T80" s="202">
        <v>0</v>
      </c>
      <c r="U80" s="202">
        <v>-0.2376915639592414</v>
      </c>
      <c r="V80" s="380"/>
    </row>
    <row r="81" spans="1:22">
      <c r="A81" s="166"/>
      <c r="B81" s="246" t="s">
        <v>61</v>
      </c>
      <c r="C81" s="297">
        <v>0</v>
      </c>
      <c r="D81" s="298">
        <v>0</v>
      </c>
      <c r="E81" s="298">
        <v>0</v>
      </c>
      <c r="F81" s="298">
        <v>0</v>
      </c>
      <c r="G81" s="298">
        <v>0</v>
      </c>
      <c r="H81" s="298">
        <v>0</v>
      </c>
      <c r="I81" s="298">
        <v>0</v>
      </c>
      <c r="J81" s="307">
        <v>0</v>
      </c>
      <c r="K81" s="307">
        <v>0</v>
      </c>
      <c r="L81" s="298">
        <v>0</v>
      </c>
      <c r="M81" s="298">
        <v>0</v>
      </c>
      <c r="N81" s="298">
        <v>0</v>
      </c>
      <c r="O81" s="307">
        <v>0</v>
      </c>
      <c r="P81" s="165">
        <v>0</v>
      </c>
      <c r="Q81" s="298">
        <v>0</v>
      </c>
      <c r="R81" s="307">
        <v>0</v>
      </c>
      <c r="S81" s="307">
        <v>0</v>
      </c>
      <c r="T81" s="307">
        <v>0</v>
      </c>
      <c r="U81" s="307">
        <v>0</v>
      </c>
      <c r="V81" s="380"/>
    </row>
    <row r="82" spans="1:22">
      <c r="A82" s="166"/>
      <c r="B82" s="167" t="s">
        <v>62</v>
      </c>
      <c r="C82" s="168">
        <v>0</v>
      </c>
      <c r="D82" s="169">
        <v>0</v>
      </c>
      <c r="E82" s="169">
        <v>0</v>
      </c>
      <c r="F82" s="169">
        <v>0</v>
      </c>
      <c r="G82" s="169">
        <v>0</v>
      </c>
      <c r="H82" s="169">
        <v>0</v>
      </c>
      <c r="I82" s="169">
        <v>0</v>
      </c>
      <c r="J82" s="170">
        <v>0</v>
      </c>
      <c r="K82" s="170">
        <v>0</v>
      </c>
      <c r="L82" s="169">
        <v>0</v>
      </c>
      <c r="M82" s="169">
        <v>0</v>
      </c>
      <c r="N82" s="169">
        <v>0</v>
      </c>
      <c r="O82" s="170">
        <v>0</v>
      </c>
      <c r="P82" s="170">
        <v>0</v>
      </c>
      <c r="Q82" s="169">
        <v>0</v>
      </c>
      <c r="R82" s="170">
        <v>0</v>
      </c>
      <c r="S82" s="170">
        <v>0</v>
      </c>
      <c r="T82" s="170">
        <v>0</v>
      </c>
      <c r="U82" s="170">
        <v>0</v>
      </c>
      <c r="V82" s="380"/>
    </row>
    <row r="83" spans="1:22">
      <c r="A83" s="166"/>
      <c r="B83" s="199" t="s">
        <v>63</v>
      </c>
      <c r="C83" s="200">
        <v>0</v>
      </c>
      <c r="D83" s="201">
        <v>0</v>
      </c>
      <c r="E83" s="201">
        <v>0</v>
      </c>
      <c r="F83" s="201">
        <v>0</v>
      </c>
      <c r="G83" s="201">
        <v>0</v>
      </c>
      <c r="H83" s="201">
        <v>0</v>
      </c>
      <c r="I83" s="201">
        <v>0</v>
      </c>
      <c r="J83" s="202">
        <v>0</v>
      </c>
      <c r="K83" s="202">
        <v>0</v>
      </c>
      <c r="L83" s="201">
        <v>0</v>
      </c>
      <c r="M83" s="201">
        <v>0</v>
      </c>
      <c r="N83" s="201">
        <v>0</v>
      </c>
      <c r="O83" s="202">
        <v>0</v>
      </c>
      <c r="P83" s="202">
        <v>0</v>
      </c>
      <c r="Q83" s="201">
        <v>0</v>
      </c>
      <c r="R83" s="202">
        <v>0</v>
      </c>
      <c r="S83" s="202">
        <v>0</v>
      </c>
      <c r="T83" s="202">
        <v>0</v>
      </c>
      <c r="U83" s="202">
        <v>0</v>
      </c>
      <c r="V83" s="380"/>
    </row>
    <row r="84" spans="1:22">
      <c r="A84" s="166"/>
      <c r="B84" s="246" t="s">
        <v>64</v>
      </c>
      <c r="C84" s="297">
        <v>2.5605829897117283E-2</v>
      </c>
      <c r="D84" s="298">
        <v>0</v>
      </c>
      <c r="E84" s="298">
        <v>1.8399471818750436E-2</v>
      </c>
      <c r="F84" s="298">
        <v>0</v>
      </c>
      <c r="G84" s="298">
        <v>0</v>
      </c>
      <c r="H84" s="298">
        <v>0</v>
      </c>
      <c r="I84" s="298">
        <v>0</v>
      </c>
      <c r="J84" s="307">
        <v>2.4339262539125123E-2</v>
      </c>
      <c r="K84" s="307">
        <v>0</v>
      </c>
      <c r="L84" s="298">
        <v>7.0044259656652355E-2</v>
      </c>
      <c r="M84" s="298">
        <v>0.11288766537419272</v>
      </c>
      <c r="N84" s="298">
        <v>0</v>
      </c>
      <c r="O84" s="307">
        <v>9.2401324966250559E-2</v>
      </c>
      <c r="P84" s="165">
        <v>0</v>
      </c>
      <c r="Q84" s="298">
        <v>0</v>
      </c>
      <c r="R84" s="307">
        <v>0</v>
      </c>
      <c r="S84" s="307">
        <v>0</v>
      </c>
      <c r="T84" s="307">
        <v>0</v>
      </c>
      <c r="U84" s="307">
        <v>4.6293624270407639E-2</v>
      </c>
      <c r="V84" s="380"/>
    </row>
    <row r="85" spans="1:22">
      <c r="A85" s="166"/>
      <c r="B85" s="167" t="s">
        <v>65</v>
      </c>
      <c r="C85" s="168">
        <v>2.8326989672508133E-2</v>
      </c>
      <c r="D85" s="169">
        <v>0</v>
      </c>
      <c r="E85" s="169">
        <v>1.8369183380345062E-2</v>
      </c>
      <c r="F85" s="169">
        <v>0</v>
      </c>
      <c r="G85" s="169">
        <v>0</v>
      </c>
      <c r="H85" s="169">
        <v>0</v>
      </c>
      <c r="I85" s="169">
        <v>0</v>
      </c>
      <c r="J85" s="170">
        <v>2.6607088149803108E-2</v>
      </c>
      <c r="K85" s="170">
        <v>0</v>
      </c>
      <c r="L85" s="169">
        <v>8.1345613709918871E-2</v>
      </c>
      <c r="M85" s="169">
        <v>0.12088793284498724</v>
      </c>
      <c r="N85" s="169">
        <v>0</v>
      </c>
      <c r="O85" s="170">
        <v>0.10223700181905604</v>
      </c>
      <c r="P85" s="170">
        <v>0</v>
      </c>
      <c r="Q85" s="169">
        <v>0</v>
      </c>
      <c r="R85" s="170">
        <v>0</v>
      </c>
      <c r="S85" s="170">
        <v>0</v>
      </c>
      <c r="T85" s="170">
        <v>0</v>
      </c>
      <c r="U85" s="170">
        <v>4.9878330395053759E-2</v>
      </c>
      <c r="V85" s="380"/>
    </row>
    <row r="86" spans="1:22">
      <c r="A86" s="166"/>
      <c r="B86" s="199" t="s">
        <v>66</v>
      </c>
      <c r="C86" s="200">
        <v>0.27211597753908495</v>
      </c>
      <c r="D86" s="201">
        <v>0</v>
      </c>
      <c r="E86" s="201">
        <v>-3.0288438405374346E-3</v>
      </c>
      <c r="F86" s="201">
        <v>0</v>
      </c>
      <c r="G86" s="201">
        <v>0</v>
      </c>
      <c r="H86" s="201">
        <v>0</v>
      </c>
      <c r="I86" s="201">
        <v>0</v>
      </c>
      <c r="J86" s="202">
        <v>0.22678256106779848</v>
      </c>
      <c r="K86" s="202">
        <v>0</v>
      </c>
      <c r="L86" s="201">
        <v>1.1301354053266515</v>
      </c>
      <c r="M86" s="201">
        <v>0.80002674707945198</v>
      </c>
      <c r="N86" s="201">
        <v>0</v>
      </c>
      <c r="O86" s="202">
        <v>0.98356768528054805</v>
      </c>
      <c r="P86" s="202">
        <v>0</v>
      </c>
      <c r="Q86" s="201">
        <v>0</v>
      </c>
      <c r="R86" s="202">
        <v>0</v>
      </c>
      <c r="S86" s="202">
        <v>0</v>
      </c>
      <c r="T86" s="202">
        <v>0</v>
      </c>
      <c r="U86" s="202">
        <v>0.35847061246461198</v>
      </c>
      <c r="V86" s="380"/>
    </row>
    <row r="87" spans="1:22">
      <c r="A87" s="166"/>
      <c r="B87" s="246" t="s">
        <v>67</v>
      </c>
      <c r="C87" s="297">
        <v>0</v>
      </c>
      <c r="D87" s="298">
        <v>0</v>
      </c>
      <c r="E87" s="298">
        <v>0</v>
      </c>
      <c r="F87" s="298">
        <v>0</v>
      </c>
      <c r="G87" s="298">
        <v>0</v>
      </c>
      <c r="H87" s="298">
        <v>0</v>
      </c>
      <c r="I87" s="298">
        <v>0</v>
      </c>
      <c r="J87" s="307">
        <v>0</v>
      </c>
      <c r="K87" s="307">
        <v>0</v>
      </c>
      <c r="L87" s="298">
        <v>2.3068669527896994E-3</v>
      </c>
      <c r="M87" s="298">
        <v>3.680785561980373E-3</v>
      </c>
      <c r="N87" s="298">
        <v>0</v>
      </c>
      <c r="O87" s="307">
        <v>3.0238218157681244E-3</v>
      </c>
      <c r="P87" s="165">
        <v>0</v>
      </c>
      <c r="Q87" s="298">
        <v>0</v>
      </c>
      <c r="R87" s="307">
        <v>0</v>
      </c>
      <c r="S87" s="307">
        <v>0</v>
      </c>
      <c r="T87" s="307">
        <v>0</v>
      </c>
      <c r="U87" s="307">
        <v>9.7537564374275323E-4</v>
      </c>
      <c r="V87" s="380"/>
    </row>
    <row r="88" spans="1:22">
      <c r="A88" s="166"/>
      <c r="B88" s="167" t="s">
        <v>68</v>
      </c>
      <c r="C88" s="168">
        <v>0</v>
      </c>
      <c r="D88" s="169">
        <v>0</v>
      </c>
      <c r="E88" s="169">
        <v>0</v>
      </c>
      <c r="F88" s="169">
        <v>0</v>
      </c>
      <c r="G88" s="169">
        <v>0</v>
      </c>
      <c r="H88" s="169">
        <v>0</v>
      </c>
      <c r="I88" s="169">
        <v>0</v>
      </c>
      <c r="J88" s="170">
        <v>0</v>
      </c>
      <c r="K88" s="170">
        <v>0</v>
      </c>
      <c r="L88" s="169">
        <v>2.2954419082108386E-3</v>
      </c>
      <c r="M88" s="169">
        <v>3.996716074053803E-3</v>
      </c>
      <c r="N88" s="169">
        <v>0</v>
      </c>
      <c r="O88" s="170">
        <v>3.1942758576630676E-3</v>
      </c>
      <c r="P88" s="170">
        <v>0</v>
      </c>
      <c r="Q88" s="169">
        <v>0</v>
      </c>
      <c r="R88" s="170">
        <v>0</v>
      </c>
      <c r="S88" s="170">
        <v>0</v>
      </c>
      <c r="T88" s="170">
        <v>0</v>
      </c>
      <c r="U88" s="170">
        <v>9.8287521002491328E-4</v>
      </c>
      <c r="V88" s="380"/>
    </row>
    <row r="89" spans="1:22">
      <c r="A89" s="166"/>
      <c r="B89" s="199" t="s">
        <v>69</v>
      </c>
      <c r="C89" s="200">
        <v>0</v>
      </c>
      <c r="D89" s="201">
        <v>0</v>
      </c>
      <c r="E89" s="201">
        <v>0</v>
      </c>
      <c r="F89" s="201">
        <v>0</v>
      </c>
      <c r="G89" s="201">
        <v>0</v>
      </c>
      <c r="H89" s="201">
        <v>0</v>
      </c>
      <c r="I89" s="201">
        <v>0</v>
      </c>
      <c r="J89" s="202">
        <v>0</v>
      </c>
      <c r="K89" s="202">
        <v>0</v>
      </c>
      <c r="L89" s="201">
        <v>-1.1425044578860805E-3</v>
      </c>
      <c r="M89" s="201">
        <v>3.1593051207342994E-2</v>
      </c>
      <c r="N89" s="201">
        <v>0</v>
      </c>
      <c r="O89" s="202">
        <v>1.7045404189494323E-2</v>
      </c>
      <c r="P89" s="202">
        <v>0</v>
      </c>
      <c r="Q89" s="201">
        <v>0</v>
      </c>
      <c r="R89" s="202">
        <v>0</v>
      </c>
      <c r="S89" s="202">
        <v>0</v>
      </c>
      <c r="T89" s="202">
        <v>0</v>
      </c>
      <c r="U89" s="202">
        <v>7.4995662821600566E-4</v>
      </c>
      <c r="V89" s="380"/>
    </row>
    <row r="90" spans="1:22">
      <c r="A90" s="166"/>
      <c r="B90" s="246" t="s">
        <v>70</v>
      </c>
      <c r="C90" s="297">
        <v>0</v>
      </c>
      <c r="D90" s="298">
        <v>0</v>
      </c>
      <c r="E90" s="298">
        <v>0</v>
      </c>
      <c r="F90" s="298">
        <v>0</v>
      </c>
      <c r="G90" s="298">
        <v>0</v>
      </c>
      <c r="H90" s="298">
        <v>0</v>
      </c>
      <c r="I90" s="298">
        <v>0</v>
      </c>
      <c r="J90" s="307">
        <v>0</v>
      </c>
      <c r="K90" s="307">
        <v>0</v>
      </c>
      <c r="L90" s="298">
        <v>6.5182403433476392E-3</v>
      </c>
      <c r="M90" s="298">
        <v>2.3903599058603757E-3</v>
      </c>
      <c r="N90" s="298">
        <v>0</v>
      </c>
      <c r="O90" s="307">
        <v>4.3641797362252571E-3</v>
      </c>
      <c r="P90" s="165">
        <v>0</v>
      </c>
      <c r="Q90" s="298">
        <v>0</v>
      </c>
      <c r="R90" s="307">
        <v>0</v>
      </c>
      <c r="S90" s="307">
        <v>0</v>
      </c>
      <c r="T90" s="307">
        <v>0</v>
      </c>
      <c r="U90" s="307">
        <v>1.4077266714039099E-3</v>
      </c>
      <c r="V90" s="380"/>
    </row>
    <row r="91" spans="1:22">
      <c r="A91" s="166"/>
      <c r="B91" s="167" t="s">
        <v>71</v>
      </c>
      <c r="C91" s="168">
        <v>0</v>
      </c>
      <c r="D91" s="169">
        <v>0</v>
      </c>
      <c r="E91" s="169">
        <v>0</v>
      </c>
      <c r="F91" s="169">
        <v>0</v>
      </c>
      <c r="G91" s="169">
        <v>0</v>
      </c>
      <c r="H91" s="169">
        <v>0</v>
      </c>
      <c r="I91" s="169">
        <v>0</v>
      </c>
      <c r="J91" s="170">
        <v>0</v>
      </c>
      <c r="K91" s="170">
        <v>0</v>
      </c>
      <c r="L91" s="169">
        <v>1.2831662840930152E-4</v>
      </c>
      <c r="M91" s="169">
        <v>1.0691851917850937E-3</v>
      </c>
      <c r="N91" s="169">
        <v>0</v>
      </c>
      <c r="O91" s="170">
        <v>6.2540558897403219E-4</v>
      </c>
      <c r="P91" s="170">
        <v>0</v>
      </c>
      <c r="Q91" s="169">
        <v>0</v>
      </c>
      <c r="R91" s="170">
        <v>0</v>
      </c>
      <c r="S91" s="170">
        <v>0</v>
      </c>
      <c r="T91" s="170">
        <v>0</v>
      </c>
      <c r="U91" s="170">
        <v>1.9243662006803567E-4</v>
      </c>
      <c r="V91" s="380"/>
    </row>
    <row r="92" spans="1:22">
      <c r="A92" s="166"/>
      <c r="B92" s="199" t="s">
        <v>72</v>
      </c>
      <c r="C92" s="200">
        <v>0</v>
      </c>
      <c r="D92" s="201">
        <v>0</v>
      </c>
      <c r="E92" s="201">
        <v>0</v>
      </c>
      <c r="F92" s="201">
        <v>0</v>
      </c>
      <c r="G92" s="201">
        <v>0</v>
      </c>
      <c r="H92" s="201">
        <v>0</v>
      </c>
      <c r="I92" s="201">
        <v>0</v>
      </c>
      <c r="J92" s="202">
        <v>0</v>
      </c>
      <c r="K92" s="202">
        <v>0</v>
      </c>
      <c r="L92" s="201">
        <v>-0.6389923714938337</v>
      </c>
      <c r="M92" s="201">
        <v>-0.13211747140752819</v>
      </c>
      <c r="N92" s="201">
        <v>0</v>
      </c>
      <c r="O92" s="202">
        <v>-0.37387741472512248</v>
      </c>
      <c r="P92" s="202">
        <v>0</v>
      </c>
      <c r="Q92" s="201">
        <v>0</v>
      </c>
      <c r="R92" s="202">
        <v>0</v>
      </c>
      <c r="S92" s="202">
        <v>0</v>
      </c>
      <c r="T92" s="202">
        <v>0</v>
      </c>
      <c r="U92" s="202">
        <v>-0.12152900513358743</v>
      </c>
      <c r="V92" s="380"/>
    </row>
    <row r="93" spans="1:22">
      <c r="A93" s="166"/>
      <c r="B93" s="246" t="s">
        <v>73</v>
      </c>
      <c r="C93" s="297">
        <v>0</v>
      </c>
      <c r="D93" s="298">
        <v>0</v>
      </c>
      <c r="E93" s="298">
        <v>0</v>
      </c>
      <c r="F93" s="298">
        <v>0</v>
      </c>
      <c r="G93" s="298">
        <v>0</v>
      </c>
      <c r="H93" s="298">
        <v>0</v>
      </c>
      <c r="I93" s="298">
        <v>0</v>
      </c>
      <c r="J93" s="307">
        <v>0</v>
      </c>
      <c r="K93" s="307">
        <v>0</v>
      </c>
      <c r="L93" s="298">
        <v>0</v>
      </c>
      <c r="M93" s="298">
        <v>0</v>
      </c>
      <c r="N93" s="298">
        <v>0</v>
      </c>
      <c r="O93" s="307">
        <v>0</v>
      </c>
      <c r="P93" s="165">
        <v>0</v>
      </c>
      <c r="Q93" s="298">
        <v>0</v>
      </c>
      <c r="R93" s="307">
        <v>0</v>
      </c>
      <c r="S93" s="307">
        <v>0</v>
      </c>
      <c r="T93" s="307">
        <v>0</v>
      </c>
      <c r="U93" s="307">
        <v>0</v>
      </c>
      <c r="V93" s="380"/>
    </row>
    <row r="94" spans="1:22">
      <c r="A94" s="166"/>
      <c r="B94" s="167" t="s">
        <v>74</v>
      </c>
      <c r="C94" s="168">
        <v>0</v>
      </c>
      <c r="D94" s="169">
        <v>0</v>
      </c>
      <c r="E94" s="169">
        <v>0</v>
      </c>
      <c r="F94" s="169">
        <v>0</v>
      </c>
      <c r="G94" s="169">
        <v>0</v>
      </c>
      <c r="H94" s="169">
        <v>0</v>
      </c>
      <c r="I94" s="169">
        <v>0</v>
      </c>
      <c r="J94" s="170">
        <v>0</v>
      </c>
      <c r="K94" s="170">
        <v>0</v>
      </c>
      <c r="L94" s="169">
        <v>0</v>
      </c>
      <c r="M94" s="169">
        <v>0</v>
      </c>
      <c r="N94" s="169">
        <v>0</v>
      </c>
      <c r="O94" s="170">
        <v>0</v>
      </c>
      <c r="P94" s="170">
        <v>0</v>
      </c>
      <c r="Q94" s="169">
        <v>0</v>
      </c>
      <c r="R94" s="170">
        <v>0</v>
      </c>
      <c r="S94" s="170">
        <v>0</v>
      </c>
      <c r="T94" s="170">
        <v>0</v>
      </c>
      <c r="U94" s="170">
        <v>0</v>
      </c>
      <c r="V94" s="380"/>
    </row>
    <row r="95" spans="1:22" ht="15.75" thickBot="1">
      <c r="A95" s="166"/>
      <c r="B95" s="303" t="s">
        <v>75</v>
      </c>
      <c r="C95" s="304">
        <v>0</v>
      </c>
      <c r="D95" s="305">
        <v>0</v>
      </c>
      <c r="E95" s="305">
        <v>0</v>
      </c>
      <c r="F95" s="305">
        <v>0</v>
      </c>
      <c r="G95" s="305">
        <v>0</v>
      </c>
      <c r="H95" s="305">
        <v>0</v>
      </c>
      <c r="I95" s="305">
        <v>0</v>
      </c>
      <c r="J95" s="308">
        <v>0</v>
      </c>
      <c r="K95" s="308">
        <v>0</v>
      </c>
      <c r="L95" s="305">
        <v>0</v>
      </c>
      <c r="M95" s="305">
        <v>0</v>
      </c>
      <c r="N95" s="305">
        <v>0</v>
      </c>
      <c r="O95" s="308">
        <v>0</v>
      </c>
      <c r="P95" s="308">
        <v>0</v>
      </c>
      <c r="Q95" s="305">
        <v>0</v>
      </c>
      <c r="R95" s="308">
        <v>0</v>
      </c>
      <c r="S95" s="308">
        <v>0</v>
      </c>
      <c r="T95" s="308">
        <v>0</v>
      </c>
      <c r="U95" s="308">
        <v>0</v>
      </c>
      <c r="V95" s="380"/>
    </row>
    <row r="96" spans="1:22" ht="15.75" thickTop="1">
      <c r="A96" s="166"/>
      <c r="B96" s="167" t="s">
        <v>76</v>
      </c>
      <c r="C96" s="168">
        <v>0.95355411954765756</v>
      </c>
      <c r="D96" s="169">
        <v>0</v>
      </c>
      <c r="E96" s="169">
        <v>0.97920406941950933</v>
      </c>
      <c r="F96" s="169">
        <v>0</v>
      </c>
      <c r="G96" s="169">
        <v>0</v>
      </c>
      <c r="H96" s="169">
        <v>0</v>
      </c>
      <c r="I96" s="169">
        <v>0</v>
      </c>
      <c r="J96" s="170">
        <v>0.9566045121343677</v>
      </c>
      <c r="K96" s="170">
        <v>0</v>
      </c>
      <c r="L96" s="169">
        <v>0</v>
      </c>
      <c r="M96" s="169">
        <v>0</v>
      </c>
      <c r="N96" s="169">
        <v>0</v>
      </c>
      <c r="O96" s="170">
        <v>0</v>
      </c>
      <c r="P96" s="170">
        <v>0</v>
      </c>
      <c r="Q96" s="169">
        <v>0</v>
      </c>
      <c r="R96" s="170">
        <v>0</v>
      </c>
      <c r="S96" s="170">
        <v>0</v>
      </c>
      <c r="T96" s="170">
        <v>0</v>
      </c>
      <c r="U96" s="170">
        <v>0.9566045121343677</v>
      </c>
      <c r="V96" s="380"/>
    </row>
    <row r="97" spans="1:22">
      <c r="A97" s="166"/>
      <c r="B97" s="167" t="s">
        <v>77</v>
      </c>
      <c r="C97" s="168">
        <v>0.92366048295160119</v>
      </c>
      <c r="D97" s="169">
        <v>0</v>
      </c>
      <c r="E97" s="169">
        <v>0.98247955948606713</v>
      </c>
      <c r="F97" s="169">
        <v>0</v>
      </c>
      <c r="G97" s="169">
        <v>0</v>
      </c>
      <c r="H97" s="169">
        <v>0</v>
      </c>
      <c r="I97" s="169">
        <v>0</v>
      </c>
      <c r="J97" s="170">
        <v>0.93015966665437522</v>
      </c>
      <c r="K97" s="170">
        <v>0</v>
      </c>
      <c r="L97" s="169">
        <v>0</v>
      </c>
      <c r="M97" s="169">
        <v>0</v>
      </c>
      <c r="N97" s="169">
        <v>0</v>
      </c>
      <c r="O97" s="170">
        <v>0</v>
      </c>
      <c r="P97" s="170">
        <v>0</v>
      </c>
      <c r="Q97" s="169">
        <v>0</v>
      </c>
      <c r="R97" s="170">
        <v>0</v>
      </c>
      <c r="S97" s="170">
        <v>0</v>
      </c>
      <c r="T97" s="170">
        <v>0</v>
      </c>
      <c r="U97" s="170">
        <v>0.93015966665437522</v>
      </c>
      <c r="V97" s="380"/>
    </row>
    <row r="98" spans="1:22">
      <c r="A98" s="166"/>
      <c r="B98" s="199" t="s">
        <v>78</v>
      </c>
      <c r="C98" s="200">
        <v>-2.9893636596056372</v>
      </c>
      <c r="D98" s="201">
        <v>0</v>
      </c>
      <c r="E98" s="201">
        <v>0.32754900665578068</v>
      </c>
      <c r="F98" s="201">
        <v>0</v>
      </c>
      <c r="G98" s="201">
        <v>0</v>
      </c>
      <c r="H98" s="201">
        <v>0</v>
      </c>
      <c r="I98" s="201">
        <v>0</v>
      </c>
      <c r="J98" s="202">
        <v>-2.6444845479992485</v>
      </c>
      <c r="K98" s="202">
        <v>0</v>
      </c>
      <c r="L98" s="201">
        <v>0</v>
      </c>
      <c r="M98" s="201">
        <v>0</v>
      </c>
      <c r="N98" s="201">
        <v>0</v>
      </c>
      <c r="O98" s="202">
        <v>0</v>
      </c>
      <c r="P98" s="202">
        <v>0</v>
      </c>
      <c r="Q98" s="201">
        <v>0</v>
      </c>
      <c r="R98" s="202">
        <v>0</v>
      </c>
      <c r="S98" s="202">
        <v>0</v>
      </c>
      <c r="T98" s="202">
        <v>0</v>
      </c>
      <c r="U98" s="202">
        <v>-2.6444845479992485</v>
      </c>
      <c r="V98" s="380"/>
    </row>
    <row r="99" spans="1:22">
      <c r="A99" s="166"/>
      <c r="B99" s="246" t="s">
        <v>79</v>
      </c>
      <c r="C99" s="297">
        <v>0</v>
      </c>
      <c r="D99" s="298">
        <v>0</v>
      </c>
      <c r="E99" s="298">
        <v>0</v>
      </c>
      <c r="F99" s="298">
        <v>0</v>
      </c>
      <c r="G99" s="298">
        <v>0</v>
      </c>
      <c r="H99" s="298">
        <v>0</v>
      </c>
      <c r="I99" s="298">
        <v>0</v>
      </c>
      <c r="J99" s="307">
        <v>0</v>
      </c>
      <c r="K99" s="307">
        <v>0</v>
      </c>
      <c r="L99" s="298">
        <v>0</v>
      </c>
      <c r="M99" s="298">
        <v>0</v>
      </c>
      <c r="N99" s="298">
        <v>0</v>
      </c>
      <c r="O99" s="307">
        <v>0</v>
      </c>
      <c r="P99" s="165">
        <v>0</v>
      </c>
      <c r="Q99" s="298">
        <v>0</v>
      </c>
      <c r="R99" s="307">
        <v>0</v>
      </c>
      <c r="S99" s="307">
        <v>0</v>
      </c>
      <c r="T99" s="307">
        <v>0</v>
      </c>
      <c r="U99" s="307">
        <v>0</v>
      </c>
      <c r="V99" s="380"/>
    </row>
    <row r="100" spans="1:22">
      <c r="A100" s="166"/>
      <c r="B100" s="167" t="s">
        <v>80</v>
      </c>
      <c r="C100" s="168">
        <v>0</v>
      </c>
      <c r="D100" s="169">
        <v>0</v>
      </c>
      <c r="E100" s="169">
        <v>0</v>
      </c>
      <c r="F100" s="169">
        <v>0</v>
      </c>
      <c r="G100" s="169">
        <v>0</v>
      </c>
      <c r="H100" s="169">
        <v>0</v>
      </c>
      <c r="I100" s="169">
        <v>0</v>
      </c>
      <c r="J100" s="170">
        <v>0</v>
      </c>
      <c r="K100" s="170">
        <v>0</v>
      </c>
      <c r="L100" s="169">
        <v>0</v>
      </c>
      <c r="M100" s="169">
        <v>0</v>
      </c>
      <c r="N100" s="169">
        <v>0</v>
      </c>
      <c r="O100" s="170">
        <v>0</v>
      </c>
      <c r="P100" s="170">
        <v>0</v>
      </c>
      <c r="Q100" s="169">
        <v>0</v>
      </c>
      <c r="R100" s="170">
        <v>0</v>
      </c>
      <c r="S100" s="170">
        <v>0</v>
      </c>
      <c r="T100" s="170">
        <v>0</v>
      </c>
      <c r="U100" s="170">
        <v>0</v>
      </c>
      <c r="V100" s="380"/>
    </row>
    <row r="101" spans="1:22">
      <c r="A101" s="166"/>
      <c r="B101" s="199" t="s">
        <v>81</v>
      </c>
      <c r="C101" s="200">
        <v>0</v>
      </c>
      <c r="D101" s="201">
        <v>0</v>
      </c>
      <c r="E101" s="201">
        <v>0</v>
      </c>
      <c r="F101" s="201">
        <v>0</v>
      </c>
      <c r="G101" s="201">
        <v>0</v>
      </c>
      <c r="H101" s="201">
        <v>0</v>
      </c>
      <c r="I101" s="201">
        <v>0</v>
      </c>
      <c r="J101" s="202">
        <v>0</v>
      </c>
      <c r="K101" s="202">
        <v>0</v>
      </c>
      <c r="L101" s="201">
        <v>0</v>
      </c>
      <c r="M101" s="201">
        <v>0</v>
      </c>
      <c r="N101" s="201">
        <v>0</v>
      </c>
      <c r="O101" s="202">
        <v>0</v>
      </c>
      <c r="P101" s="202">
        <v>0</v>
      </c>
      <c r="Q101" s="201">
        <v>0</v>
      </c>
      <c r="R101" s="202">
        <v>0</v>
      </c>
      <c r="S101" s="202">
        <v>0</v>
      </c>
      <c r="T101" s="202">
        <v>0</v>
      </c>
      <c r="U101" s="202">
        <v>0</v>
      </c>
      <c r="V101" s="380"/>
    </row>
    <row r="102" spans="1:22">
      <c r="A102" s="166"/>
      <c r="B102" s="246" t="s">
        <v>82</v>
      </c>
      <c r="C102" s="297">
        <v>4.6445880452342485E-2</v>
      </c>
      <c r="D102" s="298">
        <v>0</v>
      </c>
      <c r="E102" s="298">
        <v>2.0795930580490726E-2</v>
      </c>
      <c r="F102" s="298">
        <v>0</v>
      </c>
      <c r="G102" s="298">
        <v>0</v>
      </c>
      <c r="H102" s="298">
        <v>0</v>
      </c>
      <c r="I102" s="298">
        <v>0</v>
      </c>
      <c r="J102" s="307">
        <v>4.339548786563234E-2</v>
      </c>
      <c r="K102" s="307">
        <v>0</v>
      </c>
      <c r="L102" s="298">
        <v>0</v>
      </c>
      <c r="M102" s="298">
        <v>0</v>
      </c>
      <c r="N102" s="298">
        <v>0</v>
      </c>
      <c r="O102" s="307">
        <v>0</v>
      </c>
      <c r="P102" s="165">
        <v>0</v>
      </c>
      <c r="Q102" s="298">
        <v>0</v>
      </c>
      <c r="R102" s="307">
        <v>0</v>
      </c>
      <c r="S102" s="307">
        <v>0</v>
      </c>
      <c r="T102" s="307">
        <v>0</v>
      </c>
      <c r="U102" s="307">
        <v>4.339548786563234E-2</v>
      </c>
      <c r="V102" s="380"/>
    </row>
    <row r="103" spans="1:22">
      <c r="A103" s="166"/>
      <c r="B103" s="167" t="s">
        <v>83</v>
      </c>
      <c r="C103" s="168">
        <v>7.6339517048398794E-2</v>
      </c>
      <c r="D103" s="169">
        <v>0</v>
      </c>
      <c r="E103" s="169">
        <v>1.7520440513932922E-2</v>
      </c>
      <c r="F103" s="169">
        <v>0</v>
      </c>
      <c r="G103" s="169">
        <v>0</v>
      </c>
      <c r="H103" s="169">
        <v>0</v>
      </c>
      <c r="I103" s="169">
        <v>0</v>
      </c>
      <c r="J103" s="170">
        <v>6.9840333345624839E-2</v>
      </c>
      <c r="K103" s="170">
        <v>0</v>
      </c>
      <c r="L103" s="169">
        <v>0</v>
      </c>
      <c r="M103" s="169">
        <v>0</v>
      </c>
      <c r="N103" s="169">
        <v>0</v>
      </c>
      <c r="O103" s="170">
        <v>0</v>
      </c>
      <c r="P103" s="170">
        <v>0</v>
      </c>
      <c r="Q103" s="169">
        <v>0</v>
      </c>
      <c r="R103" s="170">
        <v>0</v>
      </c>
      <c r="S103" s="170">
        <v>0</v>
      </c>
      <c r="T103" s="170">
        <v>0</v>
      </c>
      <c r="U103" s="170">
        <v>6.9840333345624839E-2</v>
      </c>
      <c r="V103" s="380"/>
    </row>
    <row r="104" spans="1:22">
      <c r="A104" s="166"/>
      <c r="B104" s="199" t="s">
        <v>84</v>
      </c>
      <c r="C104" s="200">
        <v>2.989363659605631</v>
      </c>
      <c r="D104" s="201">
        <v>0</v>
      </c>
      <c r="E104" s="201">
        <v>-0.32754900665578035</v>
      </c>
      <c r="F104" s="201">
        <v>0</v>
      </c>
      <c r="G104" s="201">
        <v>0</v>
      </c>
      <c r="H104" s="201">
        <v>0</v>
      </c>
      <c r="I104" s="201">
        <v>0</v>
      </c>
      <c r="J104" s="202">
        <v>2.6444845479992498</v>
      </c>
      <c r="K104" s="202">
        <v>0</v>
      </c>
      <c r="L104" s="201">
        <v>0</v>
      </c>
      <c r="M104" s="201">
        <v>0</v>
      </c>
      <c r="N104" s="201">
        <v>0</v>
      </c>
      <c r="O104" s="202">
        <v>0</v>
      </c>
      <c r="P104" s="202">
        <v>0</v>
      </c>
      <c r="Q104" s="201">
        <v>0</v>
      </c>
      <c r="R104" s="202">
        <v>0</v>
      </c>
      <c r="S104" s="202">
        <v>0</v>
      </c>
      <c r="T104" s="202">
        <v>0</v>
      </c>
      <c r="U104" s="202">
        <v>2.6444845479992498</v>
      </c>
      <c r="V104" s="380"/>
    </row>
    <row r="105" spans="1:22">
      <c r="A105" s="166"/>
      <c r="B105" s="246" t="s">
        <v>85</v>
      </c>
      <c r="C105" s="297">
        <v>0</v>
      </c>
      <c r="D105" s="298">
        <v>0</v>
      </c>
      <c r="E105" s="298">
        <v>0</v>
      </c>
      <c r="F105" s="298">
        <v>0</v>
      </c>
      <c r="G105" s="298">
        <v>0</v>
      </c>
      <c r="H105" s="298">
        <v>0</v>
      </c>
      <c r="I105" s="298">
        <v>0</v>
      </c>
      <c r="J105" s="307">
        <v>0</v>
      </c>
      <c r="K105" s="307">
        <v>0</v>
      </c>
      <c r="L105" s="298">
        <v>0</v>
      </c>
      <c r="M105" s="298">
        <v>0</v>
      </c>
      <c r="N105" s="298">
        <v>0</v>
      </c>
      <c r="O105" s="307">
        <v>0</v>
      </c>
      <c r="P105" s="165">
        <v>0</v>
      </c>
      <c r="Q105" s="298">
        <v>0</v>
      </c>
      <c r="R105" s="307">
        <v>0</v>
      </c>
      <c r="S105" s="307">
        <v>0</v>
      </c>
      <c r="T105" s="307">
        <v>0</v>
      </c>
      <c r="U105" s="307">
        <v>0</v>
      </c>
      <c r="V105" s="380"/>
    </row>
    <row r="106" spans="1:22">
      <c r="A106" s="166"/>
      <c r="B106" s="167" t="s">
        <v>86</v>
      </c>
      <c r="C106" s="168">
        <v>0</v>
      </c>
      <c r="D106" s="169">
        <v>0</v>
      </c>
      <c r="E106" s="169">
        <v>0</v>
      </c>
      <c r="F106" s="169">
        <v>0</v>
      </c>
      <c r="G106" s="169">
        <v>0</v>
      </c>
      <c r="H106" s="169">
        <v>0</v>
      </c>
      <c r="I106" s="169">
        <v>0</v>
      </c>
      <c r="J106" s="170">
        <v>0</v>
      </c>
      <c r="K106" s="170">
        <v>0</v>
      </c>
      <c r="L106" s="169">
        <v>0</v>
      </c>
      <c r="M106" s="169">
        <v>0</v>
      </c>
      <c r="N106" s="169">
        <v>0</v>
      </c>
      <c r="O106" s="170">
        <v>0</v>
      </c>
      <c r="P106" s="170">
        <v>0</v>
      </c>
      <c r="Q106" s="169">
        <v>0</v>
      </c>
      <c r="R106" s="170">
        <v>0</v>
      </c>
      <c r="S106" s="170">
        <v>0</v>
      </c>
      <c r="T106" s="170">
        <v>0</v>
      </c>
      <c r="U106" s="170">
        <v>0</v>
      </c>
      <c r="V106" s="380"/>
    </row>
    <row r="107" spans="1:22">
      <c r="A107" s="166"/>
      <c r="B107" s="199" t="s">
        <v>87</v>
      </c>
      <c r="C107" s="200">
        <v>0</v>
      </c>
      <c r="D107" s="201">
        <v>0</v>
      </c>
      <c r="E107" s="201">
        <v>0</v>
      </c>
      <c r="F107" s="201">
        <v>0</v>
      </c>
      <c r="G107" s="201">
        <v>0</v>
      </c>
      <c r="H107" s="201">
        <v>0</v>
      </c>
      <c r="I107" s="201">
        <v>0</v>
      </c>
      <c r="J107" s="202">
        <v>0</v>
      </c>
      <c r="K107" s="202">
        <v>0</v>
      </c>
      <c r="L107" s="201">
        <v>0</v>
      </c>
      <c r="M107" s="201">
        <v>0</v>
      </c>
      <c r="N107" s="201">
        <v>0</v>
      </c>
      <c r="O107" s="202">
        <v>0</v>
      </c>
      <c r="P107" s="202">
        <v>0</v>
      </c>
      <c r="Q107" s="201">
        <v>0</v>
      </c>
      <c r="R107" s="202">
        <v>0</v>
      </c>
      <c r="S107" s="202">
        <v>0</v>
      </c>
      <c r="T107" s="202">
        <v>0</v>
      </c>
      <c r="U107" s="202">
        <v>0</v>
      </c>
      <c r="V107" s="380"/>
    </row>
    <row r="108" spans="1:22">
      <c r="A108" s="166"/>
      <c r="B108" s="246" t="s">
        <v>88</v>
      </c>
      <c r="C108" s="297">
        <v>0</v>
      </c>
      <c r="D108" s="298">
        <v>0</v>
      </c>
      <c r="E108" s="298">
        <v>0</v>
      </c>
      <c r="F108" s="298">
        <v>0</v>
      </c>
      <c r="G108" s="298">
        <v>0</v>
      </c>
      <c r="H108" s="298">
        <v>0</v>
      </c>
      <c r="I108" s="298">
        <v>0</v>
      </c>
      <c r="J108" s="307">
        <v>0</v>
      </c>
      <c r="K108" s="307">
        <v>0</v>
      </c>
      <c r="L108" s="298">
        <v>0</v>
      </c>
      <c r="M108" s="298">
        <v>0</v>
      </c>
      <c r="N108" s="298">
        <v>0</v>
      </c>
      <c r="O108" s="307">
        <v>0</v>
      </c>
      <c r="P108" s="165">
        <v>0</v>
      </c>
      <c r="Q108" s="298">
        <v>0</v>
      </c>
      <c r="R108" s="307">
        <v>0</v>
      </c>
      <c r="S108" s="307">
        <v>0</v>
      </c>
      <c r="T108" s="307">
        <v>0</v>
      </c>
      <c r="U108" s="307">
        <v>0</v>
      </c>
      <c r="V108" s="380"/>
    </row>
    <row r="109" spans="1:22">
      <c r="A109" s="166"/>
      <c r="B109" s="167" t="s">
        <v>89</v>
      </c>
      <c r="C109" s="168">
        <v>0</v>
      </c>
      <c r="D109" s="169">
        <v>0</v>
      </c>
      <c r="E109" s="169">
        <v>0</v>
      </c>
      <c r="F109" s="169">
        <v>0</v>
      </c>
      <c r="G109" s="169">
        <v>0</v>
      </c>
      <c r="H109" s="169">
        <v>0</v>
      </c>
      <c r="I109" s="169">
        <v>0</v>
      </c>
      <c r="J109" s="170">
        <v>0</v>
      </c>
      <c r="K109" s="170">
        <v>0</v>
      </c>
      <c r="L109" s="169">
        <v>0</v>
      </c>
      <c r="M109" s="169">
        <v>0</v>
      </c>
      <c r="N109" s="169">
        <v>0</v>
      </c>
      <c r="O109" s="170">
        <v>0</v>
      </c>
      <c r="P109" s="170">
        <v>0</v>
      </c>
      <c r="Q109" s="169">
        <v>0</v>
      </c>
      <c r="R109" s="170">
        <v>0</v>
      </c>
      <c r="S109" s="170">
        <v>0</v>
      </c>
      <c r="T109" s="170">
        <v>0</v>
      </c>
      <c r="U109" s="170">
        <v>0</v>
      </c>
      <c r="V109" s="380"/>
    </row>
    <row r="110" spans="1:22">
      <c r="A110" s="166"/>
      <c r="B110" s="199" t="s">
        <v>90</v>
      </c>
      <c r="C110" s="200">
        <v>0</v>
      </c>
      <c r="D110" s="201">
        <v>0</v>
      </c>
      <c r="E110" s="201">
        <v>0</v>
      </c>
      <c r="F110" s="201">
        <v>0</v>
      </c>
      <c r="G110" s="201">
        <v>0</v>
      </c>
      <c r="H110" s="201">
        <v>0</v>
      </c>
      <c r="I110" s="201">
        <v>0</v>
      </c>
      <c r="J110" s="202">
        <v>0</v>
      </c>
      <c r="K110" s="202">
        <v>0</v>
      </c>
      <c r="L110" s="201">
        <v>0</v>
      </c>
      <c r="M110" s="201">
        <v>0</v>
      </c>
      <c r="N110" s="201">
        <v>0</v>
      </c>
      <c r="O110" s="202">
        <v>0</v>
      </c>
      <c r="P110" s="202">
        <v>0</v>
      </c>
      <c r="Q110" s="201">
        <v>0</v>
      </c>
      <c r="R110" s="202">
        <v>0</v>
      </c>
      <c r="S110" s="202">
        <v>0</v>
      </c>
      <c r="T110" s="202">
        <v>0</v>
      </c>
      <c r="U110" s="202">
        <v>0</v>
      </c>
      <c r="V110" s="380"/>
    </row>
    <row r="111" spans="1:22">
      <c r="A111" s="166"/>
      <c r="B111" s="246" t="s">
        <v>91</v>
      </c>
      <c r="C111" s="297">
        <v>0</v>
      </c>
      <c r="D111" s="298">
        <v>0</v>
      </c>
      <c r="E111" s="298">
        <v>0</v>
      </c>
      <c r="F111" s="298">
        <v>0</v>
      </c>
      <c r="G111" s="298">
        <v>0</v>
      </c>
      <c r="H111" s="298">
        <v>0</v>
      </c>
      <c r="I111" s="298">
        <v>0</v>
      </c>
      <c r="J111" s="307">
        <v>0</v>
      </c>
      <c r="K111" s="307">
        <v>0</v>
      </c>
      <c r="L111" s="298">
        <v>0</v>
      </c>
      <c r="M111" s="298">
        <v>0</v>
      </c>
      <c r="N111" s="298">
        <v>0</v>
      </c>
      <c r="O111" s="307">
        <v>0</v>
      </c>
      <c r="P111" s="165">
        <v>0</v>
      </c>
      <c r="Q111" s="298">
        <v>0</v>
      </c>
      <c r="R111" s="307">
        <v>0</v>
      </c>
      <c r="S111" s="307">
        <v>0</v>
      </c>
      <c r="T111" s="307">
        <v>0</v>
      </c>
      <c r="U111" s="307">
        <v>0</v>
      </c>
      <c r="V111" s="380"/>
    </row>
    <row r="112" spans="1:22">
      <c r="A112" s="166"/>
      <c r="B112" s="167" t="s">
        <v>92</v>
      </c>
      <c r="C112" s="168">
        <v>0</v>
      </c>
      <c r="D112" s="169">
        <v>0</v>
      </c>
      <c r="E112" s="169">
        <v>0</v>
      </c>
      <c r="F112" s="169">
        <v>0</v>
      </c>
      <c r="G112" s="169">
        <v>0</v>
      </c>
      <c r="H112" s="169">
        <v>0</v>
      </c>
      <c r="I112" s="169">
        <v>0</v>
      </c>
      <c r="J112" s="170">
        <v>0</v>
      </c>
      <c r="K112" s="170">
        <v>0</v>
      </c>
      <c r="L112" s="169">
        <v>0</v>
      </c>
      <c r="M112" s="169">
        <v>0</v>
      </c>
      <c r="N112" s="169">
        <v>0</v>
      </c>
      <c r="O112" s="170">
        <v>0</v>
      </c>
      <c r="P112" s="170">
        <v>0</v>
      </c>
      <c r="Q112" s="169">
        <v>0</v>
      </c>
      <c r="R112" s="170">
        <v>0</v>
      </c>
      <c r="S112" s="170">
        <v>0</v>
      </c>
      <c r="T112" s="170">
        <v>0</v>
      </c>
      <c r="U112" s="170">
        <v>0</v>
      </c>
      <c r="V112" s="380"/>
    </row>
    <row r="113" spans="1:22" ht="15.75" thickBot="1">
      <c r="A113" s="310"/>
      <c r="B113" s="311" t="s">
        <v>93</v>
      </c>
      <c r="C113" s="312">
        <v>0</v>
      </c>
      <c r="D113" s="313">
        <v>0</v>
      </c>
      <c r="E113" s="313">
        <v>0</v>
      </c>
      <c r="F113" s="313">
        <v>0</v>
      </c>
      <c r="G113" s="313">
        <v>0</v>
      </c>
      <c r="H113" s="313">
        <v>0</v>
      </c>
      <c r="I113" s="313">
        <v>0</v>
      </c>
      <c r="J113" s="314">
        <v>0</v>
      </c>
      <c r="K113" s="314">
        <v>0</v>
      </c>
      <c r="L113" s="313">
        <v>0</v>
      </c>
      <c r="M113" s="313">
        <v>0</v>
      </c>
      <c r="N113" s="313">
        <v>0</v>
      </c>
      <c r="O113" s="314">
        <v>0</v>
      </c>
      <c r="P113" s="314">
        <v>0</v>
      </c>
      <c r="Q113" s="313">
        <v>0</v>
      </c>
      <c r="R113" s="314">
        <v>0</v>
      </c>
      <c r="S113" s="314">
        <v>0</v>
      </c>
      <c r="T113" s="314">
        <v>0</v>
      </c>
      <c r="U113" s="314">
        <v>0</v>
      </c>
      <c r="V113" s="380"/>
    </row>
    <row r="114" spans="1:22">
      <c r="A114" s="296" t="s">
        <v>42</v>
      </c>
      <c r="B114" s="246" t="s">
        <v>59</v>
      </c>
      <c r="C114" s="297">
        <v>0.79147252444894989</v>
      </c>
      <c r="D114" s="298">
        <v>0</v>
      </c>
      <c r="E114" s="298">
        <v>0.86034623497076423</v>
      </c>
      <c r="F114" s="298">
        <v>0.79553699268685751</v>
      </c>
      <c r="G114" s="298">
        <v>0</v>
      </c>
      <c r="H114" s="298">
        <v>1</v>
      </c>
      <c r="I114" s="298">
        <v>0</v>
      </c>
      <c r="J114" s="307">
        <v>0.80221541412704489</v>
      </c>
      <c r="K114" s="307">
        <v>0.76694712233059825</v>
      </c>
      <c r="L114" s="298">
        <v>0.79175757615429654</v>
      </c>
      <c r="M114" s="298">
        <v>0.68884970411039426</v>
      </c>
      <c r="N114" s="298">
        <v>0.74717976910390327</v>
      </c>
      <c r="O114" s="307">
        <v>0.77158610418795781</v>
      </c>
      <c r="P114" s="165">
        <v>0</v>
      </c>
      <c r="Q114" s="298">
        <v>0</v>
      </c>
      <c r="R114" s="307">
        <v>0</v>
      </c>
      <c r="S114" s="307">
        <v>0</v>
      </c>
      <c r="T114" s="307">
        <v>0</v>
      </c>
      <c r="U114" s="307">
        <v>0.78379231784771008</v>
      </c>
      <c r="V114" s="380"/>
    </row>
    <row r="115" spans="1:22">
      <c r="A115" s="166"/>
      <c r="B115" s="167" t="s">
        <v>60</v>
      </c>
      <c r="C115" s="168">
        <v>0.73246710411389737</v>
      </c>
      <c r="D115" s="169">
        <v>0</v>
      </c>
      <c r="E115" s="169">
        <v>0.85885760789768562</v>
      </c>
      <c r="F115" s="169">
        <v>0.78985358663706895</v>
      </c>
      <c r="G115" s="169">
        <v>0</v>
      </c>
      <c r="H115" s="169">
        <v>1</v>
      </c>
      <c r="I115" s="169">
        <v>0</v>
      </c>
      <c r="J115" s="170">
        <v>0.7523243117183005</v>
      </c>
      <c r="K115" s="170">
        <v>0.75173991620165104</v>
      </c>
      <c r="L115" s="169">
        <v>0.76783539696018221</v>
      </c>
      <c r="M115" s="169">
        <v>0.6599183006535948</v>
      </c>
      <c r="N115" s="169">
        <v>0.72128162686214237</v>
      </c>
      <c r="O115" s="170">
        <v>0.75394498119004716</v>
      </c>
      <c r="P115" s="170">
        <v>0</v>
      </c>
      <c r="Q115" s="169">
        <v>0</v>
      </c>
      <c r="R115" s="170">
        <v>0</v>
      </c>
      <c r="S115" s="170">
        <v>0</v>
      </c>
      <c r="T115" s="170">
        <v>0</v>
      </c>
      <c r="U115" s="170">
        <v>0.75328016668509612</v>
      </c>
      <c r="V115" s="380"/>
    </row>
    <row r="116" spans="1:22">
      <c r="A116" s="166"/>
      <c r="B116" s="199" t="s">
        <v>236</v>
      </c>
      <c r="C116" s="658">
        <v>-5.9005420335052516</v>
      </c>
      <c r="D116" s="201">
        <v>0</v>
      </c>
      <c r="E116" s="201">
        <v>-0.14886270730786189</v>
      </c>
      <c r="F116" s="201">
        <v>-0.56834060497885641</v>
      </c>
      <c r="G116" s="201">
        <v>0</v>
      </c>
      <c r="H116" s="201">
        <v>0</v>
      </c>
      <c r="I116" s="201">
        <v>0</v>
      </c>
      <c r="J116" s="202">
        <v>-4.9891102408744388</v>
      </c>
      <c r="K116" s="202">
        <v>-1.5207206128947215</v>
      </c>
      <c r="L116" s="201">
        <v>-2.3922179194114324</v>
      </c>
      <c r="M116" s="201">
        <v>-2.8931403456799454</v>
      </c>
      <c r="N116" s="201">
        <v>-2.5898142241760902</v>
      </c>
      <c r="O116" s="202">
        <v>-1.7641122997910652</v>
      </c>
      <c r="P116" s="202">
        <v>0</v>
      </c>
      <c r="Q116" s="201">
        <v>0</v>
      </c>
      <c r="R116" s="202">
        <v>0</v>
      </c>
      <c r="S116" s="202">
        <v>0</v>
      </c>
      <c r="T116" s="202">
        <v>0</v>
      </c>
      <c r="U116" s="202">
        <v>-3.0512151162613965</v>
      </c>
      <c r="V116" s="380"/>
    </row>
    <row r="117" spans="1:22">
      <c r="A117" s="166"/>
      <c r="B117" s="246" t="s">
        <v>61</v>
      </c>
      <c r="C117" s="297">
        <v>9.9227248325397283E-2</v>
      </c>
      <c r="D117" s="298">
        <v>0</v>
      </c>
      <c r="E117" s="298">
        <v>1.1668796623440475E-2</v>
      </c>
      <c r="F117" s="298">
        <v>3.0051943215599657E-2</v>
      </c>
      <c r="G117" s="298">
        <v>0</v>
      </c>
      <c r="H117" s="298">
        <v>0</v>
      </c>
      <c r="I117" s="298">
        <v>0</v>
      </c>
      <c r="J117" s="307">
        <v>8.3206997080024825E-2</v>
      </c>
      <c r="K117" s="307">
        <v>3.4953868582808405E-2</v>
      </c>
      <c r="L117" s="298">
        <v>1.7966428573474164E-2</v>
      </c>
      <c r="M117" s="298">
        <v>8.1155238515075001E-2</v>
      </c>
      <c r="N117" s="298">
        <v>3.6283672347443653E-2</v>
      </c>
      <c r="O117" s="307">
        <v>3.1580680794216748E-2</v>
      </c>
      <c r="P117" s="165">
        <v>0</v>
      </c>
      <c r="Q117" s="298">
        <v>0</v>
      </c>
      <c r="R117" s="307">
        <v>0</v>
      </c>
      <c r="S117" s="307">
        <v>0</v>
      </c>
      <c r="T117" s="307">
        <v>0</v>
      </c>
      <c r="U117" s="307">
        <v>5.2154498758243149E-2</v>
      </c>
      <c r="V117" s="380"/>
    </row>
    <row r="118" spans="1:22">
      <c r="A118" s="166"/>
      <c r="B118" s="167" t="s">
        <v>62</v>
      </c>
      <c r="C118" s="168">
        <v>8.6384904337110366E-2</v>
      </c>
      <c r="D118" s="169">
        <v>0</v>
      </c>
      <c r="E118" s="169">
        <v>1.3450987210695105E-2</v>
      </c>
      <c r="F118" s="169">
        <v>2.8515986009455801E-2</v>
      </c>
      <c r="G118" s="169">
        <v>0</v>
      </c>
      <c r="H118" s="169">
        <v>0</v>
      </c>
      <c r="I118" s="169">
        <v>0</v>
      </c>
      <c r="J118" s="170">
        <v>7.3951302337774652E-2</v>
      </c>
      <c r="K118" s="170">
        <v>3.4428732679416256E-2</v>
      </c>
      <c r="L118" s="169">
        <v>2.0225682445019318E-2</v>
      </c>
      <c r="M118" s="169">
        <v>8.0038126361655776E-2</v>
      </c>
      <c r="N118" s="169">
        <v>4.8001891700165521E-2</v>
      </c>
      <c r="O118" s="170">
        <v>3.1740238371883389E-2</v>
      </c>
      <c r="P118" s="170">
        <v>0</v>
      </c>
      <c r="Q118" s="169">
        <v>0</v>
      </c>
      <c r="R118" s="170">
        <v>0</v>
      </c>
      <c r="S118" s="170">
        <v>0</v>
      </c>
      <c r="T118" s="170">
        <v>0</v>
      </c>
      <c r="U118" s="170">
        <v>4.9055630611423276E-2</v>
      </c>
      <c r="V118" s="380"/>
    </row>
    <row r="119" spans="1:22">
      <c r="A119" s="166"/>
      <c r="B119" s="199" t="s">
        <v>63</v>
      </c>
      <c r="C119" s="200">
        <v>-1.2842343988286917</v>
      </c>
      <c r="D119" s="201">
        <v>0</v>
      </c>
      <c r="E119" s="201">
        <v>0.17821905872546298</v>
      </c>
      <c r="F119" s="201">
        <v>-0.15359572061438564</v>
      </c>
      <c r="G119" s="201">
        <v>0</v>
      </c>
      <c r="H119" s="201">
        <v>0</v>
      </c>
      <c r="I119" s="201">
        <v>0</v>
      </c>
      <c r="J119" s="202">
        <v>-0.92556947422501734</v>
      </c>
      <c r="K119" s="202">
        <v>-5.2513590339214877E-2</v>
      </c>
      <c r="L119" s="201">
        <v>0.22592538715451549</v>
      </c>
      <c r="M119" s="201">
        <v>-0.11171121534192252</v>
      </c>
      <c r="N119" s="201">
        <v>1.1718219352721868</v>
      </c>
      <c r="O119" s="202">
        <v>1.5955757766664136E-2</v>
      </c>
      <c r="P119" s="202">
        <v>0</v>
      </c>
      <c r="Q119" s="201">
        <v>0</v>
      </c>
      <c r="R119" s="202">
        <v>0</v>
      </c>
      <c r="S119" s="202">
        <v>0</v>
      </c>
      <c r="T119" s="202">
        <v>0</v>
      </c>
      <c r="U119" s="202">
        <v>-0.30988681468198731</v>
      </c>
      <c r="V119" s="380"/>
    </row>
    <row r="120" spans="1:22">
      <c r="A120" s="166"/>
      <c r="B120" s="246" t="s">
        <v>64</v>
      </c>
      <c r="C120" s="297">
        <v>0.10608993954867675</v>
      </c>
      <c r="D120" s="298">
        <v>0</v>
      </c>
      <c r="E120" s="298">
        <v>0.10502249911351995</v>
      </c>
      <c r="F120" s="298">
        <v>0.17438859175457633</v>
      </c>
      <c r="G120" s="298">
        <v>0</v>
      </c>
      <c r="H120" s="298">
        <v>0</v>
      </c>
      <c r="I120" s="298">
        <v>0</v>
      </c>
      <c r="J120" s="307">
        <v>0.10877425351584297</v>
      </c>
      <c r="K120" s="307">
        <v>0.18765345082429571</v>
      </c>
      <c r="L120" s="298">
        <v>0.184784400811527</v>
      </c>
      <c r="M120" s="298">
        <v>0.22336392417745363</v>
      </c>
      <c r="N120" s="298">
        <v>0.21653655854865311</v>
      </c>
      <c r="O120" s="307">
        <v>0.18775458135943798</v>
      </c>
      <c r="P120" s="165">
        <v>0</v>
      </c>
      <c r="Q120" s="298">
        <v>0</v>
      </c>
      <c r="R120" s="307">
        <v>0</v>
      </c>
      <c r="S120" s="307">
        <v>0</v>
      </c>
      <c r="T120" s="307">
        <v>0</v>
      </c>
      <c r="U120" s="307">
        <v>0.15627980251220233</v>
      </c>
      <c r="V120" s="380"/>
    </row>
    <row r="121" spans="1:22">
      <c r="A121" s="166"/>
      <c r="B121" s="167" t="s">
        <v>65</v>
      </c>
      <c r="C121" s="168">
        <v>0.17817913212438458</v>
      </c>
      <c r="D121" s="169">
        <v>0</v>
      </c>
      <c r="E121" s="169">
        <v>0.10670472547428615</v>
      </c>
      <c r="F121" s="169">
        <v>0.1816304273534752</v>
      </c>
      <c r="G121" s="169">
        <v>0</v>
      </c>
      <c r="H121" s="169">
        <v>0</v>
      </c>
      <c r="I121" s="169">
        <v>0</v>
      </c>
      <c r="J121" s="170">
        <v>0.16866356166466417</v>
      </c>
      <c r="K121" s="170">
        <v>0.20912248890460211</v>
      </c>
      <c r="L121" s="169">
        <v>0.21138763272049868</v>
      </c>
      <c r="M121" s="169">
        <v>0.2542156862745098</v>
      </c>
      <c r="N121" s="169">
        <v>0.230148971388035</v>
      </c>
      <c r="O121" s="170">
        <v>0.21066505984631417</v>
      </c>
      <c r="P121" s="170">
        <v>0</v>
      </c>
      <c r="Q121" s="169">
        <v>0</v>
      </c>
      <c r="R121" s="170">
        <v>0</v>
      </c>
      <c r="S121" s="170">
        <v>0</v>
      </c>
      <c r="T121" s="170">
        <v>0</v>
      </c>
      <c r="U121" s="170">
        <v>0.19343563354587159</v>
      </c>
      <c r="V121" s="380"/>
    </row>
    <row r="122" spans="1:22">
      <c r="A122" s="166"/>
      <c r="B122" s="199" t="s">
        <v>66</v>
      </c>
      <c r="C122" s="658">
        <v>7.2089192575707823</v>
      </c>
      <c r="D122" s="201">
        <v>0</v>
      </c>
      <c r="E122" s="201">
        <v>0.16822263607662036</v>
      </c>
      <c r="F122" s="201">
        <v>0.7241835598898877</v>
      </c>
      <c r="G122" s="201">
        <v>0</v>
      </c>
      <c r="H122" s="201">
        <v>0</v>
      </c>
      <c r="I122" s="201">
        <v>0</v>
      </c>
      <c r="J122" s="202">
        <v>5.9889308148821208</v>
      </c>
      <c r="K122" s="202">
        <v>2.1469038080306397</v>
      </c>
      <c r="L122" s="201">
        <v>2.6603231908971683</v>
      </c>
      <c r="M122" s="201">
        <v>3.0851762097056175</v>
      </c>
      <c r="N122" s="201">
        <v>1.3612412839381887</v>
      </c>
      <c r="O122" s="202">
        <v>2.2910478486876191</v>
      </c>
      <c r="P122" s="202">
        <v>0</v>
      </c>
      <c r="Q122" s="201">
        <v>0</v>
      </c>
      <c r="R122" s="202">
        <v>0</v>
      </c>
      <c r="S122" s="202">
        <v>0</v>
      </c>
      <c r="T122" s="202">
        <v>0</v>
      </c>
      <c r="U122" s="202">
        <v>3.7155831033669262</v>
      </c>
      <c r="V122" s="380"/>
    </row>
    <row r="123" spans="1:22">
      <c r="A123" s="166"/>
      <c r="B123" s="246" t="s">
        <v>67</v>
      </c>
      <c r="C123" s="297">
        <v>1.9600278066095652E-3</v>
      </c>
      <c r="D123" s="298">
        <v>0</v>
      </c>
      <c r="E123" s="298">
        <v>2.2962469292275387E-2</v>
      </c>
      <c r="F123" s="298">
        <v>2.2472342966477684E-5</v>
      </c>
      <c r="G123" s="298">
        <v>0</v>
      </c>
      <c r="H123" s="298">
        <v>0</v>
      </c>
      <c r="I123" s="298">
        <v>0</v>
      </c>
      <c r="J123" s="307">
        <v>4.7937830073905832E-3</v>
      </c>
      <c r="K123" s="307">
        <v>9.0663843555588326E-3</v>
      </c>
      <c r="L123" s="298">
        <v>5.0112896185013096E-3</v>
      </c>
      <c r="M123" s="298">
        <v>6.4922053460505754E-3</v>
      </c>
      <c r="N123" s="298">
        <v>0</v>
      </c>
      <c r="O123" s="307">
        <v>7.955612873302903E-3</v>
      </c>
      <c r="P123" s="165">
        <v>0</v>
      </c>
      <c r="Q123" s="298">
        <v>0</v>
      </c>
      <c r="R123" s="307">
        <v>0</v>
      </c>
      <c r="S123" s="307">
        <v>0</v>
      </c>
      <c r="T123" s="307">
        <v>0</v>
      </c>
      <c r="U123" s="307">
        <v>6.6955789066264074E-3</v>
      </c>
      <c r="V123" s="380"/>
    </row>
    <row r="124" spans="1:22">
      <c r="A124" s="166"/>
      <c r="B124" s="167" t="s">
        <v>68</v>
      </c>
      <c r="C124" s="168">
        <v>8.519592250581839E-4</v>
      </c>
      <c r="D124" s="169">
        <v>0</v>
      </c>
      <c r="E124" s="169">
        <v>2.098667941733318E-2</v>
      </c>
      <c r="F124" s="169">
        <v>0</v>
      </c>
      <c r="G124" s="169">
        <v>0</v>
      </c>
      <c r="H124" s="169">
        <v>0</v>
      </c>
      <c r="I124" s="169">
        <v>0</v>
      </c>
      <c r="J124" s="170">
        <v>3.3254167898785327E-3</v>
      </c>
      <c r="K124" s="170">
        <v>3.4882189474347456E-3</v>
      </c>
      <c r="L124" s="169">
        <v>0</v>
      </c>
      <c r="M124" s="169">
        <v>5.550108932461874E-3</v>
      </c>
      <c r="N124" s="659">
        <v>5.6751004965712934E-4</v>
      </c>
      <c r="O124" s="170">
        <v>2.6237327183853557E-3</v>
      </c>
      <c r="P124" s="170">
        <v>0</v>
      </c>
      <c r="Q124" s="169">
        <v>0</v>
      </c>
      <c r="R124" s="170">
        <v>0</v>
      </c>
      <c r="S124" s="170">
        <v>0</v>
      </c>
      <c r="T124" s="170">
        <v>0</v>
      </c>
      <c r="U124" s="170">
        <v>2.9115704032150842E-3</v>
      </c>
      <c r="V124" s="380"/>
    </row>
    <row r="125" spans="1:22">
      <c r="A125" s="166"/>
      <c r="B125" s="199" t="s">
        <v>69</v>
      </c>
      <c r="C125" s="200">
        <v>-0.11080685815513813</v>
      </c>
      <c r="D125" s="201">
        <v>0</v>
      </c>
      <c r="E125" s="201">
        <v>-0.19757898749422076</v>
      </c>
      <c r="F125" s="201">
        <v>-2.2472342966477683E-3</v>
      </c>
      <c r="G125" s="201">
        <v>0</v>
      </c>
      <c r="H125" s="201">
        <v>0</v>
      </c>
      <c r="I125" s="201">
        <v>0</v>
      </c>
      <c r="J125" s="202">
        <v>-0.14683662175120504</v>
      </c>
      <c r="K125" s="202">
        <v>-0.55781654081240872</v>
      </c>
      <c r="L125" s="201">
        <v>-0.50112896185013101</v>
      </c>
      <c r="M125" s="201">
        <v>-9.4209641358870139E-2</v>
      </c>
      <c r="N125" s="201">
        <v>0</v>
      </c>
      <c r="O125" s="202">
        <v>-0.53318801549175476</v>
      </c>
      <c r="P125" s="202">
        <v>0</v>
      </c>
      <c r="Q125" s="201">
        <v>0</v>
      </c>
      <c r="R125" s="202">
        <v>0</v>
      </c>
      <c r="S125" s="202">
        <v>0</v>
      </c>
      <c r="T125" s="202">
        <v>0</v>
      </c>
      <c r="U125" s="202">
        <v>-0.3784008503411323</v>
      </c>
      <c r="V125" s="380"/>
    </row>
    <row r="126" spans="1:22">
      <c r="A126" s="166"/>
      <c r="B126" s="246" t="s">
        <v>70</v>
      </c>
      <c r="C126" s="297">
        <v>5.1878002919770864E-6</v>
      </c>
      <c r="D126" s="298">
        <v>0</v>
      </c>
      <c r="E126" s="298">
        <v>0</v>
      </c>
      <c r="F126" s="298">
        <v>0</v>
      </c>
      <c r="G126" s="298">
        <v>0</v>
      </c>
      <c r="H126" s="298">
        <v>0</v>
      </c>
      <c r="I126" s="298">
        <v>0</v>
      </c>
      <c r="J126" s="307">
        <v>4.1890135672064776E-6</v>
      </c>
      <c r="K126" s="307">
        <v>8.0920990353228065E-4</v>
      </c>
      <c r="L126" s="298">
        <v>4.8030484220103989E-4</v>
      </c>
      <c r="M126" s="298">
        <v>1.3892785102659667E-4</v>
      </c>
      <c r="N126" s="298">
        <v>0</v>
      </c>
      <c r="O126" s="307">
        <v>7.0989304730379409E-4</v>
      </c>
      <c r="P126" s="165">
        <v>0</v>
      </c>
      <c r="Q126" s="298">
        <v>0</v>
      </c>
      <c r="R126" s="307">
        <v>0</v>
      </c>
      <c r="S126" s="307">
        <v>0</v>
      </c>
      <c r="T126" s="307">
        <v>0</v>
      </c>
      <c r="U126" s="307">
        <v>4.2865999851919703E-4</v>
      </c>
      <c r="V126" s="380"/>
    </row>
    <row r="127" spans="1:22">
      <c r="A127" s="166"/>
      <c r="B127" s="167" t="s">
        <v>71</v>
      </c>
      <c r="C127" s="168">
        <v>9.1206281894889323E-4</v>
      </c>
      <c r="D127" s="169">
        <v>0</v>
      </c>
      <c r="E127" s="169">
        <v>0</v>
      </c>
      <c r="F127" s="169">
        <v>0</v>
      </c>
      <c r="G127" s="169">
        <v>0</v>
      </c>
      <c r="H127" s="169">
        <v>0</v>
      </c>
      <c r="I127" s="169">
        <v>0</v>
      </c>
      <c r="J127" s="170">
        <v>7.4769733931138538E-4</v>
      </c>
      <c r="K127" s="170">
        <v>1.1579265020774563E-3</v>
      </c>
      <c r="L127" s="169">
        <v>5.5128787429978212E-4</v>
      </c>
      <c r="M127" s="169">
        <v>2.7777777777777778E-4</v>
      </c>
      <c r="N127" s="169">
        <v>0</v>
      </c>
      <c r="O127" s="170">
        <v>9.8078553878502232E-4</v>
      </c>
      <c r="P127" s="170">
        <v>0</v>
      </c>
      <c r="Q127" s="169">
        <v>0</v>
      </c>
      <c r="R127" s="170">
        <v>0</v>
      </c>
      <c r="S127" s="170">
        <v>0</v>
      </c>
      <c r="T127" s="170">
        <v>0</v>
      </c>
      <c r="U127" s="170">
        <v>8.8517047436600059E-4</v>
      </c>
      <c r="V127" s="380"/>
    </row>
    <row r="128" spans="1:22">
      <c r="A128" s="166"/>
      <c r="B128" s="199" t="s">
        <v>72</v>
      </c>
      <c r="C128" s="200">
        <v>9.0687501865691619E-2</v>
      </c>
      <c r="D128" s="201">
        <v>0</v>
      </c>
      <c r="E128" s="201">
        <v>0</v>
      </c>
      <c r="F128" s="201">
        <v>0</v>
      </c>
      <c r="G128" s="201">
        <v>0</v>
      </c>
      <c r="H128" s="201">
        <v>0</v>
      </c>
      <c r="I128" s="201">
        <v>0</v>
      </c>
      <c r="J128" s="202">
        <v>7.4350832574417894E-2</v>
      </c>
      <c r="K128" s="202">
        <v>3.4871659854517567E-2</v>
      </c>
      <c r="L128" s="201">
        <v>7.0983032098742224E-3</v>
      </c>
      <c r="M128" s="201">
        <v>1.3884992675118111E-2</v>
      </c>
      <c r="N128" s="201">
        <v>0</v>
      </c>
      <c r="O128" s="202">
        <v>2.7089249148122822E-2</v>
      </c>
      <c r="P128" s="202">
        <v>0</v>
      </c>
      <c r="Q128" s="201">
        <v>0</v>
      </c>
      <c r="R128" s="202">
        <v>0</v>
      </c>
      <c r="S128" s="202">
        <v>0</v>
      </c>
      <c r="T128" s="202">
        <v>0</v>
      </c>
      <c r="U128" s="202">
        <v>4.5651047584680353E-2</v>
      </c>
      <c r="V128" s="380"/>
    </row>
    <row r="129" spans="1:22">
      <c r="A129" s="166"/>
      <c r="B129" s="246" t="s">
        <v>73</v>
      </c>
      <c r="C129" s="297">
        <v>1.2450720700745007E-3</v>
      </c>
      <c r="D129" s="298">
        <v>0</v>
      </c>
      <c r="E129" s="298">
        <v>0</v>
      </c>
      <c r="F129" s="298">
        <v>0</v>
      </c>
      <c r="G129" s="298">
        <v>0</v>
      </c>
      <c r="H129" s="298">
        <v>0</v>
      </c>
      <c r="I129" s="298">
        <v>0</v>
      </c>
      <c r="J129" s="307">
        <v>1.0053632561295546E-3</v>
      </c>
      <c r="K129" s="307">
        <v>5.6996400320649069E-4</v>
      </c>
      <c r="L129" s="298">
        <v>0</v>
      </c>
      <c r="M129" s="298">
        <v>0</v>
      </c>
      <c r="N129" s="298">
        <v>0</v>
      </c>
      <c r="O129" s="307">
        <v>4.1312773778076292E-4</v>
      </c>
      <c r="P129" s="165">
        <v>0</v>
      </c>
      <c r="Q129" s="298">
        <v>0</v>
      </c>
      <c r="R129" s="307">
        <v>0</v>
      </c>
      <c r="S129" s="307">
        <v>0</v>
      </c>
      <c r="T129" s="307">
        <v>0</v>
      </c>
      <c r="U129" s="307">
        <v>6.4914197669883888E-4</v>
      </c>
      <c r="V129" s="380"/>
    </row>
    <row r="130" spans="1:22">
      <c r="A130" s="166"/>
      <c r="B130" s="167" t="s">
        <v>74</v>
      </c>
      <c r="C130" s="168">
        <v>1.2048373806005696E-3</v>
      </c>
      <c r="D130" s="169">
        <v>0</v>
      </c>
      <c r="E130" s="169">
        <v>0</v>
      </c>
      <c r="F130" s="169">
        <v>0</v>
      </c>
      <c r="G130" s="169">
        <v>0</v>
      </c>
      <c r="H130" s="169">
        <v>0</v>
      </c>
      <c r="I130" s="169">
        <v>0</v>
      </c>
      <c r="J130" s="170">
        <v>9.8771015007073052E-4</v>
      </c>
      <c r="K130" s="170">
        <v>6.271676481840361E-5</v>
      </c>
      <c r="L130" s="169">
        <v>0</v>
      </c>
      <c r="M130" s="169">
        <v>0</v>
      </c>
      <c r="N130" s="169">
        <v>0</v>
      </c>
      <c r="O130" s="170">
        <v>4.5202334584947434E-5</v>
      </c>
      <c r="P130" s="170">
        <v>0</v>
      </c>
      <c r="Q130" s="169">
        <v>0</v>
      </c>
      <c r="R130" s="170">
        <v>0</v>
      </c>
      <c r="S130" s="170">
        <v>0</v>
      </c>
      <c r="T130" s="170">
        <v>0</v>
      </c>
      <c r="U130" s="170">
        <v>4.3182828002796066E-4</v>
      </c>
      <c r="V130" s="380"/>
    </row>
    <row r="131" spans="1:22" ht="15.75" thickBot="1">
      <c r="A131" s="166"/>
      <c r="B131" s="303" t="s">
        <v>75</v>
      </c>
      <c r="C131" s="304">
        <v>-4.0234689473931176E-3</v>
      </c>
      <c r="D131" s="305">
        <v>0</v>
      </c>
      <c r="E131" s="305">
        <v>0</v>
      </c>
      <c r="F131" s="305">
        <v>0</v>
      </c>
      <c r="G131" s="305">
        <v>0</v>
      </c>
      <c r="H131" s="305">
        <v>0</v>
      </c>
      <c r="I131" s="305">
        <v>0</v>
      </c>
      <c r="J131" s="308">
        <v>-1.7653106058824119E-3</v>
      </c>
      <c r="K131" s="308">
        <v>-5.0724723838808709E-2</v>
      </c>
      <c r="L131" s="305">
        <v>0</v>
      </c>
      <c r="M131" s="305">
        <v>0</v>
      </c>
      <c r="N131" s="305">
        <v>0</v>
      </c>
      <c r="O131" s="308">
        <v>-3.6792540319581547E-2</v>
      </c>
      <c r="P131" s="308">
        <v>0</v>
      </c>
      <c r="Q131" s="305">
        <v>0</v>
      </c>
      <c r="R131" s="308">
        <v>0</v>
      </c>
      <c r="S131" s="308">
        <v>0</v>
      </c>
      <c r="T131" s="308">
        <v>0</v>
      </c>
      <c r="U131" s="308">
        <v>-2.1731369667087823E-2</v>
      </c>
      <c r="V131" s="380"/>
    </row>
    <row r="132" spans="1:22" ht="15.75" thickTop="1">
      <c r="A132" s="166"/>
      <c r="B132" s="167" t="s">
        <v>76</v>
      </c>
      <c r="C132" s="168">
        <v>0.78681841746790238</v>
      </c>
      <c r="D132" s="169">
        <v>0</v>
      </c>
      <c r="E132" s="169">
        <v>0.5552316252412528</v>
      </c>
      <c r="F132" s="169">
        <v>0.51095159212221608</v>
      </c>
      <c r="G132" s="169">
        <v>0</v>
      </c>
      <c r="H132" s="169">
        <v>0</v>
      </c>
      <c r="I132" s="169">
        <v>0</v>
      </c>
      <c r="J132" s="170">
        <v>0.75876008030517383</v>
      </c>
      <c r="K132" s="170">
        <v>0</v>
      </c>
      <c r="L132" s="169">
        <v>0</v>
      </c>
      <c r="M132" s="169">
        <v>0</v>
      </c>
      <c r="N132" s="169">
        <v>0</v>
      </c>
      <c r="O132" s="170">
        <v>0</v>
      </c>
      <c r="P132" s="170">
        <v>0</v>
      </c>
      <c r="Q132" s="169">
        <v>0</v>
      </c>
      <c r="R132" s="170">
        <v>0</v>
      </c>
      <c r="S132" s="170">
        <v>0</v>
      </c>
      <c r="T132" s="170">
        <v>0</v>
      </c>
      <c r="U132" s="170">
        <v>0.75876008030517383</v>
      </c>
      <c r="V132" s="380"/>
    </row>
    <row r="133" spans="1:22">
      <c r="A133" s="166"/>
      <c r="B133" s="167" t="s">
        <v>77</v>
      </c>
      <c r="C133" s="168">
        <v>0.73248570617990116</v>
      </c>
      <c r="D133" s="169">
        <v>0</v>
      </c>
      <c r="E133" s="169">
        <v>0.56875056957987791</v>
      </c>
      <c r="F133" s="169">
        <v>0.56061493411420205</v>
      </c>
      <c r="G133" s="169">
        <v>0</v>
      </c>
      <c r="H133" s="169">
        <v>0</v>
      </c>
      <c r="I133" s="169">
        <v>0</v>
      </c>
      <c r="J133" s="170">
        <v>0.71386785296702893</v>
      </c>
      <c r="K133" s="170">
        <v>0</v>
      </c>
      <c r="L133" s="169">
        <v>0</v>
      </c>
      <c r="M133" s="169">
        <v>0</v>
      </c>
      <c r="N133" s="169">
        <v>0</v>
      </c>
      <c r="O133" s="170">
        <v>0</v>
      </c>
      <c r="P133" s="170">
        <v>0</v>
      </c>
      <c r="Q133" s="169">
        <v>0</v>
      </c>
      <c r="R133" s="170">
        <v>0</v>
      </c>
      <c r="S133" s="170">
        <v>0</v>
      </c>
      <c r="T133" s="170">
        <v>0</v>
      </c>
      <c r="U133" s="170">
        <v>0.71386785296702893</v>
      </c>
      <c r="V133" s="380"/>
    </row>
    <row r="134" spans="1:22">
      <c r="A134" s="166"/>
      <c r="B134" s="199" t="s">
        <v>78</v>
      </c>
      <c r="C134" s="658">
        <v>-5.4332711288001212</v>
      </c>
      <c r="D134" s="201">
        <v>0</v>
      </c>
      <c r="E134" s="201">
        <v>1.3518944338625105</v>
      </c>
      <c r="F134" s="656">
        <v>4.966334199198597</v>
      </c>
      <c r="G134" s="201">
        <v>0</v>
      </c>
      <c r="H134" s="201">
        <v>0</v>
      </c>
      <c r="I134" s="201">
        <v>0</v>
      </c>
      <c r="J134" s="202">
        <v>-4.4892227338144908</v>
      </c>
      <c r="K134" s="202">
        <v>0</v>
      </c>
      <c r="L134" s="201">
        <v>0</v>
      </c>
      <c r="M134" s="201">
        <v>0</v>
      </c>
      <c r="N134" s="201">
        <v>0</v>
      </c>
      <c r="O134" s="202">
        <v>0</v>
      </c>
      <c r="P134" s="202">
        <v>0</v>
      </c>
      <c r="Q134" s="201">
        <v>0</v>
      </c>
      <c r="R134" s="202">
        <v>0</v>
      </c>
      <c r="S134" s="202">
        <v>0</v>
      </c>
      <c r="T134" s="202">
        <v>0</v>
      </c>
      <c r="U134" s="202">
        <v>-4.4892227338144908</v>
      </c>
      <c r="V134" s="380"/>
    </row>
    <row r="135" spans="1:22">
      <c r="A135" s="166"/>
      <c r="B135" s="246" t="s">
        <v>79</v>
      </c>
      <c r="C135" s="297">
        <v>7.5069178392506861E-2</v>
      </c>
      <c r="D135" s="298">
        <v>0</v>
      </c>
      <c r="E135" s="298">
        <v>0.18661098078565908</v>
      </c>
      <c r="F135" s="298">
        <v>0.12230811706239647</v>
      </c>
      <c r="G135" s="298">
        <v>0</v>
      </c>
      <c r="H135" s="298">
        <v>0</v>
      </c>
      <c r="I135" s="298">
        <v>0</v>
      </c>
      <c r="J135" s="307">
        <v>8.6931593269560181E-2</v>
      </c>
      <c r="K135" s="307">
        <v>0</v>
      </c>
      <c r="L135" s="298">
        <v>0</v>
      </c>
      <c r="M135" s="298">
        <v>0</v>
      </c>
      <c r="N135" s="298">
        <v>0</v>
      </c>
      <c r="O135" s="307">
        <v>0</v>
      </c>
      <c r="P135" s="165">
        <v>0</v>
      </c>
      <c r="Q135" s="298">
        <v>0</v>
      </c>
      <c r="R135" s="307">
        <v>0</v>
      </c>
      <c r="S135" s="307">
        <v>0</v>
      </c>
      <c r="T135" s="307">
        <v>0</v>
      </c>
      <c r="U135" s="307">
        <v>8.6931593269560181E-2</v>
      </c>
      <c r="V135" s="380"/>
    </row>
    <row r="136" spans="1:22">
      <c r="A136" s="166"/>
      <c r="B136" s="167" t="s">
        <v>80</v>
      </c>
      <c r="C136" s="168">
        <v>7.5453400608326629E-2</v>
      </c>
      <c r="D136" s="169">
        <v>0</v>
      </c>
      <c r="E136" s="169">
        <v>0.15085209149731157</v>
      </c>
      <c r="F136" s="169">
        <v>0.11342118106393363</v>
      </c>
      <c r="G136" s="169">
        <v>0</v>
      </c>
      <c r="H136" s="169">
        <v>0</v>
      </c>
      <c r="I136" s="169">
        <v>0</v>
      </c>
      <c r="J136" s="170">
        <v>8.3295752426080408E-2</v>
      </c>
      <c r="K136" s="170">
        <v>0</v>
      </c>
      <c r="L136" s="169">
        <v>0</v>
      </c>
      <c r="M136" s="169">
        <v>0</v>
      </c>
      <c r="N136" s="169">
        <v>0</v>
      </c>
      <c r="O136" s="170">
        <v>0</v>
      </c>
      <c r="P136" s="170">
        <v>0</v>
      </c>
      <c r="Q136" s="169">
        <v>0</v>
      </c>
      <c r="R136" s="170">
        <v>0</v>
      </c>
      <c r="S136" s="170">
        <v>0</v>
      </c>
      <c r="T136" s="170">
        <v>0</v>
      </c>
      <c r="U136" s="170">
        <v>8.3295752426080408E-2</v>
      </c>
      <c r="V136" s="380"/>
    </row>
    <row r="137" spans="1:22">
      <c r="A137" s="166"/>
      <c r="B137" s="199" t="s">
        <v>81</v>
      </c>
      <c r="C137" s="200">
        <v>3.8422221581976834E-2</v>
      </c>
      <c r="D137" s="201">
        <v>0</v>
      </c>
      <c r="E137" s="201">
        <v>-3.57588892883475</v>
      </c>
      <c r="F137" s="201">
        <v>-0.88869359984628393</v>
      </c>
      <c r="G137" s="201">
        <v>0</v>
      </c>
      <c r="H137" s="201">
        <v>0</v>
      </c>
      <c r="I137" s="201">
        <v>0</v>
      </c>
      <c r="J137" s="202">
        <v>-0.36358408434797734</v>
      </c>
      <c r="K137" s="202">
        <v>0</v>
      </c>
      <c r="L137" s="201">
        <v>0</v>
      </c>
      <c r="M137" s="201">
        <v>0</v>
      </c>
      <c r="N137" s="201">
        <v>0</v>
      </c>
      <c r="O137" s="202">
        <v>0</v>
      </c>
      <c r="P137" s="202">
        <v>0</v>
      </c>
      <c r="Q137" s="201">
        <v>0</v>
      </c>
      <c r="R137" s="202">
        <v>0</v>
      </c>
      <c r="S137" s="202">
        <v>0</v>
      </c>
      <c r="T137" s="202">
        <v>0</v>
      </c>
      <c r="U137" s="202">
        <v>-0.36358408434797734</v>
      </c>
      <c r="V137" s="380"/>
    </row>
    <row r="138" spans="1:22">
      <c r="A138" s="166"/>
      <c r="B138" s="246" t="s">
        <v>82</v>
      </c>
      <c r="C138" s="297">
        <v>0.13469811168004811</v>
      </c>
      <c r="D138" s="298">
        <v>0</v>
      </c>
      <c r="E138" s="298">
        <v>0.2100469623623108</v>
      </c>
      <c r="F138" s="298">
        <v>0.36674029081538745</v>
      </c>
      <c r="G138" s="298">
        <v>0</v>
      </c>
      <c r="H138" s="298">
        <v>0</v>
      </c>
      <c r="I138" s="298">
        <v>0</v>
      </c>
      <c r="J138" s="307">
        <v>0.14657158680822435</v>
      </c>
      <c r="K138" s="307">
        <v>0</v>
      </c>
      <c r="L138" s="298">
        <v>0</v>
      </c>
      <c r="M138" s="298">
        <v>0</v>
      </c>
      <c r="N138" s="298">
        <v>0</v>
      </c>
      <c r="O138" s="307">
        <v>0</v>
      </c>
      <c r="P138" s="165">
        <v>0</v>
      </c>
      <c r="Q138" s="298">
        <v>0</v>
      </c>
      <c r="R138" s="307">
        <v>0</v>
      </c>
      <c r="S138" s="307">
        <v>0</v>
      </c>
      <c r="T138" s="307">
        <v>0</v>
      </c>
      <c r="U138" s="307">
        <v>0.14657158680822435</v>
      </c>
      <c r="V138" s="380"/>
    </row>
    <row r="139" spans="1:22">
      <c r="A139" s="166"/>
      <c r="B139" s="167" t="s">
        <v>83</v>
      </c>
      <c r="C139" s="168">
        <v>0.18982837649841569</v>
      </c>
      <c r="D139" s="169">
        <v>0</v>
      </c>
      <c r="E139" s="169">
        <v>0.242431422582703</v>
      </c>
      <c r="F139" s="169">
        <v>0.32596388482186434</v>
      </c>
      <c r="G139" s="169">
        <v>0</v>
      </c>
      <c r="H139" s="169">
        <v>0</v>
      </c>
      <c r="I139" s="169">
        <v>0</v>
      </c>
      <c r="J139" s="170">
        <v>0.19724626172860044</v>
      </c>
      <c r="K139" s="170">
        <v>0</v>
      </c>
      <c r="L139" s="169">
        <v>0</v>
      </c>
      <c r="M139" s="169">
        <v>0</v>
      </c>
      <c r="N139" s="169">
        <v>0</v>
      </c>
      <c r="O139" s="170">
        <v>0</v>
      </c>
      <c r="P139" s="170">
        <v>0</v>
      </c>
      <c r="Q139" s="169">
        <v>0</v>
      </c>
      <c r="R139" s="170">
        <v>0</v>
      </c>
      <c r="S139" s="170">
        <v>0</v>
      </c>
      <c r="T139" s="170">
        <v>0</v>
      </c>
      <c r="U139" s="170">
        <v>0.19724626172860044</v>
      </c>
      <c r="V139" s="380"/>
    </row>
    <row r="140" spans="1:22">
      <c r="A140" s="166"/>
      <c r="B140" s="199" t="s">
        <v>84</v>
      </c>
      <c r="C140" s="658">
        <v>5.513026481836758</v>
      </c>
      <c r="D140" s="201">
        <v>0</v>
      </c>
      <c r="E140" s="201">
        <v>3.2384460220392208</v>
      </c>
      <c r="F140" s="201">
        <v>-4.0776405993523115</v>
      </c>
      <c r="G140" s="201">
        <v>0</v>
      </c>
      <c r="H140" s="201">
        <v>0</v>
      </c>
      <c r="I140" s="201">
        <v>0</v>
      </c>
      <c r="J140" s="202">
        <v>5.0674674920376086</v>
      </c>
      <c r="K140" s="202">
        <v>0</v>
      </c>
      <c r="L140" s="201">
        <v>0</v>
      </c>
      <c r="M140" s="201">
        <v>0</v>
      </c>
      <c r="N140" s="201">
        <v>0</v>
      </c>
      <c r="O140" s="202">
        <v>0</v>
      </c>
      <c r="P140" s="202">
        <v>0</v>
      </c>
      <c r="Q140" s="201">
        <v>0</v>
      </c>
      <c r="R140" s="202">
        <v>0</v>
      </c>
      <c r="S140" s="202">
        <v>0</v>
      </c>
      <c r="T140" s="202">
        <v>0</v>
      </c>
      <c r="U140" s="202">
        <v>5.0674674920376086</v>
      </c>
      <c r="V140" s="380"/>
    </row>
    <row r="141" spans="1:22">
      <c r="A141" s="166"/>
      <c r="B141" s="246" t="s">
        <v>85</v>
      </c>
      <c r="C141" s="297">
        <v>6.4564823535386701E-4</v>
      </c>
      <c r="D141" s="298">
        <v>0</v>
      </c>
      <c r="E141" s="298">
        <v>4.8110431610777389E-2</v>
      </c>
      <c r="F141" s="298">
        <v>0</v>
      </c>
      <c r="G141" s="298">
        <v>0</v>
      </c>
      <c r="H141" s="298">
        <v>0</v>
      </c>
      <c r="I141" s="298">
        <v>0</v>
      </c>
      <c r="J141" s="307">
        <v>5.2933251205731415E-3</v>
      </c>
      <c r="K141" s="307">
        <v>0</v>
      </c>
      <c r="L141" s="298">
        <v>0</v>
      </c>
      <c r="M141" s="298">
        <v>0</v>
      </c>
      <c r="N141" s="298">
        <v>0</v>
      </c>
      <c r="O141" s="307">
        <v>0</v>
      </c>
      <c r="P141" s="165">
        <v>0</v>
      </c>
      <c r="Q141" s="298">
        <v>0</v>
      </c>
      <c r="R141" s="307">
        <v>0</v>
      </c>
      <c r="S141" s="307">
        <v>0</v>
      </c>
      <c r="T141" s="307">
        <v>0</v>
      </c>
      <c r="U141" s="307">
        <v>5.2933251205731415E-3</v>
      </c>
      <c r="V141" s="380"/>
    </row>
    <row r="142" spans="1:22">
      <c r="A142" s="166"/>
      <c r="B142" s="167" t="s">
        <v>86</v>
      </c>
      <c r="C142" s="168">
        <v>1.4990871194235302E-3</v>
      </c>
      <c r="D142" s="169">
        <v>0</v>
      </c>
      <c r="E142" s="169">
        <v>3.7965916340107535E-2</v>
      </c>
      <c r="F142" s="169">
        <v>0</v>
      </c>
      <c r="G142" s="169">
        <v>0</v>
      </c>
      <c r="H142" s="169">
        <v>0</v>
      </c>
      <c r="I142" s="169">
        <v>0</v>
      </c>
      <c r="J142" s="170">
        <v>4.9394525014155111E-3</v>
      </c>
      <c r="K142" s="170">
        <v>0</v>
      </c>
      <c r="L142" s="169">
        <v>0</v>
      </c>
      <c r="M142" s="169">
        <v>0</v>
      </c>
      <c r="N142" s="169">
        <v>0</v>
      </c>
      <c r="O142" s="170">
        <v>0</v>
      </c>
      <c r="P142" s="170">
        <v>0</v>
      </c>
      <c r="Q142" s="169">
        <v>0</v>
      </c>
      <c r="R142" s="170">
        <v>0</v>
      </c>
      <c r="S142" s="170">
        <v>0</v>
      </c>
      <c r="T142" s="170">
        <v>0</v>
      </c>
      <c r="U142" s="170">
        <v>4.9394525014155111E-3</v>
      </c>
      <c r="V142" s="380"/>
    </row>
    <row r="143" spans="1:22">
      <c r="A143" s="166"/>
      <c r="B143" s="199" t="s">
        <v>87</v>
      </c>
      <c r="C143" s="200">
        <v>8.5343888406966315E-2</v>
      </c>
      <c r="D143" s="201">
        <v>0</v>
      </c>
      <c r="E143" s="201">
        <v>-1.0144515270669854</v>
      </c>
      <c r="F143" s="201">
        <v>0</v>
      </c>
      <c r="G143" s="201">
        <v>0</v>
      </c>
      <c r="H143" s="201">
        <v>0</v>
      </c>
      <c r="I143" s="201">
        <v>0</v>
      </c>
      <c r="J143" s="202">
        <v>-3.5387261915763038E-2</v>
      </c>
      <c r="K143" s="202">
        <v>0</v>
      </c>
      <c r="L143" s="201">
        <v>0</v>
      </c>
      <c r="M143" s="201">
        <v>0</v>
      </c>
      <c r="N143" s="201">
        <v>0</v>
      </c>
      <c r="O143" s="202">
        <v>0</v>
      </c>
      <c r="P143" s="202">
        <v>0</v>
      </c>
      <c r="Q143" s="201">
        <v>0</v>
      </c>
      <c r="R143" s="202">
        <v>0</v>
      </c>
      <c r="S143" s="202">
        <v>0</v>
      </c>
      <c r="T143" s="202">
        <v>0</v>
      </c>
      <c r="U143" s="202">
        <v>-3.5387261915763038E-2</v>
      </c>
      <c r="V143" s="380"/>
    </row>
    <row r="144" spans="1:22">
      <c r="A144" s="166"/>
      <c r="B144" s="246" t="s">
        <v>88</v>
      </c>
      <c r="C144" s="297">
        <v>1.6493194797201588E-4</v>
      </c>
      <c r="D144" s="298">
        <v>0</v>
      </c>
      <c r="E144" s="298">
        <v>0</v>
      </c>
      <c r="F144" s="298">
        <v>0</v>
      </c>
      <c r="G144" s="298">
        <v>0</v>
      </c>
      <c r="H144" s="298">
        <v>0</v>
      </c>
      <c r="I144" s="298">
        <v>0</v>
      </c>
      <c r="J144" s="307">
        <v>1.4555756535445931E-4</v>
      </c>
      <c r="K144" s="307">
        <v>0</v>
      </c>
      <c r="L144" s="298">
        <v>0</v>
      </c>
      <c r="M144" s="298">
        <v>0</v>
      </c>
      <c r="N144" s="298">
        <v>0</v>
      </c>
      <c r="O144" s="307">
        <v>0</v>
      </c>
      <c r="P144" s="165">
        <v>0</v>
      </c>
      <c r="Q144" s="298">
        <v>0</v>
      </c>
      <c r="R144" s="307">
        <v>0</v>
      </c>
      <c r="S144" s="307">
        <v>0</v>
      </c>
      <c r="T144" s="307">
        <v>0</v>
      </c>
      <c r="U144" s="307">
        <v>1.4555756535445931E-4</v>
      </c>
      <c r="V144" s="380"/>
    </row>
    <row r="145" spans="1:22">
      <c r="A145" s="166"/>
      <c r="B145" s="167" t="s">
        <v>89</v>
      </c>
      <c r="C145" s="168">
        <v>1.943441933324316E-4</v>
      </c>
      <c r="D145" s="169">
        <v>0</v>
      </c>
      <c r="E145" s="169">
        <v>0</v>
      </c>
      <c r="F145" s="169">
        <v>0</v>
      </c>
      <c r="G145" s="169">
        <v>0</v>
      </c>
      <c r="H145" s="169">
        <v>0</v>
      </c>
      <c r="I145" s="169">
        <v>0</v>
      </c>
      <c r="J145" s="170">
        <v>1.724173035926481E-4</v>
      </c>
      <c r="K145" s="170">
        <v>0</v>
      </c>
      <c r="L145" s="169">
        <v>0</v>
      </c>
      <c r="M145" s="169">
        <v>0</v>
      </c>
      <c r="N145" s="169">
        <v>0</v>
      </c>
      <c r="O145" s="170">
        <v>0</v>
      </c>
      <c r="P145" s="170">
        <v>0</v>
      </c>
      <c r="Q145" s="169">
        <v>0</v>
      </c>
      <c r="R145" s="170">
        <v>0</v>
      </c>
      <c r="S145" s="170">
        <v>0</v>
      </c>
      <c r="T145" s="170">
        <v>0</v>
      </c>
      <c r="U145" s="170">
        <v>1.724173035926481E-4</v>
      </c>
      <c r="V145" s="380"/>
    </row>
    <row r="146" spans="1:22">
      <c r="A146" s="166"/>
      <c r="B146" s="199" t="s">
        <v>90</v>
      </c>
      <c r="C146" s="200">
        <v>2.9412245360415723E-3</v>
      </c>
      <c r="D146" s="201">
        <v>0</v>
      </c>
      <c r="E146" s="201">
        <v>0</v>
      </c>
      <c r="F146" s="201">
        <v>0</v>
      </c>
      <c r="G146" s="201">
        <v>0</v>
      </c>
      <c r="H146" s="201">
        <v>0</v>
      </c>
      <c r="I146" s="201">
        <v>0</v>
      </c>
      <c r="J146" s="202">
        <v>2.6859738238188798E-3</v>
      </c>
      <c r="K146" s="202">
        <v>0</v>
      </c>
      <c r="L146" s="201">
        <v>0</v>
      </c>
      <c r="M146" s="201">
        <v>0</v>
      </c>
      <c r="N146" s="201">
        <v>0</v>
      </c>
      <c r="O146" s="202">
        <v>0</v>
      </c>
      <c r="P146" s="202">
        <v>0</v>
      </c>
      <c r="Q146" s="201">
        <v>0</v>
      </c>
      <c r="R146" s="202">
        <v>0</v>
      </c>
      <c r="S146" s="202">
        <v>0</v>
      </c>
      <c r="T146" s="202">
        <v>0</v>
      </c>
      <c r="U146" s="202">
        <v>2.6859738238188798E-3</v>
      </c>
      <c r="V146" s="380"/>
    </row>
    <row r="147" spans="1:22">
      <c r="A147" s="166"/>
      <c r="B147" s="246" t="s">
        <v>91</v>
      </c>
      <c r="C147" s="297">
        <v>2.6037122762167628E-3</v>
      </c>
      <c r="D147" s="298">
        <v>0</v>
      </c>
      <c r="E147" s="298">
        <v>0</v>
      </c>
      <c r="F147" s="298">
        <v>0</v>
      </c>
      <c r="G147" s="298">
        <v>0</v>
      </c>
      <c r="H147" s="298">
        <v>0</v>
      </c>
      <c r="I147" s="298">
        <v>0</v>
      </c>
      <c r="J147" s="307">
        <v>2.2978569311139945E-3</v>
      </c>
      <c r="K147" s="307">
        <v>0</v>
      </c>
      <c r="L147" s="298">
        <v>0</v>
      </c>
      <c r="M147" s="298">
        <v>0</v>
      </c>
      <c r="N147" s="298">
        <v>0</v>
      </c>
      <c r="O147" s="307">
        <v>0</v>
      </c>
      <c r="P147" s="165">
        <v>0</v>
      </c>
      <c r="Q147" s="298">
        <v>0</v>
      </c>
      <c r="R147" s="307">
        <v>0</v>
      </c>
      <c r="S147" s="307">
        <v>0</v>
      </c>
      <c r="T147" s="307">
        <v>0</v>
      </c>
      <c r="U147" s="307">
        <v>2.2978569311139945E-3</v>
      </c>
      <c r="V147" s="380"/>
    </row>
    <row r="148" spans="1:22">
      <c r="A148" s="166"/>
      <c r="B148" s="167" t="s">
        <v>92</v>
      </c>
      <c r="C148" s="168">
        <v>5.3908540060051383E-4</v>
      </c>
      <c r="D148" s="169">
        <v>0</v>
      </c>
      <c r="E148" s="169">
        <v>0</v>
      </c>
      <c r="F148" s="169">
        <v>0</v>
      </c>
      <c r="G148" s="169">
        <v>0</v>
      </c>
      <c r="H148" s="169">
        <v>0</v>
      </c>
      <c r="I148" s="169">
        <v>0</v>
      </c>
      <c r="J148" s="170">
        <v>4.7826307328211934E-4</v>
      </c>
      <c r="K148" s="170">
        <v>0</v>
      </c>
      <c r="L148" s="169">
        <v>0</v>
      </c>
      <c r="M148" s="169">
        <v>0</v>
      </c>
      <c r="N148" s="169">
        <v>0</v>
      </c>
      <c r="O148" s="170">
        <v>0</v>
      </c>
      <c r="P148" s="170">
        <v>0</v>
      </c>
      <c r="Q148" s="169">
        <v>0</v>
      </c>
      <c r="R148" s="170">
        <v>0</v>
      </c>
      <c r="S148" s="170">
        <v>0</v>
      </c>
      <c r="T148" s="170">
        <v>0</v>
      </c>
      <c r="U148" s="170">
        <v>4.7826307328211934E-4</v>
      </c>
      <c r="V148" s="380"/>
    </row>
    <row r="149" spans="1:22" ht="15.75" thickBot="1">
      <c r="A149" s="310"/>
      <c r="B149" s="311" t="s">
        <v>93</v>
      </c>
      <c r="C149" s="312">
        <v>-0.20646268756162486</v>
      </c>
      <c r="D149" s="313">
        <v>0</v>
      </c>
      <c r="E149" s="313">
        <v>0</v>
      </c>
      <c r="F149" s="313">
        <v>0</v>
      </c>
      <c r="G149" s="313">
        <v>0</v>
      </c>
      <c r="H149" s="313">
        <v>0</v>
      </c>
      <c r="I149" s="313">
        <v>0</v>
      </c>
      <c r="J149" s="314">
        <v>-0.18195938578318752</v>
      </c>
      <c r="K149" s="314">
        <v>0</v>
      </c>
      <c r="L149" s="313">
        <v>0</v>
      </c>
      <c r="M149" s="313">
        <v>0</v>
      </c>
      <c r="N149" s="313">
        <v>0</v>
      </c>
      <c r="O149" s="314">
        <v>0</v>
      </c>
      <c r="P149" s="314">
        <v>0</v>
      </c>
      <c r="Q149" s="313">
        <v>0</v>
      </c>
      <c r="R149" s="314">
        <v>0</v>
      </c>
      <c r="S149" s="314">
        <v>0</v>
      </c>
      <c r="T149" s="314">
        <v>0</v>
      </c>
      <c r="U149" s="314">
        <v>-0.18195938578318752</v>
      </c>
      <c r="V149" s="380"/>
    </row>
    <row r="150" spans="1:22">
      <c r="A150" s="296" t="s">
        <v>43</v>
      </c>
      <c r="B150" s="246" t="s">
        <v>59</v>
      </c>
      <c r="C150" s="297">
        <v>0</v>
      </c>
      <c r="D150" s="298">
        <v>0</v>
      </c>
      <c r="E150" s="298">
        <v>0</v>
      </c>
      <c r="F150" s="298">
        <v>0</v>
      </c>
      <c r="G150" s="298">
        <v>0</v>
      </c>
      <c r="H150" s="298">
        <v>0</v>
      </c>
      <c r="I150" s="298">
        <v>0</v>
      </c>
      <c r="J150" s="307">
        <v>0</v>
      </c>
      <c r="K150" s="307">
        <v>0</v>
      </c>
      <c r="L150" s="298">
        <v>0</v>
      </c>
      <c r="M150" s="298">
        <v>0</v>
      </c>
      <c r="N150" s="298">
        <v>0</v>
      </c>
      <c r="O150" s="307">
        <v>0</v>
      </c>
      <c r="P150" s="165">
        <v>0.68972071845048266</v>
      </c>
      <c r="Q150" s="298">
        <v>0</v>
      </c>
      <c r="R150" s="307">
        <v>0.68972071845048266</v>
      </c>
      <c r="S150" s="307">
        <v>0</v>
      </c>
      <c r="T150" s="307">
        <v>0</v>
      </c>
      <c r="U150" s="307">
        <v>0.68972071845048266</v>
      </c>
      <c r="V150" s="380"/>
    </row>
    <row r="151" spans="1:22">
      <c r="A151" s="166"/>
      <c r="B151" s="167" t="s">
        <v>60</v>
      </c>
      <c r="C151" s="168">
        <v>0.94973720875211398</v>
      </c>
      <c r="D151" s="169">
        <v>0.96789560943078135</v>
      </c>
      <c r="E151" s="169">
        <v>0.82803145241379061</v>
      </c>
      <c r="F151" s="169">
        <v>0.86666545694337416</v>
      </c>
      <c r="G151" s="169">
        <v>0.85100828501655501</v>
      </c>
      <c r="H151" s="169">
        <v>0.86303478481655449</v>
      </c>
      <c r="I151" s="169">
        <v>0.82161662757867671</v>
      </c>
      <c r="J151" s="170">
        <v>0.88131817092884479</v>
      </c>
      <c r="K151" s="170">
        <v>0.90170812464887218</v>
      </c>
      <c r="L151" s="169">
        <v>0.77730572396556996</v>
      </c>
      <c r="M151" s="169">
        <v>0.61197722757725215</v>
      </c>
      <c r="N151" s="169">
        <v>0</v>
      </c>
      <c r="O151" s="170">
        <v>0.73350043372420848</v>
      </c>
      <c r="P151" s="170">
        <v>0.69083958373390064</v>
      </c>
      <c r="Q151" s="169">
        <v>0</v>
      </c>
      <c r="R151" s="170">
        <v>0.69083958373390064</v>
      </c>
      <c r="S151" s="170">
        <v>0</v>
      </c>
      <c r="T151" s="170">
        <v>0</v>
      </c>
      <c r="U151" s="170">
        <v>0.81687158829417639</v>
      </c>
      <c r="V151" s="380"/>
    </row>
    <row r="152" spans="1:22">
      <c r="A152" s="166"/>
      <c r="B152" s="199" t="s">
        <v>236</v>
      </c>
      <c r="C152" s="200">
        <v>0</v>
      </c>
      <c r="D152" s="201">
        <v>0</v>
      </c>
      <c r="E152" s="201">
        <v>0</v>
      </c>
      <c r="F152" s="201">
        <v>0</v>
      </c>
      <c r="G152" s="201">
        <v>0</v>
      </c>
      <c r="H152" s="201">
        <v>0</v>
      </c>
      <c r="I152" s="201">
        <v>0</v>
      </c>
      <c r="J152" s="202">
        <v>0</v>
      </c>
      <c r="K152" s="202">
        <v>0</v>
      </c>
      <c r="L152" s="201">
        <v>0</v>
      </c>
      <c r="M152" s="201">
        <v>0</v>
      </c>
      <c r="N152" s="201">
        <v>0</v>
      </c>
      <c r="O152" s="202">
        <v>0</v>
      </c>
      <c r="P152" s="202">
        <v>0.11188652834179802</v>
      </c>
      <c r="Q152" s="201">
        <v>0</v>
      </c>
      <c r="R152" s="202">
        <v>0.11188652834179802</v>
      </c>
      <c r="S152" s="202">
        <v>0</v>
      </c>
      <c r="T152" s="202">
        <v>0</v>
      </c>
      <c r="U152" s="202">
        <v>12.715086984369373</v>
      </c>
      <c r="V152" s="380"/>
    </row>
    <row r="153" spans="1:22">
      <c r="A153" s="166"/>
      <c r="B153" s="246" t="s">
        <v>61</v>
      </c>
      <c r="C153" s="297">
        <v>0</v>
      </c>
      <c r="D153" s="298">
        <v>0</v>
      </c>
      <c r="E153" s="298">
        <v>0</v>
      </c>
      <c r="F153" s="298">
        <v>0</v>
      </c>
      <c r="G153" s="298">
        <v>0</v>
      </c>
      <c r="H153" s="298">
        <v>0</v>
      </c>
      <c r="I153" s="298">
        <v>0</v>
      </c>
      <c r="J153" s="307">
        <v>0</v>
      </c>
      <c r="K153" s="307">
        <v>0</v>
      </c>
      <c r="L153" s="298">
        <v>0</v>
      </c>
      <c r="M153" s="298">
        <v>0</v>
      </c>
      <c r="N153" s="298">
        <v>0</v>
      </c>
      <c r="O153" s="307">
        <v>0</v>
      </c>
      <c r="P153" s="165">
        <v>0</v>
      </c>
      <c r="Q153" s="298">
        <v>0</v>
      </c>
      <c r="R153" s="307">
        <v>0</v>
      </c>
      <c r="S153" s="307">
        <v>0</v>
      </c>
      <c r="T153" s="307">
        <v>0</v>
      </c>
      <c r="U153" s="307">
        <v>0</v>
      </c>
      <c r="V153" s="380"/>
    </row>
    <row r="154" spans="1:22">
      <c r="A154" s="166"/>
      <c r="B154" s="167" t="s">
        <v>62</v>
      </c>
      <c r="C154" s="168">
        <v>1.5704383943358366E-2</v>
      </c>
      <c r="D154" s="169">
        <v>3.0392840403776603E-2</v>
      </c>
      <c r="E154" s="169">
        <v>1.2226451085420548E-2</v>
      </c>
      <c r="F154" s="169">
        <v>2.0987798267573288E-2</v>
      </c>
      <c r="G154" s="169">
        <v>6.386054803961227E-3</v>
      </c>
      <c r="H154" s="169">
        <v>6.0429097372095973E-2</v>
      </c>
      <c r="I154" s="169">
        <v>1.5505979493342121E-4</v>
      </c>
      <c r="J154" s="170">
        <v>2.0515605204828431E-2</v>
      </c>
      <c r="K154" s="170">
        <v>2.9735792522820815E-2</v>
      </c>
      <c r="L154" s="169">
        <v>6.8647703108980123E-3</v>
      </c>
      <c r="M154" s="169">
        <v>0.14460430044102346</v>
      </c>
      <c r="N154" s="169">
        <v>0</v>
      </c>
      <c r="O154" s="170">
        <v>6.9258843426580299E-2</v>
      </c>
      <c r="P154" s="170">
        <v>0</v>
      </c>
      <c r="Q154" s="169">
        <v>0</v>
      </c>
      <c r="R154" s="170">
        <v>0</v>
      </c>
      <c r="S154" s="170">
        <v>0</v>
      </c>
      <c r="T154" s="170">
        <v>0</v>
      </c>
      <c r="U154" s="170">
        <v>2.2221355713969018E-2</v>
      </c>
      <c r="V154" s="380"/>
    </row>
    <row r="155" spans="1:22">
      <c r="A155" s="166"/>
      <c r="B155" s="199" t="s">
        <v>63</v>
      </c>
      <c r="C155" s="200">
        <v>0</v>
      </c>
      <c r="D155" s="201">
        <v>0</v>
      </c>
      <c r="E155" s="201">
        <v>0</v>
      </c>
      <c r="F155" s="201">
        <v>0</v>
      </c>
      <c r="G155" s="201">
        <v>0</v>
      </c>
      <c r="H155" s="201">
        <v>0</v>
      </c>
      <c r="I155" s="201">
        <v>0</v>
      </c>
      <c r="J155" s="202">
        <v>0</v>
      </c>
      <c r="K155" s="202">
        <v>0</v>
      </c>
      <c r="L155" s="201">
        <v>0</v>
      </c>
      <c r="M155" s="201">
        <v>0</v>
      </c>
      <c r="N155" s="201">
        <v>0</v>
      </c>
      <c r="O155" s="202">
        <v>0</v>
      </c>
      <c r="P155" s="202">
        <v>0</v>
      </c>
      <c r="Q155" s="201">
        <v>0</v>
      </c>
      <c r="R155" s="202">
        <v>0</v>
      </c>
      <c r="S155" s="202">
        <v>0</v>
      </c>
      <c r="T155" s="202">
        <v>0</v>
      </c>
      <c r="U155" s="202">
        <v>0</v>
      </c>
      <c r="V155" s="380"/>
    </row>
    <row r="156" spans="1:22">
      <c r="A156" s="166"/>
      <c r="B156" s="246" t="s">
        <v>64</v>
      </c>
      <c r="C156" s="297">
        <v>0</v>
      </c>
      <c r="D156" s="298">
        <v>0</v>
      </c>
      <c r="E156" s="298">
        <v>0</v>
      </c>
      <c r="F156" s="298">
        <v>0</v>
      </c>
      <c r="G156" s="298">
        <v>0</v>
      </c>
      <c r="H156" s="298">
        <v>0</v>
      </c>
      <c r="I156" s="298">
        <v>0</v>
      </c>
      <c r="J156" s="307">
        <v>0</v>
      </c>
      <c r="K156" s="307">
        <v>0</v>
      </c>
      <c r="L156" s="298">
        <v>0</v>
      </c>
      <c r="M156" s="298">
        <v>0</v>
      </c>
      <c r="N156" s="298">
        <v>0</v>
      </c>
      <c r="O156" s="307">
        <v>0</v>
      </c>
      <c r="P156" s="165">
        <v>0.30631424822516312</v>
      </c>
      <c r="Q156" s="298">
        <v>0</v>
      </c>
      <c r="R156" s="307">
        <v>0.30631424822516312</v>
      </c>
      <c r="S156" s="307">
        <v>0</v>
      </c>
      <c r="T156" s="307">
        <v>0</v>
      </c>
      <c r="U156" s="307">
        <v>0.30631424822516312</v>
      </c>
      <c r="V156" s="380"/>
    </row>
    <row r="157" spans="1:22">
      <c r="A157" s="166"/>
      <c r="B157" s="167" t="s">
        <v>65</v>
      </c>
      <c r="C157" s="168">
        <v>3.2957299708204449E-2</v>
      </c>
      <c r="D157" s="169">
        <v>1.7115501654420765E-3</v>
      </c>
      <c r="E157" s="169">
        <v>0.15934509843554925</v>
      </c>
      <c r="F157" s="169">
        <v>0.1115575933816296</v>
      </c>
      <c r="G157" s="169">
        <v>0.13736572430221583</v>
      </c>
      <c r="H157" s="169">
        <v>7.6536117811349502E-2</v>
      </c>
      <c r="I157" s="169">
        <v>0.15943377331550146</v>
      </c>
      <c r="J157" s="170">
        <v>9.6738327660740836E-2</v>
      </c>
      <c r="K157" s="170">
        <v>5.7698514206481075E-2</v>
      </c>
      <c r="L157" s="169">
        <v>0.18863270335825344</v>
      </c>
      <c r="M157" s="169">
        <v>0.23971391389579155</v>
      </c>
      <c r="N157" s="169">
        <v>0</v>
      </c>
      <c r="O157" s="170">
        <v>0.18323185913322856</v>
      </c>
      <c r="P157" s="170">
        <v>0.30572090381478062</v>
      </c>
      <c r="Q157" s="169">
        <v>0</v>
      </c>
      <c r="R157" s="170">
        <v>0.30572090381478062</v>
      </c>
      <c r="S157" s="170">
        <v>0</v>
      </c>
      <c r="T157" s="170">
        <v>0</v>
      </c>
      <c r="U157" s="170">
        <v>0.15732494723010185</v>
      </c>
      <c r="V157" s="380"/>
    </row>
    <row r="158" spans="1:22">
      <c r="A158" s="166"/>
      <c r="B158" s="199" t="s">
        <v>66</v>
      </c>
      <c r="C158" s="200">
        <v>0</v>
      </c>
      <c r="D158" s="201">
        <v>0</v>
      </c>
      <c r="E158" s="201">
        <v>0</v>
      </c>
      <c r="F158" s="201">
        <v>0</v>
      </c>
      <c r="G158" s="201">
        <v>0</v>
      </c>
      <c r="H158" s="201">
        <v>0</v>
      </c>
      <c r="I158" s="201">
        <v>0</v>
      </c>
      <c r="J158" s="202">
        <v>0</v>
      </c>
      <c r="K158" s="202">
        <v>0</v>
      </c>
      <c r="L158" s="201">
        <v>0</v>
      </c>
      <c r="M158" s="201">
        <v>0</v>
      </c>
      <c r="N158" s="201">
        <v>0</v>
      </c>
      <c r="O158" s="202">
        <v>0</v>
      </c>
      <c r="P158" s="202">
        <v>-5.9334441038250141E-2</v>
      </c>
      <c r="Q158" s="201">
        <v>0</v>
      </c>
      <c r="R158" s="202">
        <v>-5.9334441038250141E-2</v>
      </c>
      <c r="S158" s="202">
        <v>0</v>
      </c>
      <c r="T158" s="202">
        <v>0</v>
      </c>
      <c r="U158" s="202">
        <v>-14.898930099506128</v>
      </c>
      <c r="V158" s="380"/>
    </row>
    <row r="159" spans="1:22">
      <c r="A159" s="166"/>
      <c r="B159" s="246" t="s">
        <v>67</v>
      </c>
      <c r="C159" s="297">
        <v>0</v>
      </c>
      <c r="D159" s="298">
        <v>0</v>
      </c>
      <c r="E159" s="298">
        <v>0</v>
      </c>
      <c r="F159" s="298">
        <v>0</v>
      </c>
      <c r="G159" s="298">
        <v>0</v>
      </c>
      <c r="H159" s="298">
        <v>0</v>
      </c>
      <c r="I159" s="298">
        <v>0</v>
      </c>
      <c r="J159" s="307">
        <v>0</v>
      </c>
      <c r="K159" s="307">
        <v>0</v>
      </c>
      <c r="L159" s="298">
        <v>0</v>
      </c>
      <c r="M159" s="298">
        <v>0</v>
      </c>
      <c r="N159" s="298">
        <v>0</v>
      </c>
      <c r="O159" s="307">
        <v>0</v>
      </c>
      <c r="P159" s="165">
        <v>3.9650333243541509E-3</v>
      </c>
      <c r="Q159" s="298">
        <v>0</v>
      </c>
      <c r="R159" s="307">
        <v>3.9650333243541509E-3</v>
      </c>
      <c r="S159" s="307">
        <v>0</v>
      </c>
      <c r="T159" s="307">
        <v>0</v>
      </c>
      <c r="U159" s="307">
        <v>3.9650333243541509E-3</v>
      </c>
      <c r="V159" s="380"/>
    </row>
    <row r="160" spans="1:22">
      <c r="A160" s="166"/>
      <c r="B160" s="167" t="s">
        <v>68</v>
      </c>
      <c r="C160" s="168">
        <v>0</v>
      </c>
      <c r="D160" s="169">
        <v>0</v>
      </c>
      <c r="E160" s="169">
        <v>1.9123687288981307E-4</v>
      </c>
      <c r="F160" s="169">
        <v>2.3396563253342311E-4</v>
      </c>
      <c r="G160" s="169">
        <v>0</v>
      </c>
      <c r="H160" s="169">
        <v>0</v>
      </c>
      <c r="I160" s="169">
        <v>0</v>
      </c>
      <c r="J160" s="170">
        <v>1.0687639072040126E-4</v>
      </c>
      <c r="K160" s="170">
        <v>0</v>
      </c>
      <c r="L160" s="169">
        <v>0</v>
      </c>
      <c r="M160" s="169">
        <v>1.0278542666172206E-3</v>
      </c>
      <c r="N160" s="169">
        <v>0</v>
      </c>
      <c r="O160" s="170">
        <v>4.3066550463108155E-4</v>
      </c>
      <c r="P160" s="170">
        <v>3.4395124513187159E-3</v>
      </c>
      <c r="Q160" s="169">
        <v>0</v>
      </c>
      <c r="R160" s="170">
        <v>3.4395124513187159E-3</v>
      </c>
      <c r="S160" s="170">
        <v>0</v>
      </c>
      <c r="T160" s="170">
        <v>0</v>
      </c>
      <c r="U160" s="170">
        <v>9.3190235857789998E-4</v>
      </c>
      <c r="V160" s="380"/>
    </row>
    <row r="161" spans="1:22">
      <c r="A161" s="166"/>
      <c r="B161" s="199" t="s">
        <v>69</v>
      </c>
      <c r="C161" s="200">
        <v>0</v>
      </c>
      <c r="D161" s="201">
        <v>0</v>
      </c>
      <c r="E161" s="201">
        <v>0</v>
      </c>
      <c r="F161" s="201">
        <v>0</v>
      </c>
      <c r="G161" s="201">
        <v>0</v>
      </c>
      <c r="H161" s="201">
        <v>0</v>
      </c>
      <c r="I161" s="201">
        <v>0</v>
      </c>
      <c r="J161" s="202">
        <v>0</v>
      </c>
      <c r="K161" s="202">
        <v>0</v>
      </c>
      <c r="L161" s="201">
        <v>0</v>
      </c>
      <c r="M161" s="201">
        <v>0</v>
      </c>
      <c r="N161" s="201">
        <v>0</v>
      </c>
      <c r="O161" s="202">
        <v>0</v>
      </c>
      <c r="P161" s="202">
        <v>-5.25520873035435E-2</v>
      </c>
      <c r="Q161" s="201">
        <v>0</v>
      </c>
      <c r="R161" s="202">
        <v>-5.25520873035435E-2</v>
      </c>
      <c r="S161" s="202">
        <v>0</v>
      </c>
      <c r="T161" s="202">
        <v>0</v>
      </c>
      <c r="U161" s="202">
        <v>-0.30331309657762506</v>
      </c>
      <c r="V161" s="380"/>
    </row>
    <row r="162" spans="1:22">
      <c r="A162" s="166"/>
      <c r="B162" s="246" t="s">
        <v>70</v>
      </c>
      <c r="C162" s="297">
        <v>0</v>
      </c>
      <c r="D162" s="298">
        <v>0</v>
      </c>
      <c r="E162" s="298">
        <v>0</v>
      </c>
      <c r="F162" s="298">
        <v>0</v>
      </c>
      <c r="G162" s="298">
        <v>0</v>
      </c>
      <c r="H162" s="298">
        <v>0</v>
      </c>
      <c r="I162" s="298">
        <v>0</v>
      </c>
      <c r="J162" s="307">
        <v>0</v>
      </c>
      <c r="K162" s="307">
        <v>0</v>
      </c>
      <c r="L162" s="298">
        <v>0</v>
      </c>
      <c r="M162" s="298">
        <v>0</v>
      </c>
      <c r="N162" s="298">
        <v>0</v>
      </c>
      <c r="O162" s="307">
        <v>0</v>
      </c>
      <c r="P162" s="165">
        <v>0</v>
      </c>
      <c r="Q162" s="298">
        <v>0</v>
      </c>
      <c r="R162" s="307">
        <v>0</v>
      </c>
      <c r="S162" s="307">
        <v>0</v>
      </c>
      <c r="T162" s="307">
        <v>0</v>
      </c>
      <c r="U162" s="307">
        <v>0</v>
      </c>
      <c r="V162" s="380"/>
    </row>
    <row r="163" spans="1:22">
      <c r="A163" s="166"/>
      <c r="B163" s="167" t="s">
        <v>71</v>
      </c>
      <c r="C163" s="168">
        <v>1.6011075963232007E-3</v>
      </c>
      <c r="D163" s="169">
        <v>0</v>
      </c>
      <c r="E163" s="169">
        <v>2.0576119234979887E-4</v>
      </c>
      <c r="F163" s="169">
        <v>5.2043840372121176E-4</v>
      </c>
      <c r="G163" s="169">
        <v>2.0225628118117667E-4</v>
      </c>
      <c r="H163" s="169">
        <v>0</v>
      </c>
      <c r="I163" s="169">
        <v>1.8775156836521749E-2</v>
      </c>
      <c r="J163" s="170">
        <v>1.0805047708049615E-3</v>
      </c>
      <c r="K163" s="170">
        <v>1.0618502890703133E-2</v>
      </c>
      <c r="L163" s="169">
        <v>2.7196802365278612E-2</v>
      </c>
      <c r="M163" s="169">
        <v>1.74229084966366E-3</v>
      </c>
      <c r="N163" s="169">
        <v>0</v>
      </c>
      <c r="O163" s="170">
        <v>1.3137744854342482E-2</v>
      </c>
      <c r="P163" s="170">
        <v>0</v>
      </c>
      <c r="Q163" s="169">
        <v>0</v>
      </c>
      <c r="R163" s="170">
        <v>0</v>
      </c>
      <c r="S163" s="170">
        <v>0</v>
      </c>
      <c r="T163" s="170">
        <v>0</v>
      </c>
      <c r="U163" s="170">
        <v>2.4393722202241028E-3</v>
      </c>
      <c r="V163" s="380"/>
    </row>
    <row r="164" spans="1:22">
      <c r="A164" s="166"/>
      <c r="B164" s="199" t="s">
        <v>72</v>
      </c>
      <c r="C164" s="200">
        <v>0</v>
      </c>
      <c r="D164" s="201">
        <v>0</v>
      </c>
      <c r="E164" s="201">
        <v>0</v>
      </c>
      <c r="F164" s="201">
        <v>0</v>
      </c>
      <c r="G164" s="201">
        <v>0</v>
      </c>
      <c r="H164" s="201">
        <v>0</v>
      </c>
      <c r="I164" s="201">
        <v>0</v>
      </c>
      <c r="J164" s="202">
        <v>0</v>
      </c>
      <c r="K164" s="202">
        <v>0</v>
      </c>
      <c r="L164" s="201">
        <v>0</v>
      </c>
      <c r="M164" s="201">
        <v>0</v>
      </c>
      <c r="N164" s="201">
        <v>0</v>
      </c>
      <c r="O164" s="202">
        <v>0</v>
      </c>
      <c r="P164" s="202">
        <v>0</v>
      </c>
      <c r="Q164" s="201">
        <v>0</v>
      </c>
      <c r="R164" s="202">
        <v>0</v>
      </c>
      <c r="S164" s="202">
        <v>0</v>
      </c>
      <c r="T164" s="202">
        <v>0</v>
      </c>
      <c r="U164" s="202">
        <v>0</v>
      </c>
      <c r="V164" s="380"/>
    </row>
    <row r="165" spans="1:22">
      <c r="A165" s="166"/>
      <c r="B165" s="246" t="s">
        <v>73</v>
      </c>
      <c r="C165" s="297">
        <v>0</v>
      </c>
      <c r="D165" s="298">
        <v>0</v>
      </c>
      <c r="E165" s="298">
        <v>0</v>
      </c>
      <c r="F165" s="298">
        <v>0</v>
      </c>
      <c r="G165" s="298">
        <v>0</v>
      </c>
      <c r="H165" s="298">
        <v>0</v>
      </c>
      <c r="I165" s="298">
        <v>0</v>
      </c>
      <c r="J165" s="307">
        <v>0</v>
      </c>
      <c r="K165" s="307">
        <v>0</v>
      </c>
      <c r="L165" s="298">
        <v>0</v>
      </c>
      <c r="M165" s="298">
        <v>0</v>
      </c>
      <c r="N165" s="298">
        <v>0</v>
      </c>
      <c r="O165" s="307">
        <v>0</v>
      </c>
      <c r="P165" s="165">
        <v>0</v>
      </c>
      <c r="Q165" s="298">
        <v>0</v>
      </c>
      <c r="R165" s="307">
        <v>0</v>
      </c>
      <c r="S165" s="307">
        <v>0</v>
      </c>
      <c r="T165" s="307">
        <v>0</v>
      </c>
      <c r="U165" s="307">
        <v>0</v>
      </c>
      <c r="V165" s="380"/>
    </row>
    <row r="166" spans="1:22">
      <c r="A166" s="166"/>
      <c r="B166" s="167" t="s">
        <v>74</v>
      </c>
      <c r="C166" s="168">
        <v>0</v>
      </c>
      <c r="D166" s="169">
        <v>0</v>
      </c>
      <c r="E166" s="169">
        <v>0</v>
      </c>
      <c r="F166" s="169">
        <v>3.4747371168330166E-5</v>
      </c>
      <c r="G166" s="169">
        <v>5.0376795960867153E-3</v>
      </c>
      <c r="H166" s="169">
        <v>0</v>
      </c>
      <c r="I166" s="169">
        <v>1.9382474366677651E-5</v>
      </c>
      <c r="J166" s="170">
        <v>2.4051504406061221E-4</v>
      </c>
      <c r="K166" s="170">
        <v>2.3906573112277222E-4</v>
      </c>
      <c r="L166" s="169">
        <v>0</v>
      </c>
      <c r="M166" s="169">
        <v>9.3441296965201875E-4</v>
      </c>
      <c r="N166" s="169">
        <v>0</v>
      </c>
      <c r="O166" s="170">
        <v>4.4045335700906071E-4</v>
      </c>
      <c r="P166" s="170">
        <v>0</v>
      </c>
      <c r="Q166" s="169">
        <v>0</v>
      </c>
      <c r="R166" s="170">
        <v>0</v>
      </c>
      <c r="S166" s="170">
        <v>0</v>
      </c>
      <c r="T166" s="170">
        <v>0</v>
      </c>
      <c r="U166" s="170">
        <v>2.108341829507351E-4</v>
      </c>
      <c r="V166" s="380"/>
    </row>
    <row r="167" spans="1:22" ht="15.75" thickBot="1">
      <c r="A167" s="166"/>
      <c r="B167" s="303" t="s">
        <v>75</v>
      </c>
      <c r="C167" s="304">
        <v>0</v>
      </c>
      <c r="D167" s="305">
        <v>0</v>
      </c>
      <c r="E167" s="305">
        <v>0</v>
      </c>
      <c r="F167" s="305">
        <v>0</v>
      </c>
      <c r="G167" s="305">
        <v>0</v>
      </c>
      <c r="H167" s="305">
        <v>0</v>
      </c>
      <c r="I167" s="305">
        <v>0</v>
      </c>
      <c r="J167" s="308">
        <v>0</v>
      </c>
      <c r="K167" s="308">
        <v>0</v>
      </c>
      <c r="L167" s="305">
        <v>0</v>
      </c>
      <c r="M167" s="305">
        <v>0</v>
      </c>
      <c r="N167" s="305">
        <v>0</v>
      </c>
      <c r="O167" s="308">
        <v>0</v>
      </c>
      <c r="P167" s="308">
        <v>0</v>
      </c>
      <c r="Q167" s="305">
        <v>0</v>
      </c>
      <c r="R167" s="308">
        <v>0</v>
      </c>
      <c r="S167" s="308">
        <v>0</v>
      </c>
      <c r="T167" s="308">
        <v>0</v>
      </c>
      <c r="U167" s="308">
        <v>0</v>
      </c>
      <c r="V167" s="380"/>
    </row>
    <row r="168" spans="1:22" ht="15.75" thickTop="1">
      <c r="A168" s="166"/>
      <c r="B168" s="167" t="s">
        <v>76</v>
      </c>
      <c r="C168" s="168">
        <v>0</v>
      </c>
      <c r="D168" s="169">
        <v>0</v>
      </c>
      <c r="E168" s="169">
        <v>0</v>
      </c>
      <c r="F168" s="169">
        <v>0</v>
      </c>
      <c r="G168" s="169">
        <v>0</v>
      </c>
      <c r="H168" s="169">
        <v>0</v>
      </c>
      <c r="I168" s="169">
        <v>0</v>
      </c>
      <c r="J168" s="170">
        <v>0</v>
      </c>
      <c r="K168" s="170">
        <v>0</v>
      </c>
      <c r="L168" s="169">
        <v>0</v>
      </c>
      <c r="M168" s="169">
        <v>0</v>
      </c>
      <c r="N168" s="169">
        <v>0</v>
      </c>
      <c r="O168" s="170">
        <v>0</v>
      </c>
      <c r="P168" s="170">
        <v>0</v>
      </c>
      <c r="Q168" s="169">
        <v>0</v>
      </c>
      <c r="R168" s="170">
        <v>0</v>
      </c>
      <c r="S168" s="170">
        <v>0</v>
      </c>
      <c r="T168" s="170">
        <v>0</v>
      </c>
      <c r="U168" s="170">
        <v>0</v>
      </c>
      <c r="V168" s="380"/>
    </row>
    <row r="169" spans="1:22">
      <c r="A169" s="166"/>
      <c r="B169" s="167" t="s">
        <v>77</v>
      </c>
      <c r="C169" s="168">
        <v>0.86975544957847095</v>
      </c>
      <c r="D169" s="169">
        <v>0.94939978413650483</v>
      </c>
      <c r="E169" s="169">
        <v>0.39757030171813473</v>
      </c>
      <c r="F169" s="169">
        <v>0.77319809447594312</v>
      </c>
      <c r="G169" s="169">
        <v>0.61687681862269639</v>
      </c>
      <c r="H169" s="169">
        <v>0</v>
      </c>
      <c r="I169" s="169">
        <v>0.21757322175732219</v>
      </c>
      <c r="J169" s="170">
        <v>0.79058134243614886</v>
      </c>
      <c r="K169" s="170">
        <v>0</v>
      </c>
      <c r="L169" s="169">
        <v>0</v>
      </c>
      <c r="M169" s="169">
        <v>0</v>
      </c>
      <c r="N169" s="169">
        <v>0</v>
      </c>
      <c r="O169" s="170">
        <v>0</v>
      </c>
      <c r="P169" s="170">
        <v>0</v>
      </c>
      <c r="Q169" s="169">
        <v>0</v>
      </c>
      <c r="R169" s="170">
        <v>0</v>
      </c>
      <c r="S169" s="170">
        <v>0</v>
      </c>
      <c r="T169" s="170">
        <v>0</v>
      </c>
      <c r="U169" s="170">
        <v>0.79058134243614886</v>
      </c>
      <c r="V169" s="380"/>
    </row>
    <row r="170" spans="1:22">
      <c r="A170" s="166"/>
      <c r="B170" s="199" t="s">
        <v>78</v>
      </c>
      <c r="C170" s="200">
        <v>0</v>
      </c>
      <c r="D170" s="201">
        <v>0</v>
      </c>
      <c r="E170" s="201">
        <v>0</v>
      </c>
      <c r="F170" s="201">
        <v>0</v>
      </c>
      <c r="G170" s="201">
        <v>0</v>
      </c>
      <c r="H170" s="201">
        <v>0</v>
      </c>
      <c r="I170" s="201">
        <v>0</v>
      </c>
      <c r="J170" s="202">
        <v>0</v>
      </c>
      <c r="K170" s="202">
        <v>0</v>
      </c>
      <c r="L170" s="201">
        <v>0</v>
      </c>
      <c r="M170" s="201">
        <v>0</v>
      </c>
      <c r="N170" s="201">
        <v>0</v>
      </c>
      <c r="O170" s="202">
        <v>0</v>
      </c>
      <c r="P170" s="202">
        <v>0</v>
      </c>
      <c r="Q170" s="201">
        <v>0</v>
      </c>
      <c r="R170" s="202">
        <v>0</v>
      </c>
      <c r="S170" s="202">
        <v>0</v>
      </c>
      <c r="T170" s="202">
        <v>0</v>
      </c>
      <c r="U170" s="202">
        <v>0</v>
      </c>
      <c r="V170" s="380"/>
    </row>
    <row r="171" spans="1:22">
      <c r="A171" s="166"/>
      <c r="B171" s="246" t="s">
        <v>79</v>
      </c>
      <c r="C171" s="297">
        <v>0</v>
      </c>
      <c r="D171" s="298">
        <v>0</v>
      </c>
      <c r="E171" s="298">
        <v>0</v>
      </c>
      <c r="F171" s="298">
        <v>0</v>
      </c>
      <c r="G171" s="298">
        <v>0</v>
      </c>
      <c r="H171" s="298">
        <v>0</v>
      </c>
      <c r="I171" s="298">
        <v>0</v>
      </c>
      <c r="J171" s="307">
        <v>0</v>
      </c>
      <c r="K171" s="307">
        <v>0</v>
      </c>
      <c r="L171" s="298">
        <v>0</v>
      </c>
      <c r="M171" s="298">
        <v>0</v>
      </c>
      <c r="N171" s="298">
        <v>0</v>
      </c>
      <c r="O171" s="307">
        <v>0</v>
      </c>
      <c r="P171" s="165">
        <v>0</v>
      </c>
      <c r="Q171" s="298">
        <v>0</v>
      </c>
      <c r="R171" s="307">
        <v>0</v>
      </c>
      <c r="S171" s="307">
        <v>0</v>
      </c>
      <c r="T171" s="307">
        <v>0</v>
      </c>
      <c r="U171" s="307">
        <v>0</v>
      </c>
      <c r="V171" s="380"/>
    </row>
    <row r="172" spans="1:22">
      <c r="A172" s="166"/>
      <c r="B172" s="167" t="s">
        <v>80</v>
      </c>
      <c r="C172" s="168">
        <v>9.460035931542024E-2</v>
      </c>
      <c r="D172" s="169">
        <v>1.2972407372315095E-2</v>
      </c>
      <c r="E172" s="169">
        <v>3.4698218558893913E-2</v>
      </c>
      <c r="F172" s="169">
        <v>9.4181507961074162E-2</v>
      </c>
      <c r="G172" s="169">
        <v>0.1152602651147753</v>
      </c>
      <c r="H172" s="169">
        <v>0</v>
      </c>
      <c r="I172" s="169">
        <v>9.5636580992229528E-4</v>
      </c>
      <c r="J172" s="170">
        <v>6.8559216188200628E-2</v>
      </c>
      <c r="K172" s="170">
        <v>0</v>
      </c>
      <c r="L172" s="169">
        <v>0</v>
      </c>
      <c r="M172" s="169">
        <v>0</v>
      </c>
      <c r="N172" s="169">
        <v>0</v>
      </c>
      <c r="O172" s="170">
        <v>0</v>
      </c>
      <c r="P172" s="170">
        <v>0</v>
      </c>
      <c r="Q172" s="169">
        <v>0</v>
      </c>
      <c r="R172" s="170">
        <v>0</v>
      </c>
      <c r="S172" s="170">
        <v>0</v>
      </c>
      <c r="T172" s="170">
        <v>0</v>
      </c>
      <c r="U172" s="170">
        <v>6.8559216188200628E-2</v>
      </c>
      <c r="V172" s="380"/>
    </row>
    <row r="173" spans="1:22">
      <c r="A173" s="166"/>
      <c r="B173" s="199" t="s">
        <v>81</v>
      </c>
      <c r="C173" s="200">
        <v>0</v>
      </c>
      <c r="D173" s="201">
        <v>0</v>
      </c>
      <c r="E173" s="201">
        <v>0</v>
      </c>
      <c r="F173" s="201">
        <v>0</v>
      </c>
      <c r="G173" s="201">
        <v>0</v>
      </c>
      <c r="H173" s="201">
        <v>0</v>
      </c>
      <c r="I173" s="201">
        <v>0</v>
      </c>
      <c r="J173" s="202">
        <v>0</v>
      </c>
      <c r="K173" s="202">
        <v>0</v>
      </c>
      <c r="L173" s="201">
        <v>0</v>
      </c>
      <c r="M173" s="201">
        <v>0</v>
      </c>
      <c r="N173" s="201">
        <v>0</v>
      </c>
      <c r="O173" s="202">
        <v>0</v>
      </c>
      <c r="P173" s="202">
        <v>0</v>
      </c>
      <c r="Q173" s="201">
        <v>0</v>
      </c>
      <c r="R173" s="202">
        <v>0</v>
      </c>
      <c r="S173" s="202">
        <v>0</v>
      </c>
      <c r="T173" s="202">
        <v>0</v>
      </c>
      <c r="U173" s="202">
        <v>0</v>
      </c>
      <c r="V173" s="380"/>
    </row>
    <row r="174" spans="1:22">
      <c r="A174" s="166"/>
      <c r="B174" s="246" t="s">
        <v>82</v>
      </c>
      <c r="C174" s="297">
        <v>0</v>
      </c>
      <c r="D174" s="298">
        <v>0</v>
      </c>
      <c r="E174" s="298">
        <v>0</v>
      </c>
      <c r="F174" s="298">
        <v>0</v>
      </c>
      <c r="G174" s="298">
        <v>0</v>
      </c>
      <c r="H174" s="298">
        <v>0</v>
      </c>
      <c r="I174" s="298">
        <v>0</v>
      </c>
      <c r="J174" s="307">
        <v>0</v>
      </c>
      <c r="K174" s="307">
        <v>0</v>
      </c>
      <c r="L174" s="298">
        <v>0</v>
      </c>
      <c r="M174" s="298">
        <v>0</v>
      </c>
      <c r="N174" s="298">
        <v>0</v>
      </c>
      <c r="O174" s="307">
        <v>0</v>
      </c>
      <c r="P174" s="165">
        <v>0</v>
      </c>
      <c r="Q174" s="298">
        <v>0</v>
      </c>
      <c r="R174" s="307">
        <v>0</v>
      </c>
      <c r="S174" s="307">
        <v>0</v>
      </c>
      <c r="T174" s="307">
        <v>0</v>
      </c>
      <c r="U174" s="307">
        <v>0</v>
      </c>
      <c r="V174" s="380"/>
    </row>
    <row r="175" spans="1:22">
      <c r="A175" s="166"/>
      <c r="B175" s="167" t="s">
        <v>83</v>
      </c>
      <c r="C175" s="168">
        <v>3.0482438950078905E-2</v>
      </c>
      <c r="D175" s="169">
        <v>3.7627808491180081E-2</v>
      </c>
      <c r="E175" s="169">
        <v>0.56769349590407825</v>
      </c>
      <c r="F175" s="169">
        <v>0.13188053481507206</v>
      </c>
      <c r="G175" s="169">
        <v>0.26487229227287423</v>
      </c>
      <c r="H175" s="169">
        <v>0</v>
      </c>
      <c r="I175" s="169">
        <v>0.78107192667862124</v>
      </c>
      <c r="J175" s="170">
        <v>0.1385506857356536</v>
      </c>
      <c r="K175" s="170">
        <v>0</v>
      </c>
      <c r="L175" s="169">
        <v>0</v>
      </c>
      <c r="M175" s="169">
        <v>0</v>
      </c>
      <c r="N175" s="169">
        <v>0</v>
      </c>
      <c r="O175" s="170">
        <v>0</v>
      </c>
      <c r="P175" s="170">
        <v>0</v>
      </c>
      <c r="Q175" s="169">
        <v>0</v>
      </c>
      <c r="R175" s="170">
        <v>0</v>
      </c>
      <c r="S175" s="170">
        <v>0</v>
      </c>
      <c r="T175" s="170">
        <v>0</v>
      </c>
      <c r="U175" s="170">
        <v>0.1385506857356536</v>
      </c>
      <c r="V175" s="380"/>
    </row>
    <row r="176" spans="1:22">
      <c r="A176" s="166"/>
      <c r="B176" s="199" t="s">
        <v>84</v>
      </c>
      <c r="C176" s="200">
        <v>0</v>
      </c>
      <c r="D176" s="201">
        <v>0</v>
      </c>
      <c r="E176" s="201">
        <v>0</v>
      </c>
      <c r="F176" s="201">
        <v>0</v>
      </c>
      <c r="G176" s="201">
        <v>0</v>
      </c>
      <c r="H176" s="201">
        <v>0</v>
      </c>
      <c r="I176" s="201">
        <v>0</v>
      </c>
      <c r="J176" s="202">
        <v>0</v>
      </c>
      <c r="K176" s="202">
        <v>0</v>
      </c>
      <c r="L176" s="201">
        <v>0</v>
      </c>
      <c r="M176" s="201">
        <v>0</v>
      </c>
      <c r="N176" s="201">
        <v>0</v>
      </c>
      <c r="O176" s="202">
        <v>0</v>
      </c>
      <c r="P176" s="202">
        <v>0</v>
      </c>
      <c r="Q176" s="201">
        <v>0</v>
      </c>
      <c r="R176" s="202">
        <v>0</v>
      </c>
      <c r="S176" s="202">
        <v>0</v>
      </c>
      <c r="T176" s="202">
        <v>0</v>
      </c>
      <c r="U176" s="202">
        <v>0</v>
      </c>
      <c r="V176" s="380"/>
    </row>
    <row r="177" spans="1:22">
      <c r="A177" s="166"/>
      <c r="B177" s="246" t="s">
        <v>85</v>
      </c>
      <c r="C177" s="297">
        <v>0</v>
      </c>
      <c r="D177" s="298">
        <v>0</v>
      </c>
      <c r="E177" s="298">
        <v>0</v>
      </c>
      <c r="F177" s="298">
        <v>0</v>
      </c>
      <c r="G177" s="298">
        <v>0</v>
      </c>
      <c r="H177" s="298">
        <v>0</v>
      </c>
      <c r="I177" s="298">
        <v>0</v>
      </c>
      <c r="J177" s="307">
        <v>0</v>
      </c>
      <c r="K177" s="307">
        <v>0</v>
      </c>
      <c r="L177" s="298">
        <v>0</v>
      </c>
      <c r="M177" s="298">
        <v>0</v>
      </c>
      <c r="N177" s="298">
        <v>0</v>
      </c>
      <c r="O177" s="307">
        <v>0</v>
      </c>
      <c r="P177" s="165">
        <v>0</v>
      </c>
      <c r="Q177" s="298">
        <v>0</v>
      </c>
      <c r="R177" s="307">
        <v>0</v>
      </c>
      <c r="S177" s="307">
        <v>0</v>
      </c>
      <c r="T177" s="307">
        <v>0</v>
      </c>
      <c r="U177" s="307">
        <v>0</v>
      </c>
      <c r="V177" s="380"/>
    </row>
    <row r="178" spans="1:22">
      <c r="A178" s="166"/>
      <c r="B178" s="167" t="s">
        <v>86</v>
      </c>
      <c r="C178" s="168">
        <v>0</v>
      </c>
      <c r="D178" s="169">
        <v>0</v>
      </c>
      <c r="E178" s="169">
        <v>3.7983818893151516E-5</v>
      </c>
      <c r="F178" s="169">
        <v>3.3973289444876448E-5</v>
      </c>
      <c r="G178" s="169">
        <v>0</v>
      </c>
      <c r="H178" s="169">
        <v>0</v>
      </c>
      <c r="I178" s="169">
        <v>0</v>
      </c>
      <c r="J178" s="170">
        <v>1.2888475846652572E-5</v>
      </c>
      <c r="K178" s="170">
        <v>0</v>
      </c>
      <c r="L178" s="169">
        <v>0</v>
      </c>
      <c r="M178" s="169">
        <v>0</v>
      </c>
      <c r="N178" s="169">
        <v>0</v>
      </c>
      <c r="O178" s="170">
        <v>0</v>
      </c>
      <c r="P178" s="170">
        <v>0</v>
      </c>
      <c r="Q178" s="169">
        <v>0</v>
      </c>
      <c r="R178" s="170">
        <v>0</v>
      </c>
      <c r="S178" s="170">
        <v>0</v>
      </c>
      <c r="T178" s="170">
        <v>0</v>
      </c>
      <c r="U178" s="170">
        <v>1.2888475846652572E-5</v>
      </c>
      <c r="V178" s="380"/>
    </row>
    <row r="179" spans="1:22">
      <c r="A179" s="166"/>
      <c r="B179" s="199" t="s">
        <v>87</v>
      </c>
      <c r="C179" s="200">
        <v>0</v>
      </c>
      <c r="D179" s="201">
        <v>0</v>
      </c>
      <c r="E179" s="201">
        <v>0</v>
      </c>
      <c r="F179" s="201">
        <v>0</v>
      </c>
      <c r="G179" s="201">
        <v>0</v>
      </c>
      <c r="H179" s="201">
        <v>0</v>
      </c>
      <c r="I179" s="201">
        <v>0</v>
      </c>
      <c r="J179" s="202">
        <v>0</v>
      </c>
      <c r="K179" s="202">
        <v>0</v>
      </c>
      <c r="L179" s="201">
        <v>0</v>
      </c>
      <c r="M179" s="201">
        <v>0</v>
      </c>
      <c r="N179" s="201">
        <v>0</v>
      </c>
      <c r="O179" s="202">
        <v>0</v>
      </c>
      <c r="P179" s="202">
        <v>0</v>
      </c>
      <c r="Q179" s="201">
        <v>0</v>
      </c>
      <c r="R179" s="202">
        <v>0</v>
      </c>
      <c r="S179" s="202">
        <v>0</v>
      </c>
      <c r="T179" s="202">
        <v>0</v>
      </c>
      <c r="U179" s="202">
        <v>0</v>
      </c>
      <c r="V179" s="380"/>
    </row>
    <row r="180" spans="1:22">
      <c r="A180" s="166"/>
      <c r="B180" s="246" t="s">
        <v>88</v>
      </c>
      <c r="C180" s="297">
        <v>0</v>
      </c>
      <c r="D180" s="298">
        <v>0</v>
      </c>
      <c r="E180" s="298">
        <v>0</v>
      </c>
      <c r="F180" s="298">
        <v>0</v>
      </c>
      <c r="G180" s="298">
        <v>0</v>
      </c>
      <c r="H180" s="298">
        <v>0</v>
      </c>
      <c r="I180" s="298">
        <v>0</v>
      </c>
      <c r="J180" s="307">
        <v>0</v>
      </c>
      <c r="K180" s="307">
        <v>0</v>
      </c>
      <c r="L180" s="298">
        <v>0</v>
      </c>
      <c r="M180" s="298">
        <v>0</v>
      </c>
      <c r="N180" s="298">
        <v>0</v>
      </c>
      <c r="O180" s="307">
        <v>0</v>
      </c>
      <c r="P180" s="165">
        <v>0</v>
      </c>
      <c r="Q180" s="298">
        <v>0</v>
      </c>
      <c r="R180" s="307">
        <v>0</v>
      </c>
      <c r="S180" s="307">
        <v>0</v>
      </c>
      <c r="T180" s="307">
        <v>0</v>
      </c>
      <c r="U180" s="307">
        <v>0</v>
      </c>
      <c r="V180" s="380"/>
    </row>
    <row r="181" spans="1:22">
      <c r="A181" s="166"/>
      <c r="B181" s="167" t="s">
        <v>89</v>
      </c>
      <c r="C181" s="168">
        <v>5.1617521560298578E-3</v>
      </c>
      <c r="D181" s="169">
        <v>0</v>
      </c>
      <c r="E181" s="169">
        <v>0</v>
      </c>
      <c r="F181" s="169">
        <v>7.0588945846576624E-4</v>
      </c>
      <c r="G181" s="169">
        <v>0</v>
      </c>
      <c r="H181" s="169">
        <v>0</v>
      </c>
      <c r="I181" s="169">
        <v>1.5939430165371588E-4</v>
      </c>
      <c r="J181" s="170">
        <v>2.2614978952259714E-3</v>
      </c>
      <c r="K181" s="170">
        <v>0</v>
      </c>
      <c r="L181" s="169">
        <v>0</v>
      </c>
      <c r="M181" s="169">
        <v>0</v>
      </c>
      <c r="N181" s="169">
        <v>0</v>
      </c>
      <c r="O181" s="170">
        <v>0</v>
      </c>
      <c r="P181" s="170">
        <v>0</v>
      </c>
      <c r="Q181" s="169">
        <v>0</v>
      </c>
      <c r="R181" s="170">
        <v>0</v>
      </c>
      <c r="S181" s="170">
        <v>0</v>
      </c>
      <c r="T181" s="170">
        <v>0</v>
      </c>
      <c r="U181" s="170">
        <v>2.2614978952259714E-3</v>
      </c>
      <c r="V181" s="380"/>
    </row>
    <row r="182" spans="1:22">
      <c r="A182" s="166"/>
      <c r="B182" s="199" t="s">
        <v>90</v>
      </c>
      <c r="C182" s="200">
        <v>0</v>
      </c>
      <c r="D182" s="201">
        <v>0</v>
      </c>
      <c r="E182" s="201">
        <v>0</v>
      </c>
      <c r="F182" s="201">
        <v>0</v>
      </c>
      <c r="G182" s="201">
        <v>0</v>
      </c>
      <c r="H182" s="201">
        <v>0</v>
      </c>
      <c r="I182" s="201">
        <v>0</v>
      </c>
      <c r="J182" s="202">
        <v>0</v>
      </c>
      <c r="K182" s="202">
        <v>0</v>
      </c>
      <c r="L182" s="201">
        <v>0</v>
      </c>
      <c r="M182" s="201">
        <v>0</v>
      </c>
      <c r="N182" s="201">
        <v>0</v>
      </c>
      <c r="O182" s="202">
        <v>0</v>
      </c>
      <c r="P182" s="202">
        <v>0</v>
      </c>
      <c r="Q182" s="201">
        <v>0</v>
      </c>
      <c r="R182" s="202">
        <v>0</v>
      </c>
      <c r="S182" s="202">
        <v>0</v>
      </c>
      <c r="T182" s="202">
        <v>0</v>
      </c>
      <c r="U182" s="202">
        <v>0</v>
      </c>
      <c r="V182" s="380"/>
    </row>
    <row r="183" spans="1:22">
      <c r="A183" s="166"/>
      <c r="B183" s="246" t="s">
        <v>91</v>
      </c>
      <c r="C183" s="297">
        <v>0</v>
      </c>
      <c r="D183" s="298">
        <v>0</v>
      </c>
      <c r="E183" s="298">
        <v>0</v>
      </c>
      <c r="F183" s="298">
        <v>0</v>
      </c>
      <c r="G183" s="298">
        <v>0</v>
      </c>
      <c r="H183" s="298">
        <v>0</v>
      </c>
      <c r="I183" s="298">
        <v>0</v>
      </c>
      <c r="J183" s="307">
        <v>0</v>
      </c>
      <c r="K183" s="307">
        <v>0</v>
      </c>
      <c r="L183" s="298">
        <v>0</v>
      </c>
      <c r="M183" s="298">
        <v>0</v>
      </c>
      <c r="N183" s="298">
        <v>0</v>
      </c>
      <c r="O183" s="307">
        <v>0</v>
      </c>
      <c r="P183" s="165">
        <v>0</v>
      </c>
      <c r="Q183" s="298">
        <v>0</v>
      </c>
      <c r="R183" s="307">
        <v>0</v>
      </c>
      <c r="S183" s="307">
        <v>0</v>
      </c>
      <c r="T183" s="307">
        <v>0</v>
      </c>
      <c r="U183" s="307">
        <v>0</v>
      </c>
      <c r="V183" s="380"/>
    </row>
    <row r="184" spans="1:22">
      <c r="A184" s="166"/>
      <c r="B184" s="167" t="s">
        <v>92</v>
      </c>
      <c r="C184" s="168">
        <v>0</v>
      </c>
      <c r="D184" s="169">
        <v>0</v>
      </c>
      <c r="E184" s="169">
        <v>0</v>
      </c>
      <c r="F184" s="169">
        <v>0</v>
      </c>
      <c r="G184" s="169">
        <v>2.9906239896540575E-3</v>
      </c>
      <c r="H184" s="169">
        <v>0</v>
      </c>
      <c r="I184" s="169">
        <v>2.3909145248057382E-4</v>
      </c>
      <c r="J184" s="170">
        <v>3.4369268924406855E-5</v>
      </c>
      <c r="K184" s="170">
        <v>0</v>
      </c>
      <c r="L184" s="169">
        <v>0</v>
      </c>
      <c r="M184" s="169">
        <v>0</v>
      </c>
      <c r="N184" s="169">
        <v>0</v>
      </c>
      <c r="O184" s="170">
        <v>0</v>
      </c>
      <c r="P184" s="170">
        <v>0</v>
      </c>
      <c r="Q184" s="169">
        <v>0</v>
      </c>
      <c r="R184" s="170">
        <v>0</v>
      </c>
      <c r="S184" s="170">
        <v>0</v>
      </c>
      <c r="T184" s="170">
        <v>0</v>
      </c>
      <c r="U184" s="170">
        <v>3.4369268924406855E-5</v>
      </c>
      <c r="V184" s="380"/>
    </row>
    <row r="185" spans="1:22" ht="15.75" thickBot="1">
      <c r="A185" s="310"/>
      <c r="B185" s="311" t="s">
        <v>93</v>
      </c>
      <c r="C185" s="312">
        <v>0</v>
      </c>
      <c r="D185" s="313">
        <v>0</v>
      </c>
      <c r="E185" s="313">
        <v>0</v>
      </c>
      <c r="F185" s="313">
        <v>0</v>
      </c>
      <c r="G185" s="313">
        <v>0</v>
      </c>
      <c r="H185" s="313">
        <v>0</v>
      </c>
      <c r="I185" s="313">
        <v>0</v>
      </c>
      <c r="J185" s="314">
        <v>0</v>
      </c>
      <c r="K185" s="314">
        <v>0</v>
      </c>
      <c r="L185" s="313">
        <v>0</v>
      </c>
      <c r="M185" s="313">
        <v>0</v>
      </c>
      <c r="N185" s="313">
        <v>0</v>
      </c>
      <c r="O185" s="314">
        <v>0</v>
      </c>
      <c r="P185" s="314">
        <v>0</v>
      </c>
      <c r="Q185" s="313">
        <v>0</v>
      </c>
      <c r="R185" s="314">
        <v>0</v>
      </c>
      <c r="S185" s="314">
        <v>0</v>
      </c>
      <c r="T185" s="314">
        <v>0</v>
      </c>
      <c r="U185" s="314">
        <v>0</v>
      </c>
      <c r="V185" s="380"/>
    </row>
    <row r="186" spans="1:22">
      <c r="A186" s="296" t="s">
        <v>44</v>
      </c>
      <c r="B186" s="246" t="s">
        <v>59</v>
      </c>
      <c r="C186" s="297">
        <v>0.91841213186407966</v>
      </c>
      <c r="D186" s="298">
        <v>0</v>
      </c>
      <c r="E186" s="298">
        <v>0.77913091825387915</v>
      </c>
      <c r="F186" s="298">
        <v>0.70180215930705125</v>
      </c>
      <c r="G186" s="298">
        <v>0</v>
      </c>
      <c r="H186" s="298">
        <v>0</v>
      </c>
      <c r="I186" s="298">
        <v>0</v>
      </c>
      <c r="J186" s="307">
        <v>0.82965233949657002</v>
      </c>
      <c r="K186" s="307">
        <v>0</v>
      </c>
      <c r="L186" s="298">
        <v>0.69564475099448553</v>
      </c>
      <c r="M186" s="298">
        <v>0.58673048530145744</v>
      </c>
      <c r="N186" s="298">
        <v>0.46407752096543259</v>
      </c>
      <c r="O186" s="307">
        <v>0.61828362028374306</v>
      </c>
      <c r="P186" s="165">
        <v>0.67730450423720956</v>
      </c>
      <c r="Q186" s="298">
        <v>0</v>
      </c>
      <c r="R186" s="307">
        <v>0.67730450423720956</v>
      </c>
      <c r="S186" s="307">
        <v>0</v>
      </c>
      <c r="T186" s="307">
        <v>0</v>
      </c>
      <c r="U186" s="307">
        <v>0.75127882707679761</v>
      </c>
      <c r="V186" s="380"/>
    </row>
    <row r="187" spans="1:22">
      <c r="A187" s="166"/>
      <c r="B187" s="167" t="s">
        <v>60</v>
      </c>
      <c r="C187" s="168">
        <v>0.90983301241813708</v>
      </c>
      <c r="D187" s="169">
        <v>0</v>
      </c>
      <c r="E187" s="169">
        <v>0.7684967695565631</v>
      </c>
      <c r="F187" s="169">
        <v>0.74150987421250236</v>
      </c>
      <c r="G187" s="169">
        <v>0</v>
      </c>
      <c r="H187" s="169">
        <v>0</v>
      </c>
      <c r="I187" s="169">
        <v>0</v>
      </c>
      <c r="J187" s="170">
        <v>0.8227787247561531</v>
      </c>
      <c r="K187" s="170">
        <v>0</v>
      </c>
      <c r="L187" s="169">
        <v>0.63486439462329824</v>
      </c>
      <c r="M187" s="169">
        <v>0.55903688099629989</v>
      </c>
      <c r="N187" s="169">
        <v>0.49921743495850929</v>
      </c>
      <c r="O187" s="170">
        <v>0.58165748825100538</v>
      </c>
      <c r="P187" s="170">
        <v>0.62443681193109846</v>
      </c>
      <c r="Q187" s="169">
        <v>0</v>
      </c>
      <c r="R187" s="170">
        <v>0.62443681193109846</v>
      </c>
      <c r="S187" s="170">
        <v>0</v>
      </c>
      <c r="T187" s="170">
        <v>0</v>
      </c>
      <c r="U187" s="170">
        <v>0.73487741220296843</v>
      </c>
      <c r="V187" s="380"/>
    </row>
    <row r="188" spans="1:22">
      <c r="A188" s="166"/>
      <c r="B188" s="199" t="s">
        <v>236</v>
      </c>
      <c r="C188" s="200">
        <v>-0.85791194459425846</v>
      </c>
      <c r="D188" s="201">
        <v>0</v>
      </c>
      <c r="E188" s="201">
        <v>-1.0634148697316048</v>
      </c>
      <c r="F188" s="656">
        <v>3.9707714905451108</v>
      </c>
      <c r="G188" s="201">
        <v>0</v>
      </c>
      <c r="H188" s="201">
        <v>0</v>
      </c>
      <c r="I188" s="201">
        <v>0</v>
      </c>
      <c r="J188" s="202">
        <v>-0.68736147404169223</v>
      </c>
      <c r="K188" s="202">
        <v>0</v>
      </c>
      <c r="L188" s="656">
        <v>-6.0780356371187283</v>
      </c>
      <c r="M188" s="201">
        <v>-2.7693604305157549</v>
      </c>
      <c r="N188" s="201">
        <v>3.5139913993076699</v>
      </c>
      <c r="O188" s="202">
        <v>-3.6626132032737679</v>
      </c>
      <c r="P188" s="202">
        <v>-5.2867692306111103</v>
      </c>
      <c r="Q188" s="201">
        <v>0</v>
      </c>
      <c r="R188" s="202">
        <v>-5.2867692306111103</v>
      </c>
      <c r="S188" s="202">
        <v>0</v>
      </c>
      <c r="T188" s="202">
        <v>0</v>
      </c>
      <c r="U188" s="202">
        <v>-1.6401414873829179</v>
      </c>
      <c r="V188" s="380"/>
    </row>
    <row r="189" spans="1:22">
      <c r="A189" s="166"/>
      <c r="B189" s="246" t="s">
        <v>61</v>
      </c>
      <c r="C189" s="297">
        <v>1.6542631169166915E-2</v>
      </c>
      <c r="D189" s="298">
        <v>0</v>
      </c>
      <c r="E189" s="298">
        <v>6.049600603939892E-2</v>
      </c>
      <c r="F189" s="298">
        <v>0</v>
      </c>
      <c r="G189" s="298">
        <v>0</v>
      </c>
      <c r="H189" s="298">
        <v>0</v>
      </c>
      <c r="I189" s="298">
        <v>0</v>
      </c>
      <c r="J189" s="307">
        <v>4.2202170633329976E-2</v>
      </c>
      <c r="K189" s="307">
        <v>0</v>
      </c>
      <c r="L189" s="298">
        <v>4.6751489594181621E-2</v>
      </c>
      <c r="M189" s="298">
        <v>4.5184679351037996E-2</v>
      </c>
      <c r="N189" s="298">
        <v>5.4714665575782369E-2</v>
      </c>
      <c r="O189" s="307">
        <v>4.5940044083225856E-2</v>
      </c>
      <c r="P189" s="165">
        <v>3.0615461642590911E-2</v>
      </c>
      <c r="Q189" s="298">
        <v>0</v>
      </c>
      <c r="R189" s="307">
        <v>3.0615461642590911E-2</v>
      </c>
      <c r="S189" s="307">
        <v>0</v>
      </c>
      <c r="T189" s="307">
        <v>0</v>
      </c>
      <c r="U189" s="307">
        <v>4.3046637783436717E-2</v>
      </c>
      <c r="V189" s="380"/>
    </row>
    <row r="190" spans="1:22">
      <c r="A190" s="166"/>
      <c r="B190" s="167" t="s">
        <v>62</v>
      </c>
      <c r="C190" s="168">
        <v>1.6300652538514749E-2</v>
      </c>
      <c r="D190" s="169">
        <v>0</v>
      </c>
      <c r="E190" s="169">
        <v>5.7935380854476214E-2</v>
      </c>
      <c r="F190" s="169">
        <v>0</v>
      </c>
      <c r="G190" s="169">
        <v>0</v>
      </c>
      <c r="H190" s="169">
        <v>0</v>
      </c>
      <c r="I190" s="169">
        <v>0</v>
      </c>
      <c r="J190" s="170">
        <v>4.075901844164017E-2</v>
      </c>
      <c r="K190" s="170">
        <v>0</v>
      </c>
      <c r="L190" s="169">
        <v>9.0300261775958693E-2</v>
      </c>
      <c r="M190" s="169">
        <v>5.1263384232528186E-2</v>
      </c>
      <c r="N190" s="169">
        <v>8.0146472551162029E-2</v>
      </c>
      <c r="O190" s="170">
        <v>6.4360496941885045E-2</v>
      </c>
      <c r="P190" s="170">
        <v>9.189270369451373E-2</v>
      </c>
      <c r="Q190" s="169">
        <v>0</v>
      </c>
      <c r="R190" s="170">
        <v>9.189270369451373E-2</v>
      </c>
      <c r="S190" s="170">
        <v>0</v>
      </c>
      <c r="T190" s="170">
        <v>0</v>
      </c>
      <c r="U190" s="170">
        <v>5.0529582357116992E-2</v>
      </c>
      <c r="V190" s="380"/>
    </row>
    <row r="191" spans="1:22">
      <c r="A191" s="166"/>
      <c r="B191" s="199" t="s">
        <v>63</v>
      </c>
      <c r="C191" s="200">
        <v>-2.4197863065216624E-2</v>
      </c>
      <c r="D191" s="201">
        <v>0</v>
      </c>
      <c r="E191" s="201">
        <v>-0.25606251849227057</v>
      </c>
      <c r="F191" s="201">
        <v>0</v>
      </c>
      <c r="G191" s="201">
        <v>0</v>
      </c>
      <c r="H191" s="201">
        <v>0</v>
      </c>
      <c r="I191" s="201">
        <v>0</v>
      </c>
      <c r="J191" s="202">
        <v>-0.1443152191689806</v>
      </c>
      <c r="K191" s="202">
        <v>0</v>
      </c>
      <c r="L191" s="201">
        <v>4.3548772181777071</v>
      </c>
      <c r="M191" s="201">
        <v>0.60787048814901912</v>
      </c>
      <c r="N191" s="201">
        <v>2.5431806975379661</v>
      </c>
      <c r="O191" s="202">
        <v>1.8420452858659189</v>
      </c>
      <c r="P191" s="657">
        <v>6.1277242051922824</v>
      </c>
      <c r="Q191" s="201">
        <v>0</v>
      </c>
      <c r="R191" s="202">
        <v>6.1277242051922824</v>
      </c>
      <c r="S191" s="202">
        <v>0</v>
      </c>
      <c r="T191" s="202">
        <v>0</v>
      </c>
      <c r="U191" s="202">
        <v>0.74829445736802747</v>
      </c>
      <c r="V191" s="380"/>
    </row>
    <row r="192" spans="1:22">
      <c r="A192" s="166"/>
      <c r="B192" s="246" t="s">
        <v>64</v>
      </c>
      <c r="C192" s="297">
        <v>6.2057162210774508E-2</v>
      </c>
      <c r="D192" s="298">
        <v>0</v>
      </c>
      <c r="E192" s="298">
        <v>0.14395983595686726</v>
      </c>
      <c r="F192" s="298">
        <v>0.19325661270679675</v>
      </c>
      <c r="G192" s="298">
        <v>0</v>
      </c>
      <c r="H192" s="298">
        <v>0</v>
      </c>
      <c r="I192" s="298">
        <v>0</v>
      </c>
      <c r="J192" s="307">
        <v>0.11435720201529583</v>
      </c>
      <c r="K192" s="307">
        <v>0</v>
      </c>
      <c r="L192" s="298">
        <v>0.25732846191931436</v>
      </c>
      <c r="M192" s="298">
        <v>0.3635427695533322</v>
      </c>
      <c r="N192" s="298">
        <v>0.47788402536305991</v>
      </c>
      <c r="O192" s="307">
        <v>0.33263114077288952</v>
      </c>
      <c r="P192" s="165">
        <v>0.29208003412019951</v>
      </c>
      <c r="Q192" s="298">
        <v>0</v>
      </c>
      <c r="R192" s="307">
        <v>0.29208003412019951</v>
      </c>
      <c r="S192" s="307">
        <v>0</v>
      </c>
      <c r="T192" s="307">
        <v>0</v>
      </c>
      <c r="U192" s="307">
        <v>0.19606455249548529</v>
      </c>
      <c r="V192" s="380"/>
    </row>
    <row r="193" spans="1:22">
      <c r="A193" s="166"/>
      <c r="B193" s="167" t="s">
        <v>65</v>
      </c>
      <c r="C193" s="168">
        <v>7.0616452799845492E-2</v>
      </c>
      <c r="D193" s="169">
        <v>0</v>
      </c>
      <c r="E193" s="169">
        <v>0.15329753158024212</v>
      </c>
      <c r="F193" s="169">
        <v>0.25849012578749764</v>
      </c>
      <c r="G193" s="169">
        <v>0</v>
      </c>
      <c r="H193" s="169">
        <v>0</v>
      </c>
      <c r="I193" s="169">
        <v>0</v>
      </c>
      <c r="J193" s="170">
        <v>0.12315224662982616</v>
      </c>
      <c r="K193" s="170">
        <v>0</v>
      </c>
      <c r="L193" s="169">
        <v>0.27483534360074302</v>
      </c>
      <c r="M193" s="169">
        <v>0.38969973477117192</v>
      </c>
      <c r="N193" s="169">
        <v>0.42063609249032868</v>
      </c>
      <c r="O193" s="170">
        <v>0.35398201480710961</v>
      </c>
      <c r="P193" s="170">
        <v>0.28367048437438785</v>
      </c>
      <c r="Q193" s="169">
        <v>0</v>
      </c>
      <c r="R193" s="170">
        <v>0.28367048437438785</v>
      </c>
      <c r="S193" s="170">
        <v>0</v>
      </c>
      <c r="T193" s="170">
        <v>0</v>
      </c>
      <c r="U193" s="170">
        <v>0.20622204034739372</v>
      </c>
      <c r="V193" s="380"/>
    </row>
    <row r="194" spans="1:22">
      <c r="A194" s="166"/>
      <c r="B194" s="199" t="s">
        <v>66</v>
      </c>
      <c r="C194" s="200">
        <v>0.85592905890709836</v>
      </c>
      <c r="D194" s="201">
        <v>0</v>
      </c>
      <c r="E194" s="201">
        <v>0.93376956233748587</v>
      </c>
      <c r="F194" s="656">
        <v>6.5233513080700885</v>
      </c>
      <c r="G194" s="201">
        <v>0</v>
      </c>
      <c r="H194" s="201">
        <v>0</v>
      </c>
      <c r="I194" s="201">
        <v>0</v>
      </c>
      <c r="J194" s="202">
        <v>0.87950446145303318</v>
      </c>
      <c r="K194" s="202">
        <v>0</v>
      </c>
      <c r="L194" s="201">
        <v>1.7506881681428665</v>
      </c>
      <c r="M194" s="201">
        <v>2.6156965217839723</v>
      </c>
      <c r="N194" s="656">
        <v>-5.7247932872731226</v>
      </c>
      <c r="O194" s="202">
        <v>2.1350874034220091</v>
      </c>
      <c r="P194" s="202">
        <v>-0.84095497458116508</v>
      </c>
      <c r="Q194" s="201">
        <v>0</v>
      </c>
      <c r="R194" s="202">
        <v>-0.84095497458116508</v>
      </c>
      <c r="S194" s="202">
        <v>0</v>
      </c>
      <c r="T194" s="202">
        <v>0</v>
      </c>
      <c r="U194" s="202">
        <v>1.0157487851908424</v>
      </c>
      <c r="V194" s="380"/>
    </row>
    <row r="195" spans="1:22">
      <c r="A195" s="166"/>
      <c r="B195" s="246" t="s">
        <v>67</v>
      </c>
      <c r="C195" s="297">
        <v>2.9880747559789052E-3</v>
      </c>
      <c r="D195" s="298">
        <v>0</v>
      </c>
      <c r="E195" s="298">
        <v>1.5648113197922937E-2</v>
      </c>
      <c r="F195" s="298">
        <v>0.10494122798615198</v>
      </c>
      <c r="G195" s="298">
        <v>0</v>
      </c>
      <c r="H195" s="298">
        <v>0</v>
      </c>
      <c r="I195" s="298">
        <v>0</v>
      </c>
      <c r="J195" s="307">
        <v>1.33336414825412E-2</v>
      </c>
      <c r="K195" s="307">
        <v>0</v>
      </c>
      <c r="L195" s="298">
        <v>7.6827207074932141E-5</v>
      </c>
      <c r="M195" s="298">
        <v>1.5004479416610805E-3</v>
      </c>
      <c r="N195" s="298">
        <v>0</v>
      </c>
      <c r="O195" s="307">
        <v>1.0051794378365098E-3</v>
      </c>
      <c r="P195" s="165">
        <v>0</v>
      </c>
      <c r="Q195" s="298">
        <v>0</v>
      </c>
      <c r="R195" s="307">
        <v>0</v>
      </c>
      <c r="S195" s="307">
        <v>0</v>
      </c>
      <c r="T195" s="307">
        <v>0</v>
      </c>
      <c r="U195" s="307">
        <v>8.5937179560798341E-3</v>
      </c>
      <c r="V195" s="380"/>
    </row>
    <row r="196" spans="1:22">
      <c r="A196" s="166"/>
      <c r="B196" s="167" t="s">
        <v>68</v>
      </c>
      <c r="C196" s="168">
        <v>3.2498822435026989E-3</v>
      </c>
      <c r="D196" s="169">
        <v>0</v>
      </c>
      <c r="E196" s="169">
        <v>1.9816212529072064E-2</v>
      </c>
      <c r="F196" s="169">
        <v>0</v>
      </c>
      <c r="G196" s="169">
        <v>0</v>
      </c>
      <c r="H196" s="169">
        <v>0</v>
      </c>
      <c r="I196" s="169">
        <v>0</v>
      </c>
      <c r="J196" s="170">
        <v>1.3040044966198981E-2</v>
      </c>
      <c r="K196" s="170">
        <v>0</v>
      </c>
      <c r="L196" s="169">
        <v>0</v>
      </c>
      <c r="M196" s="169">
        <v>0</v>
      </c>
      <c r="N196" s="169">
        <v>0</v>
      </c>
      <c r="O196" s="170">
        <v>0</v>
      </c>
      <c r="P196" s="170">
        <v>0</v>
      </c>
      <c r="Q196" s="169">
        <v>0</v>
      </c>
      <c r="R196" s="170">
        <v>0</v>
      </c>
      <c r="S196" s="170">
        <v>0</v>
      </c>
      <c r="T196" s="170">
        <v>0</v>
      </c>
      <c r="U196" s="170">
        <v>8.2011778956762142E-3</v>
      </c>
      <c r="V196" s="380"/>
    </row>
    <row r="197" spans="1:22">
      <c r="A197" s="166"/>
      <c r="B197" s="199" t="s">
        <v>69</v>
      </c>
      <c r="C197" s="200">
        <v>2.6180748752379364E-2</v>
      </c>
      <c r="D197" s="201">
        <v>0</v>
      </c>
      <c r="E197" s="201">
        <v>0.41680993311491271</v>
      </c>
      <c r="F197" s="656">
        <v>-10.494122798615198</v>
      </c>
      <c r="G197" s="201">
        <v>0</v>
      </c>
      <c r="H197" s="201">
        <v>0</v>
      </c>
      <c r="I197" s="201">
        <v>0</v>
      </c>
      <c r="J197" s="202">
        <v>-2.9359651634221912E-2</v>
      </c>
      <c r="K197" s="202">
        <v>0</v>
      </c>
      <c r="L197" s="201">
        <v>-7.6827207074932138E-3</v>
      </c>
      <c r="M197" s="201">
        <v>-0.15004479416610805</v>
      </c>
      <c r="N197" s="201">
        <v>0</v>
      </c>
      <c r="O197" s="202">
        <v>-0.10051794378365098</v>
      </c>
      <c r="P197" s="202">
        <v>0</v>
      </c>
      <c r="Q197" s="201">
        <v>0</v>
      </c>
      <c r="R197" s="202">
        <v>0</v>
      </c>
      <c r="S197" s="202">
        <v>0</v>
      </c>
      <c r="T197" s="202">
        <v>0</v>
      </c>
      <c r="U197" s="202">
        <v>-3.9254006040361986E-2</v>
      </c>
      <c r="V197" s="380"/>
    </row>
    <row r="198" spans="1:22">
      <c r="A198" s="166"/>
      <c r="B198" s="246" t="s">
        <v>70</v>
      </c>
      <c r="C198" s="297">
        <v>0</v>
      </c>
      <c r="D198" s="298">
        <v>0</v>
      </c>
      <c r="E198" s="298">
        <v>7.6512655193168946E-4</v>
      </c>
      <c r="F198" s="298">
        <v>0</v>
      </c>
      <c r="G198" s="298">
        <v>0</v>
      </c>
      <c r="H198" s="298">
        <v>0</v>
      </c>
      <c r="I198" s="298">
        <v>0</v>
      </c>
      <c r="J198" s="307">
        <v>4.5464637226293414E-4</v>
      </c>
      <c r="K198" s="307">
        <v>0</v>
      </c>
      <c r="L198" s="298">
        <v>1.9847028494357469E-4</v>
      </c>
      <c r="M198" s="298">
        <v>3.0416178525112924E-3</v>
      </c>
      <c r="N198" s="298">
        <v>3.3237880957250969E-3</v>
      </c>
      <c r="O198" s="307">
        <v>2.1400154223050203E-3</v>
      </c>
      <c r="P198" s="165">
        <v>0</v>
      </c>
      <c r="Q198" s="298">
        <v>0</v>
      </c>
      <c r="R198" s="307">
        <v>0</v>
      </c>
      <c r="S198" s="307">
        <v>0</v>
      </c>
      <c r="T198" s="307">
        <v>0</v>
      </c>
      <c r="U198" s="307">
        <v>1.0162646882005716E-3</v>
      </c>
      <c r="V198" s="380"/>
    </row>
    <row r="199" spans="1:22">
      <c r="A199" s="166"/>
      <c r="B199" s="167" t="s">
        <v>71</v>
      </c>
      <c r="C199" s="168">
        <v>0</v>
      </c>
      <c r="D199" s="169">
        <v>0</v>
      </c>
      <c r="E199" s="169">
        <v>4.5410547964650427E-4</v>
      </c>
      <c r="F199" s="169">
        <v>0</v>
      </c>
      <c r="G199" s="169">
        <v>0</v>
      </c>
      <c r="H199" s="169">
        <v>0</v>
      </c>
      <c r="I199" s="169">
        <v>0</v>
      </c>
      <c r="J199" s="170">
        <v>2.6996520618163047E-4</v>
      </c>
      <c r="K199" s="170">
        <v>0</v>
      </c>
      <c r="L199" s="169">
        <v>0</v>
      </c>
      <c r="M199" s="169">
        <v>0</v>
      </c>
      <c r="N199" s="169">
        <v>0</v>
      </c>
      <c r="O199" s="170">
        <v>0</v>
      </c>
      <c r="P199" s="170">
        <v>0</v>
      </c>
      <c r="Q199" s="169">
        <v>0</v>
      </c>
      <c r="R199" s="170">
        <v>0</v>
      </c>
      <c r="S199" s="170">
        <v>0</v>
      </c>
      <c r="T199" s="170">
        <v>0</v>
      </c>
      <c r="U199" s="170">
        <v>1.697871968445998E-4</v>
      </c>
      <c r="V199" s="380"/>
    </row>
    <row r="200" spans="1:22">
      <c r="A200" s="166"/>
      <c r="B200" s="199" t="s">
        <v>72</v>
      </c>
      <c r="C200" s="200">
        <v>0</v>
      </c>
      <c r="D200" s="201">
        <v>0</v>
      </c>
      <c r="E200" s="201">
        <v>-3.110210722851852E-2</v>
      </c>
      <c r="F200" s="201">
        <v>0</v>
      </c>
      <c r="G200" s="201">
        <v>0</v>
      </c>
      <c r="H200" s="201">
        <v>0</v>
      </c>
      <c r="I200" s="201">
        <v>0</v>
      </c>
      <c r="J200" s="202">
        <v>-1.8468116608130369E-2</v>
      </c>
      <c r="K200" s="202">
        <v>0</v>
      </c>
      <c r="L200" s="201">
        <v>-1.9847028494357471E-2</v>
      </c>
      <c r="M200" s="201">
        <v>-0.30416178525112925</v>
      </c>
      <c r="N200" s="201">
        <v>-0.3323788095725097</v>
      </c>
      <c r="O200" s="202">
        <v>-0.21400154223050202</v>
      </c>
      <c r="P200" s="202">
        <v>0</v>
      </c>
      <c r="Q200" s="201">
        <v>0</v>
      </c>
      <c r="R200" s="202">
        <v>0</v>
      </c>
      <c r="S200" s="202">
        <v>0</v>
      </c>
      <c r="T200" s="202">
        <v>0</v>
      </c>
      <c r="U200" s="202">
        <v>-8.4647749135597181E-2</v>
      </c>
      <c r="V200" s="380"/>
    </row>
    <row r="201" spans="1:22">
      <c r="A201" s="166"/>
      <c r="B201" s="246" t="s">
        <v>73</v>
      </c>
      <c r="C201" s="297">
        <v>0</v>
      </c>
      <c r="D201" s="298">
        <v>0</v>
      </c>
      <c r="E201" s="298">
        <v>0</v>
      </c>
      <c r="F201" s="298">
        <v>0</v>
      </c>
      <c r="G201" s="298">
        <v>0</v>
      </c>
      <c r="H201" s="298">
        <v>0</v>
      </c>
      <c r="I201" s="298">
        <v>0</v>
      </c>
      <c r="J201" s="307">
        <v>0</v>
      </c>
      <c r="K201" s="307">
        <v>0</v>
      </c>
      <c r="L201" s="298">
        <v>0</v>
      </c>
      <c r="M201" s="298">
        <v>0</v>
      </c>
      <c r="N201" s="298">
        <v>0</v>
      </c>
      <c r="O201" s="307">
        <v>0</v>
      </c>
      <c r="P201" s="165">
        <v>0</v>
      </c>
      <c r="Q201" s="298">
        <v>0</v>
      </c>
      <c r="R201" s="307">
        <v>0</v>
      </c>
      <c r="S201" s="307">
        <v>0</v>
      </c>
      <c r="T201" s="307">
        <v>0</v>
      </c>
      <c r="U201" s="307">
        <v>0</v>
      </c>
      <c r="V201" s="380"/>
    </row>
    <row r="202" spans="1:22">
      <c r="A202" s="166"/>
      <c r="B202" s="167" t="s">
        <v>74</v>
      </c>
      <c r="C202" s="168">
        <v>0</v>
      </c>
      <c r="D202" s="169">
        <v>0</v>
      </c>
      <c r="E202" s="169">
        <v>0</v>
      </c>
      <c r="F202" s="169">
        <v>0</v>
      </c>
      <c r="G202" s="169">
        <v>0</v>
      </c>
      <c r="H202" s="169">
        <v>0</v>
      </c>
      <c r="I202" s="169">
        <v>0</v>
      </c>
      <c r="J202" s="170">
        <v>0</v>
      </c>
      <c r="K202" s="170">
        <v>0</v>
      </c>
      <c r="L202" s="169">
        <v>0</v>
      </c>
      <c r="M202" s="169">
        <v>0</v>
      </c>
      <c r="N202" s="169">
        <v>0</v>
      </c>
      <c r="O202" s="170">
        <v>0</v>
      </c>
      <c r="P202" s="170">
        <v>0</v>
      </c>
      <c r="Q202" s="169">
        <v>0</v>
      </c>
      <c r="R202" s="170">
        <v>0</v>
      </c>
      <c r="S202" s="170">
        <v>0</v>
      </c>
      <c r="T202" s="170">
        <v>0</v>
      </c>
      <c r="U202" s="170">
        <v>0</v>
      </c>
      <c r="V202" s="380"/>
    </row>
    <row r="203" spans="1:22" ht="15.75" thickBot="1">
      <c r="A203" s="166"/>
      <c r="B203" s="303" t="s">
        <v>75</v>
      </c>
      <c r="C203" s="304">
        <v>0</v>
      </c>
      <c r="D203" s="305">
        <v>0</v>
      </c>
      <c r="E203" s="305">
        <v>0</v>
      </c>
      <c r="F203" s="305">
        <v>0</v>
      </c>
      <c r="G203" s="305">
        <v>0</v>
      </c>
      <c r="H203" s="305">
        <v>0</v>
      </c>
      <c r="I203" s="305">
        <v>0</v>
      </c>
      <c r="J203" s="308">
        <v>0</v>
      </c>
      <c r="K203" s="308">
        <v>0</v>
      </c>
      <c r="L203" s="305">
        <v>0</v>
      </c>
      <c r="M203" s="305">
        <v>0</v>
      </c>
      <c r="N203" s="305">
        <v>0</v>
      </c>
      <c r="O203" s="308">
        <v>0</v>
      </c>
      <c r="P203" s="308">
        <v>0</v>
      </c>
      <c r="Q203" s="305">
        <v>0</v>
      </c>
      <c r="R203" s="308">
        <v>0</v>
      </c>
      <c r="S203" s="308">
        <v>0</v>
      </c>
      <c r="T203" s="308">
        <v>0</v>
      </c>
      <c r="U203" s="308">
        <v>0</v>
      </c>
      <c r="V203" s="380"/>
    </row>
    <row r="204" spans="1:22" ht="15.75" thickTop="1">
      <c r="A204" s="166"/>
      <c r="B204" s="167" t="s">
        <v>76</v>
      </c>
      <c r="C204" s="168">
        <v>0.83692590784483079</v>
      </c>
      <c r="D204" s="169">
        <v>0</v>
      </c>
      <c r="E204" s="169">
        <v>0.5020233721316153</v>
      </c>
      <c r="F204" s="169">
        <v>0.64746019711902958</v>
      </c>
      <c r="G204" s="169">
        <v>0</v>
      </c>
      <c r="H204" s="169">
        <v>0</v>
      </c>
      <c r="I204" s="169">
        <v>0</v>
      </c>
      <c r="J204" s="170">
        <v>0.66330295820801721</v>
      </c>
      <c r="K204" s="170">
        <v>0</v>
      </c>
      <c r="L204" s="169">
        <v>0</v>
      </c>
      <c r="M204" s="169">
        <v>0</v>
      </c>
      <c r="N204" s="169">
        <v>0</v>
      </c>
      <c r="O204" s="170">
        <v>0</v>
      </c>
      <c r="P204" s="170">
        <v>0</v>
      </c>
      <c r="Q204" s="169">
        <v>0</v>
      </c>
      <c r="R204" s="170">
        <v>0</v>
      </c>
      <c r="S204" s="170">
        <v>0</v>
      </c>
      <c r="T204" s="170">
        <v>0</v>
      </c>
      <c r="U204" s="170">
        <v>0.66330295820801721</v>
      </c>
      <c r="V204" s="380"/>
    </row>
    <row r="205" spans="1:22">
      <c r="A205" s="166"/>
      <c r="B205" s="167" t="s">
        <v>77</v>
      </c>
      <c r="C205" s="168">
        <v>0.81149999682916152</v>
      </c>
      <c r="D205" s="169">
        <v>0</v>
      </c>
      <c r="E205" s="169">
        <v>0.47844265392444874</v>
      </c>
      <c r="F205" s="169">
        <v>0.7827808015833746</v>
      </c>
      <c r="G205" s="169">
        <v>0</v>
      </c>
      <c r="H205" s="169">
        <v>0</v>
      </c>
      <c r="I205" s="169">
        <v>0</v>
      </c>
      <c r="J205" s="170">
        <v>0.64254652821960456</v>
      </c>
      <c r="K205" s="170">
        <v>0</v>
      </c>
      <c r="L205" s="169">
        <v>0</v>
      </c>
      <c r="M205" s="169">
        <v>0</v>
      </c>
      <c r="N205" s="169">
        <v>0</v>
      </c>
      <c r="O205" s="170">
        <v>0</v>
      </c>
      <c r="P205" s="170">
        <v>0</v>
      </c>
      <c r="Q205" s="169">
        <v>0</v>
      </c>
      <c r="R205" s="170">
        <v>0</v>
      </c>
      <c r="S205" s="170">
        <v>0</v>
      </c>
      <c r="T205" s="170">
        <v>0</v>
      </c>
      <c r="U205" s="170">
        <v>0.64254652821960456</v>
      </c>
      <c r="V205" s="380"/>
    </row>
    <row r="206" spans="1:22">
      <c r="A206" s="166"/>
      <c r="B206" s="199" t="s">
        <v>78</v>
      </c>
      <c r="C206" s="200">
        <v>-2.5425911015669267</v>
      </c>
      <c r="D206" s="201">
        <v>0</v>
      </c>
      <c r="E206" s="201">
        <v>-2.3580718207166562</v>
      </c>
      <c r="F206" s="656">
        <v>13.532060446434501</v>
      </c>
      <c r="G206" s="201">
        <v>0</v>
      </c>
      <c r="H206" s="201">
        <v>0</v>
      </c>
      <c r="I206" s="201">
        <v>0</v>
      </c>
      <c r="J206" s="202">
        <v>-2.075642998841265</v>
      </c>
      <c r="K206" s="202">
        <v>0</v>
      </c>
      <c r="L206" s="201">
        <v>0</v>
      </c>
      <c r="M206" s="201">
        <v>0</v>
      </c>
      <c r="N206" s="201">
        <v>0</v>
      </c>
      <c r="O206" s="202">
        <v>0</v>
      </c>
      <c r="P206" s="202">
        <v>0</v>
      </c>
      <c r="Q206" s="201">
        <v>0</v>
      </c>
      <c r="R206" s="202">
        <v>0</v>
      </c>
      <c r="S206" s="202">
        <v>0</v>
      </c>
      <c r="T206" s="202">
        <v>0</v>
      </c>
      <c r="U206" s="202">
        <v>-2.075642998841265</v>
      </c>
      <c r="V206" s="380"/>
    </row>
    <row r="207" spans="1:22">
      <c r="A207" s="166"/>
      <c r="B207" s="246" t="s">
        <v>79</v>
      </c>
      <c r="C207" s="297">
        <v>4.2578892685918864E-2</v>
      </c>
      <c r="D207" s="298">
        <v>0</v>
      </c>
      <c r="E207" s="298">
        <v>3.2717490669197581E-2</v>
      </c>
      <c r="F207" s="298">
        <v>0</v>
      </c>
      <c r="G207" s="298">
        <v>0</v>
      </c>
      <c r="H207" s="298">
        <v>0</v>
      </c>
      <c r="I207" s="298">
        <v>0</v>
      </c>
      <c r="J207" s="307">
        <v>3.7174365189807122E-2</v>
      </c>
      <c r="K207" s="307">
        <v>0</v>
      </c>
      <c r="L207" s="298">
        <v>0</v>
      </c>
      <c r="M207" s="298">
        <v>0</v>
      </c>
      <c r="N207" s="298">
        <v>0</v>
      </c>
      <c r="O207" s="307">
        <v>0</v>
      </c>
      <c r="P207" s="165">
        <v>0</v>
      </c>
      <c r="Q207" s="298">
        <v>0</v>
      </c>
      <c r="R207" s="307">
        <v>0</v>
      </c>
      <c r="S207" s="307">
        <v>0</v>
      </c>
      <c r="T207" s="307">
        <v>0</v>
      </c>
      <c r="U207" s="307">
        <v>3.7174365189807122E-2</v>
      </c>
      <c r="V207" s="380"/>
    </row>
    <row r="208" spans="1:22">
      <c r="A208" s="166"/>
      <c r="B208" s="167" t="s">
        <v>80</v>
      </c>
      <c r="C208" s="168">
        <v>4.0161839593625348E-2</v>
      </c>
      <c r="D208" s="169">
        <v>0</v>
      </c>
      <c r="E208" s="169">
        <v>2.9419652108195082E-2</v>
      </c>
      <c r="F208" s="169">
        <v>0</v>
      </c>
      <c r="G208" s="169">
        <v>0</v>
      </c>
      <c r="H208" s="169">
        <v>0</v>
      </c>
      <c r="I208" s="169">
        <v>0</v>
      </c>
      <c r="J208" s="170">
        <v>3.446763563138161E-2</v>
      </c>
      <c r="K208" s="170">
        <v>0</v>
      </c>
      <c r="L208" s="169">
        <v>0</v>
      </c>
      <c r="M208" s="169">
        <v>0</v>
      </c>
      <c r="N208" s="169">
        <v>0</v>
      </c>
      <c r="O208" s="170">
        <v>0</v>
      </c>
      <c r="P208" s="170">
        <v>0</v>
      </c>
      <c r="Q208" s="169">
        <v>0</v>
      </c>
      <c r="R208" s="170">
        <v>0</v>
      </c>
      <c r="S208" s="170">
        <v>0</v>
      </c>
      <c r="T208" s="170">
        <v>0</v>
      </c>
      <c r="U208" s="170">
        <v>3.446763563138161E-2</v>
      </c>
      <c r="V208" s="380"/>
    </row>
    <row r="209" spans="1:22">
      <c r="A209" s="166"/>
      <c r="B209" s="199" t="s">
        <v>81</v>
      </c>
      <c r="C209" s="200">
        <v>-0.24170530922935154</v>
      </c>
      <c r="D209" s="201">
        <v>0</v>
      </c>
      <c r="E209" s="201">
        <v>-0.32978385610024985</v>
      </c>
      <c r="F209" s="201">
        <v>0</v>
      </c>
      <c r="G209" s="201">
        <v>0</v>
      </c>
      <c r="H209" s="201">
        <v>0</v>
      </c>
      <c r="I209" s="201">
        <v>0</v>
      </c>
      <c r="J209" s="202">
        <v>-0.27067295584255124</v>
      </c>
      <c r="K209" s="202">
        <v>0</v>
      </c>
      <c r="L209" s="201">
        <v>0</v>
      </c>
      <c r="M209" s="201">
        <v>0</v>
      </c>
      <c r="N209" s="201">
        <v>0</v>
      </c>
      <c r="O209" s="202">
        <v>0</v>
      </c>
      <c r="P209" s="202">
        <v>0</v>
      </c>
      <c r="Q209" s="201">
        <v>0</v>
      </c>
      <c r="R209" s="202">
        <v>0</v>
      </c>
      <c r="S209" s="202">
        <v>0</v>
      </c>
      <c r="T209" s="202">
        <v>0</v>
      </c>
      <c r="U209" s="202">
        <v>-0.27067295584255124</v>
      </c>
      <c r="V209" s="380"/>
    </row>
    <row r="210" spans="1:22">
      <c r="A210" s="166"/>
      <c r="B210" s="246" t="s">
        <v>82</v>
      </c>
      <c r="C210" s="297">
        <v>0.11477461914954874</v>
      </c>
      <c r="D210" s="298">
        <v>0</v>
      </c>
      <c r="E210" s="298">
        <v>0.4494331646704669</v>
      </c>
      <c r="F210" s="298">
        <v>0.35253980288097042</v>
      </c>
      <c r="G210" s="298">
        <v>0</v>
      </c>
      <c r="H210" s="298">
        <v>0</v>
      </c>
      <c r="I210" s="298">
        <v>0</v>
      </c>
      <c r="J210" s="307">
        <v>0.28865346919842588</v>
      </c>
      <c r="K210" s="307">
        <v>0</v>
      </c>
      <c r="L210" s="298">
        <v>0</v>
      </c>
      <c r="M210" s="298">
        <v>0</v>
      </c>
      <c r="N210" s="298">
        <v>0</v>
      </c>
      <c r="O210" s="307">
        <v>0</v>
      </c>
      <c r="P210" s="165">
        <v>0</v>
      </c>
      <c r="Q210" s="298">
        <v>0</v>
      </c>
      <c r="R210" s="307">
        <v>0</v>
      </c>
      <c r="S210" s="307">
        <v>0</v>
      </c>
      <c r="T210" s="307">
        <v>0</v>
      </c>
      <c r="U210" s="307">
        <v>0.28865346919842588</v>
      </c>
      <c r="V210" s="380"/>
    </row>
    <row r="211" spans="1:22">
      <c r="A211" s="166"/>
      <c r="B211" s="167" t="s">
        <v>83</v>
      </c>
      <c r="C211" s="168">
        <v>0.14362629766562873</v>
      </c>
      <c r="D211" s="169">
        <v>0</v>
      </c>
      <c r="E211" s="169">
        <v>0.47832075770688837</v>
      </c>
      <c r="F211" s="169">
        <v>0.21721919841662543</v>
      </c>
      <c r="G211" s="169">
        <v>0</v>
      </c>
      <c r="H211" s="169">
        <v>0</v>
      </c>
      <c r="I211" s="169">
        <v>0</v>
      </c>
      <c r="J211" s="170">
        <v>0.31368945772155338</v>
      </c>
      <c r="K211" s="170">
        <v>0</v>
      </c>
      <c r="L211" s="169">
        <v>0</v>
      </c>
      <c r="M211" s="169">
        <v>0</v>
      </c>
      <c r="N211" s="169">
        <v>0</v>
      </c>
      <c r="O211" s="170">
        <v>0</v>
      </c>
      <c r="P211" s="170">
        <v>0</v>
      </c>
      <c r="Q211" s="169">
        <v>0</v>
      </c>
      <c r="R211" s="170">
        <v>0</v>
      </c>
      <c r="S211" s="170">
        <v>0</v>
      </c>
      <c r="T211" s="170">
        <v>0</v>
      </c>
      <c r="U211" s="170">
        <v>0.31368945772155338</v>
      </c>
      <c r="V211" s="380"/>
    </row>
    <row r="212" spans="1:22">
      <c r="A212" s="166"/>
      <c r="B212" s="199" t="s">
        <v>84</v>
      </c>
      <c r="C212" s="200">
        <v>2.8851678516079988</v>
      </c>
      <c r="D212" s="201">
        <v>0</v>
      </c>
      <c r="E212" s="201">
        <v>2.8887593036421464</v>
      </c>
      <c r="F212" s="656">
        <v>-13.5320604464345</v>
      </c>
      <c r="G212" s="201">
        <v>0</v>
      </c>
      <c r="H212" s="201">
        <v>0</v>
      </c>
      <c r="I212" s="201">
        <v>0</v>
      </c>
      <c r="J212" s="202">
        <v>2.5035988523127495</v>
      </c>
      <c r="K212" s="202">
        <v>0</v>
      </c>
      <c r="L212" s="201">
        <v>0</v>
      </c>
      <c r="M212" s="201">
        <v>0</v>
      </c>
      <c r="N212" s="201">
        <v>0</v>
      </c>
      <c r="O212" s="202">
        <v>0</v>
      </c>
      <c r="P212" s="202">
        <v>0</v>
      </c>
      <c r="Q212" s="201">
        <v>0</v>
      </c>
      <c r="R212" s="202">
        <v>0</v>
      </c>
      <c r="S212" s="202">
        <v>0</v>
      </c>
      <c r="T212" s="202">
        <v>0</v>
      </c>
      <c r="U212" s="202">
        <v>2.5035988523127495</v>
      </c>
      <c r="V212" s="380"/>
    </row>
    <row r="213" spans="1:22">
      <c r="A213" s="166"/>
      <c r="B213" s="246" t="s">
        <v>85</v>
      </c>
      <c r="C213" s="297">
        <v>5.7205803197015789E-3</v>
      </c>
      <c r="D213" s="298">
        <v>0</v>
      </c>
      <c r="E213" s="298">
        <v>1.5825972528720238E-2</v>
      </c>
      <c r="F213" s="298">
        <v>0</v>
      </c>
      <c r="G213" s="298">
        <v>0</v>
      </c>
      <c r="H213" s="298">
        <v>0</v>
      </c>
      <c r="I213" s="298">
        <v>0</v>
      </c>
      <c r="J213" s="307">
        <v>1.0869207403749756E-2</v>
      </c>
      <c r="K213" s="307">
        <v>0</v>
      </c>
      <c r="L213" s="298">
        <v>0</v>
      </c>
      <c r="M213" s="298">
        <v>0</v>
      </c>
      <c r="N213" s="298">
        <v>0</v>
      </c>
      <c r="O213" s="307">
        <v>0</v>
      </c>
      <c r="P213" s="165">
        <v>0</v>
      </c>
      <c r="Q213" s="298">
        <v>0</v>
      </c>
      <c r="R213" s="307">
        <v>0</v>
      </c>
      <c r="S213" s="307">
        <v>0</v>
      </c>
      <c r="T213" s="307">
        <v>0</v>
      </c>
      <c r="U213" s="307">
        <v>1.0869207403749756E-2</v>
      </c>
      <c r="V213" s="380"/>
    </row>
    <row r="214" spans="1:22">
      <c r="A214" s="166"/>
      <c r="B214" s="167" t="s">
        <v>86</v>
      </c>
      <c r="C214" s="168">
        <v>4.711865911584341E-3</v>
      </c>
      <c r="D214" s="169">
        <v>0</v>
      </c>
      <c r="E214" s="169">
        <v>1.3707229664663506E-2</v>
      </c>
      <c r="F214" s="169">
        <v>0</v>
      </c>
      <c r="G214" s="169">
        <v>0</v>
      </c>
      <c r="H214" s="169">
        <v>0</v>
      </c>
      <c r="I214" s="169">
        <v>0</v>
      </c>
      <c r="J214" s="170">
        <v>9.2407854667646751E-3</v>
      </c>
      <c r="K214" s="170">
        <v>0</v>
      </c>
      <c r="L214" s="169">
        <v>0</v>
      </c>
      <c r="M214" s="169">
        <v>0</v>
      </c>
      <c r="N214" s="169">
        <v>0</v>
      </c>
      <c r="O214" s="170">
        <v>0</v>
      </c>
      <c r="P214" s="170">
        <v>0</v>
      </c>
      <c r="Q214" s="169">
        <v>0</v>
      </c>
      <c r="R214" s="170">
        <v>0</v>
      </c>
      <c r="S214" s="170">
        <v>0</v>
      </c>
      <c r="T214" s="170">
        <v>0</v>
      </c>
      <c r="U214" s="170">
        <v>9.2407854667646751E-3</v>
      </c>
      <c r="V214" s="380"/>
    </row>
    <row r="215" spans="1:22">
      <c r="A215" s="166"/>
      <c r="B215" s="199" t="s">
        <v>87</v>
      </c>
      <c r="C215" s="200">
        <v>-0.10087144081172379</v>
      </c>
      <c r="D215" s="201">
        <v>0</v>
      </c>
      <c r="E215" s="201">
        <v>-0.21187428640567324</v>
      </c>
      <c r="F215" s="201">
        <v>0</v>
      </c>
      <c r="G215" s="201">
        <v>0</v>
      </c>
      <c r="H215" s="201">
        <v>0</v>
      </c>
      <c r="I215" s="201">
        <v>0</v>
      </c>
      <c r="J215" s="202">
        <v>-0.16284219369850811</v>
      </c>
      <c r="K215" s="202">
        <v>0</v>
      </c>
      <c r="L215" s="201">
        <v>0</v>
      </c>
      <c r="M215" s="201">
        <v>0</v>
      </c>
      <c r="N215" s="201">
        <v>0</v>
      </c>
      <c r="O215" s="202">
        <v>0</v>
      </c>
      <c r="P215" s="202">
        <v>0</v>
      </c>
      <c r="Q215" s="201">
        <v>0</v>
      </c>
      <c r="R215" s="202">
        <v>0</v>
      </c>
      <c r="S215" s="202">
        <v>0</v>
      </c>
      <c r="T215" s="202">
        <v>0</v>
      </c>
      <c r="U215" s="202">
        <v>-0.16284219369850811</v>
      </c>
      <c r="V215" s="380"/>
    </row>
    <row r="216" spans="1:22">
      <c r="A216" s="166"/>
      <c r="B216" s="246" t="s">
        <v>88</v>
      </c>
      <c r="C216" s="297">
        <v>0</v>
      </c>
      <c r="D216" s="298">
        <v>0</v>
      </c>
      <c r="E216" s="298">
        <v>0</v>
      </c>
      <c r="F216" s="298">
        <v>0</v>
      </c>
      <c r="G216" s="298">
        <v>0</v>
      </c>
      <c r="H216" s="298">
        <v>0</v>
      </c>
      <c r="I216" s="298">
        <v>0</v>
      </c>
      <c r="J216" s="307">
        <v>0</v>
      </c>
      <c r="K216" s="307">
        <v>0</v>
      </c>
      <c r="L216" s="298">
        <v>0</v>
      </c>
      <c r="M216" s="298">
        <v>0</v>
      </c>
      <c r="N216" s="298">
        <v>0</v>
      </c>
      <c r="O216" s="307">
        <v>0</v>
      </c>
      <c r="P216" s="165">
        <v>0</v>
      </c>
      <c r="Q216" s="298">
        <v>0</v>
      </c>
      <c r="R216" s="307">
        <v>0</v>
      </c>
      <c r="S216" s="307">
        <v>0</v>
      </c>
      <c r="T216" s="307">
        <v>0</v>
      </c>
      <c r="U216" s="307">
        <v>0</v>
      </c>
      <c r="V216" s="380"/>
    </row>
    <row r="217" spans="1:22">
      <c r="A217" s="166"/>
      <c r="B217" s="167" t="s">
        <v>89</v>
      </c>
      <c r="C217" s="168">
        <v>0</v>
      </c>
      <c r="D217" s="169">
        <v>0</v>
      </c>
      <c r="E217" s="169">
        <v>1.0970659580433219E-4</v>
      </c>
      <c r="F217" s="169">
        <v>0</v>
      </c>
      <c r="G217" s="169">
        <v>0</v>
      </c>
      <c r="H217" s="169">
        <v>0</v>
      </c>
      <c r="I217" s="169">
        <v>0</v>
      </c>
      <c r="J217" s="170">
        <v>5.5592960695776788E-5</v>
      </c>
      <c r="K217" s="170">
        <v>0</v>
      </c>
      <c r="L217" s="169">
        <v>0</v>
      </c>
      <c r="M217" s="169">
        <v>0</v>
      </c>
      <c r="N217" s="169">
        <v>0</v>
      </c>
      <c r="O217" s="170">
        <v>0</v>
      </c>
      <c r="P217" s="170">
        <v>0</v>
      </c>
      <c r="Q217" s="169">
        <v>0</v>
      </c>
      <c r="R217" s="170">
        <v>0</v>
      </c>
      <c r="S217" s="170">
        <v>0</v>
      </c>
      <c r="T217" s="170">
        <v>0</v>
      </c>
      <c r="U217" s="170">
        <v>5.5592960695776788E-5</v>
      </c>
      <c r="V217" s="380"/>
    </row>
    <row r="218" spans="1:22">
      <c r="A218" s="166"/>
      <c r="B218" s="199" t="s">
        <v>90</v>
      </c>
      <c r="C218" s="200">
        <v>0</v>
      </c>
      <c r="D218" s="201">
        <v>0</v>
      </c>
      <c r="E218" s="201">
        <v>0</v>
      </c>
      <c r="F218" s="201">
        <v>0</v>
      </c>
      <c r="G218" s="201">
        <v>0</v>
      </c>
      <c r="H218" s="201">
        <v>0</v>
      </c>
      <c r="I218" s="201">
        <v>0</v>
      </c>
      <c r="J218" s="202">
        <v>0</v>
      </c>
      <c r="K218" s="202">
        <v>0</v>
      </c>
      <c r="L218" s="201">
        <v>0</v>
      </c>
      <c r="M218" s="201">
        <v>0</v>
      </c>
      <c r="N218" s="201">
        <v>0</v>
      </c>
      <c r="O218" s="202">
        <v>0</v>
      </c>
      <c r="P218" s="202">
        <v>0</v>
      </c>
      <c r="Q218" s="201">
        <v>0</v>
      </c>
      <c r="R218" s="202">
        <v>0</v>
      </c>
      <c r="S218" s="202">
        <v>0</v>
      </c>
      <c r="T218" s="202">
        <v>0</v>
      </c>
      <c r="U218" s="202">
        <v>0</v>
      </c>
      <c r="V218" s="380"/>
    </row>
    <row r="219" spans="1:22">
      <c r="A219" s="166"/>
      <c r="B219" s="246" t="s">
        <v>91</v>
      </c>
      <c r="C219" s="297">
        <v>0</v>
      </c>
      <c r="D219" s="298">
        <v>0</v>
      </c>
      <c r="E219" s="298">
        <v>0</v>
      </c>
      <c r="F219" s="298">
        <v>0</v>
      </c>
      <c r="G219" s="298">
        <v>0</v>
      </c>
      <c r="H219" s="298">
        <v>0</v>
      </c>
      <c r="I219" s="298">
        <v>0</v>
      </c>
      <c r="J219" s="307">
        <v>0</v>
      </c>
      <c r="K219" s="307">
        <v>0</v>
      </c>
      <c r="L219" s="298">
        <v>0</v>
      </c>
      <c r="M219" s="298">
        <v>0</v>
      </c>
      <c r="N219" s="298">
        <v>0</v>
      </c>
      <c r="O219" s="307">
        <v>0</v>
      </c>
      <c r="P219" s="165">
        <v>0</v>
      </c>
      <c r="Q219" s="298">
        <v>0</v>
      </c>
      <c r="R219" s="307">
        <v>0</v>
      </c>
      <c r="S219" s="307">
        <v>0</v>
      </c>
      <c r="T219" s="307">
        <v>0</v>
      </c>
      <c r="U219" s="307">
        <v>0</v>
      </c>
      <c r="V219" s="380"/>
    </row>
    <row r="220" spans="1:22">
      <c r="A220" s="166"/>
      <c r="B220" s="167" t="s">
        <v>92</v>
      </c>
      <c r="C220" s="168">
        <v>0</v>
      </c>
      <c r="D220" s="169">
        <v>0</v>
      </c>
      <c r="E220" s="169">
        <v>0</v>
      </c>
      <c r="F220" s="169">
        <v>0</v>
      </c>
      <c r="G220" s="169">
        <v>0</v>
      </c>
      <c r="H220" s="169">
        <v>0</v>
      </c>
      <c r="I220" s="169">
        <v>0</v>
      </c>
      <c r="J220" s="170">
        <v>0</v>
      </c>
      <c r="K220" s="170">
        <v>0</v>
      </c>
      <c r="L220" s="169">
        <v>0</v>
      </c>
      <c r="M220" s="169">
        <v>0</v>
      </c>
      <c r="N220" s="169">
        <v>0</v>
      </c>
      <c r="O220" s="170">
        <v>0</v>
      </c>
      <c r="P220" s="170">
        <v>0</v>
      </c>
      <c r="Q220" s="169">
        <v>0</v>
      </c>
      <c r="R220" s="170">
        <v>0</v>
      </c>
      <c r="S220" s="170">
        <v>0</v>
      </c>
      <c r="T220" s="170">
        <v>0</v>
      </c>
      <c r="U220" s="170">
        <v>0</v>
      </c>
      <c r="V220" s="380"/>
    </row>
    <row r="221" spans="1:22" ht="15.75" thickBot="1">
      <c r="A221" s="310"/>
      <c r="B221" s="311" t="s">
        <v>93</v>
      </c>
      <c r="C221" s="312">
        <v>0</v>
      </c>
      <c r="D221" s="313">
        <v>0</v>
      </c>
      <c r="E221" s="313">
        <v>0</v>
      </c>
      <c r="F221" s="313">
        <v>0</v>
      </c>
      <c r="G221" s="313">
        <v>0</v>
      </c>
      <c r="H221" s="313">
        <v>0</v>
      </c>
      <c r="I221" s="313">
        <v>0</v>
      </c>
      <c r="J221" s="314">
        <v>0</v>
      </c>
      <c r="K221" s="314">
        <v>0</v>
      </c>
      <c r="L221" s="313">
        <v>0</v>
      </c>
      <c r="M221" s="313">
        <v>0</v>
      </c>
      <c r="N221" s="313">
        <v>0</v>
      </c>
      <c r="O221" s="314">
        <v>0</v>
      </c>
      <c r="P221" s="314">
        <v>0</v>
      </c>
      <c r="Q221" s="313">
        <v>0</v>
      </c>
      <c r="R221" s="314">
        <v>0</v>
      </c>
      <c r="S221" s="314">
        <v>0</v>
      </c>
      <c r="T221" s="314">
        <v>0</v>
      </c>
      <c r="U221" s="314">
        <v>0</v>
      </c>
      <c r="V221" s="380"/>
    </row>
    <row r="222" spans="1:22">
      <c r="A222" s="296" t="s">
        <v>45</v>
      </c>
      <c r="B222" s="246" t="s">
        <v>59</v>
      </c>
      <c r="C222" s="297">
        <v>0</v>
      </c>
      <c r="D222" s="298">
        <v>0</v>
      </c>
      <c r="E222" s="298">
        <v>0</v>
      </c>
      <c r="F222" s="298">
        <v>0</v>
      </c>
      <c r="G222" s="298">
        <v>0</v>
      </c>
      <c r="H222" s="298">
        <v>0</v>
      </c>
      <c r="I222" s="298">
        <v>0</v>
      </c>
      <c r="J222" s="307">
        <v>0</v>
      </c>
      <c r="K222" s="307">
        <v>0</v>
      </c>
      <c r="L222" s="298">
        <v>0</v>
      </c>
      <c r="M222" s="298">
        <v>0</v>
      </c>
      <c r="N222" s="298">
        <v>0</v>
      </c>
      <c r="O222" s="307">
        <v>0</v>
      </c>
      <c r="P222" s="165">
        <v>0</v>
      </c>
      <c r="Q222" s="298">
        <v>0</v>
      </c>
      <c r="R222" s="307">
        <v>0</v>
      </c>
      <c r="S222" s="307">
        <v>0</v>
      </c>
      <c r="T222" s="307">
        <v>0</v>
      </c>
      <c r="U222" s="307">
        <v>0</v>
      </c>
      <c r="V222" s="380"/>
    </row>
    <row r="223" spans="1:22">
      <c r="A223" s="166"/>
      <c r="B223" s="167" t="s">
        <v>60</v>
      </c>
      <c r="C223" s="168">
        <v>0</v>
      </c>
      <c r="D223" s="169">
        <v>0</v>
      </c>
      <c r="E223" s="169">
        <v>0</v>
      </c>
      <c r="F223" s="169">
        <v>0</v>
      </c>
      <c r="G223" s="169">
        <v>0</v>
      </c>
      <c r="H223" s="169">
        <v>0</v>
      </c>
      <c r="I223" s="169">
        <v>0</v>
      </c>
      <c r="J223" s="170">
        <v>0</v>
      </c>
      <c r="K223" s="170">
        <v>0</v>
      </c>
      <c r="L223" s="169">
        <v>0</v>
      </c>
      <c r="M223" s="169">
        <v>0</v>
      </c>
      <c r="N223" s="169">
        <v>0</v>
      </c>
      <c r="O223" s="170">
        <v>0</v>
      </c>
      <c r="P223" s="170">
        <v>0</v>
      </c>
      <c r="Q223" s="169">
        <v>0</v>
      </c>
      <c r="R223" s="170">
        <v>0</v>
      </c>
      <c r="S223" s="170">
        <v>0</v>
      </c>
      <c r="T223" s="170">
        <v>0</v>
      </c>
      <c r="U223" s="170">
        <v>0</v>
      </c>
      <c r="V223" s="380"/>
    </row>
    <row r="224" spans="1:22">
      <c r="A224" s="166"/>
      <c r="B224" s="199" t="s">
        <v>236</v>
      </c>
      <c r="C224" s="200">
        <v>0</v>
      </c>
      <c r="D224" s="201">
        <v>0</v>
      </c>
      <c r="E224" s="201">
        <v>0</v>
      </c>
      <c r="F224" s="201">
        <v>0</v>
      </c>
      <c r="G224" s="201">
        <v>0</v>
      </c>
      <c r="H224" s="201">
        <v>0</v>
      </c>
      <c r="I224" s="201">
        <v>0</v>
      </c>
      <c r="J224" s="202">
        <v>0</v>
      </c>
      <c r="K224" s="202">
        <v>0</v>
      </c>
      <c r="L224" s="201">
        <v>0</v>
      </c>
      <c r="M224" s="201">
        <v>0</v>
      </c>
      <c r="N224" s="201">
        <v>0</v>
      </c>
      <c r="O224" s="202">
        <v>0</v>
      </c>
      <c r="P224" s="202">
        <v>0</v>
      </c>
      <c r="Q224" s="201">
        <v>0</v>
      </c>
      <c r="R224" s="202">
        <v>0</v>
      </c>
      <c r="S224" s="202">
        <v>0</v>
      </c>
      <c r="T224" s="202">
        <v>0</v>
      </c>
      <c r="U224" s="202">
        <v>0</v>
      </c>
      <c r="V224" s="380"/>
    </row>
    <row r="225" spans="1:22">
      <c r="A225" s="166"/>
      <c r="B225" s="246" t="s">
        <v>61</v>
      </c>
      <c r="C225" s="297">
        <v>0</v>
      </c>
      <c r="D225" s="298">
        <v>0</v>
      </c>
      <c r="E225" s="298">
        <v>0</v>
      </c>
      <c r="F225" s="298">
        <v>0</v>
      </c>
      <c r="G225" s="298">
        <v>0</v>
      </c>
      <c r="H225" s="298">
        <v>0</v>
      </c>
      <c r="I225" s="298">
        <v>0</v>
      </c>
      <c r="J225" s="307">
        <v>0</v>
      </c>
      <c r="K225" s="307">
        <v>0</v>
      </c>
      <c r="L225" s="298">
        <v>0</v>
      </c>
      <c r="M225" s="298">
        <v>0</v>
      </c>
      <c r="N225" s="298">
        <v>0</v>
      </c>
      <c r="O225" s="307">
        <v>0</v>
      </c>
      <c r="P225" s="165">
        <v>0</v>
      </c>
      <c r="Q225" s="298">
        <v>0</v>
      </c>
      <c r="R225" s="307">
        <v>0</v>
      </c>
      <c r="S225" s="307">
        <v>0</v>
      </c>
      <c r="T225" s="307">
        <v>0</v>
      </c>
      <c r="U225" s="307">
        <v>0</v>
      </c>
      <c r="V225" s="380"/>
    </row>
    <row r="226" spans="1:22">
      <c r="A226" s="166"/>
      <c r="B226" s="167" t="s">
        <v>62</v>
      </c>
      <c r="C226" s="168">
        <v>0</v>
      </c>
      <c r="D226" s="169">
        <v>0</v>
      </c>
      <c r="E226" s="169">
        <v>0</v>
      </c>
      <c r="F226" s="169">
        <v>0</v>
      </c>
      <c r="G226" s="169">
        <v>0</v>
      </c>
      <c r="H226" s="169">
        <v>0</v>
      </c>
      <c r="I226" s="169">
        <v>0</v>
      </c>
      <c r="J226" s="170">
        <v>0</v>
      </c>
      <c r="K226" s="170">
        <v>0</v>
      </c>
      <c r="L226" s="169">
        <v>0</v>
      </c>
      <c r="M226" s="169">
        <v>0</v>
      </c>
      <c r="N226" s="169">
        <v>0</v>
      </c>
      <c r="O226" s="170">
        <v>0</v>
      </c>
      <c r="P226" s="170">
        <v>0</v>
      </c>
      <c r="Q226" s="169">
        <v>0</v>
      </c>
      <c r="R226" s="170">
        <v>0</v>
      </c>
      <c r="S226" s="170">
        <v>0</v>
      </c>
      <c r="T226" s="170">
        <v>0</v>
      </c>
      <c r="U226" s="170">
        <v>0</v>
      </c>
      <c r="V226" s="380"/>
    </row>
    <row r="227" spans="1:22">
      <c r="A227" s="166"/>
      <c r="B227" s="199" t="s">
        <v>63</v>
      </c>
      <c r="C227" s="200">
        <v>0</v>
      </c>
      <c r="D227" s="201">
        <v>0</v>
      </c>
      <c r="E227" s="201">
        <v>0</v>
      </c>
      <c r="F227" s="201">
        <v>0</v>
      </c>
      <c r="G227" s="201">
        <v>0</v>
      </c>
      <c r="H227" s="201">
        <v>0</v>
      </c>
      <c r="I227" s="201">
        <v>0</v>
      </c>
      <c r="J227" s="202">
        <v>0</v>
      </c>
      <c r="K227" s="202">
        <v>0</v>
      </c>
      <c r="L227" s="201">
        <v>0</v>
      </c>
      <c r="M227" s="201">
        <v>0</v>
      </c>
      <c r="N227" s="201">
        <v>0</v>
      </c>
      <c r="O227" s="202">
        <v>0</v>
      </c>
      <c r="P227" s="202">
        <v>0</v>
      </c>
      <c r="Q227" s="201">
        <v>0</v>
      </c>
      <c r="R227" s="202">
        <v>0</v>
      </c>
      <c r="S227" s="202">
        <v>0</v>
      </c>
      <c r="T227" s="202">
        <v>0</v>
      </c>
      <c r="U227" s="202">
        <v>0</v>
      </c>
      <c r="V227" s="380"/>
    </row>
    <row r="228" spans="1:22">
      <c r="A228" s="166"/>
      <c r="B228" s="246" t="s">
        <v>64</v>
      </c>
      <c r="C228" s="297">
        <v>0</v>
      </c>
      <c r="D228" s="298">
        <v>0</v>
      </c>
      <c r="E228" s="298">
        <v>0</v>
      </c>
      <c r="F228" s="298">
        <v>0</v>
      </c>
      <c r="G228" s="298">
        <v>0</v>
      </c>
      <c r="H228" s="298">
        <v>0</v>
      </c>
      <c r="I228" s="298">
        <v>0</v>
      </c>
      <c r="J228" s="307">
        <v>0</v>
      </c>
      <c r="K228" s="307">
        <v>0</v>
      </c>
      <c r="L228" s="298">
        <v>0</v>
      </c>
      <c r="M228" s="298">
        <v>0</v>
      </c>
      <c r="N228" s="298">
        <v>0</v>
      </c>
      <c r="O228" s="307">
        <v>0</v>
      </c>
      <c r="P228" s="165">
        <v>0</v>
      </c>
      <c r="Q228" s="298">
        <v>0</v>
      </c>
      <c r="R228" s="307">
        <v>0</v>
      </c>
      <c r="S228" s="307">
        <v>0</v>
      </c>
      <c r="T228" s="307">
        <v>0</v>
      </c>
      <c r="U228" s="307">
        <v>0</v>
      </c>
      <c r="V228" s="380"/>
    </row>
    <row r="229" spans="1:22">
      <c r="A229" s="166"/>
      <c r="B229" s="167" t="s">
        <v>65</v>
      </c>
      <c r="C229" s="168">
        <v>0</v>
      </c>
      <c r="D229" s="169">
        <v>0</v>
      </c>
      <c r="E229" s="169">
        <v>0</v>
      </c>
      <c r="F229" s="169">
        <v>0</v>
      </c>
      <c r="G229" s="169">
        <v>0</v>
      </c>
      <c r="H229" s="169">
        <v>0</v>
      </c>
      <c r="I229" s="169">
        <v>0</v>
      </c>
      <c r="J229" s="170">
        <v>0</v>
      </c>
      <c r="K229" s="170">
        <v>0</v>
      </c>
      <c r="L229" s="169">
        <v>0</v>
      </c>
      <c r="M229" s="169">
        <v>0</v>
      </c>
      <c r="N229" s="169">
        <v>0</v>
      </c>
      <c r="O229" s="170">
        <v>0</v>
      </c>
      <c r="P229" s="170">
        <v>0</v>
      </c>
      <c r="Q229" s="169">
        <v>0</v>
      </c>
      <c r="R229" s="170">
        <v>0</v>
      </c>
      <c r="S229" s="170">
        <v>0</v>
      </c>
      <c r="T229" s="170">
        <v>0</v>
      </c>
      <c r="U229" s="170">
        <v>0</v>
      </c>
      <c r="V229" s="380"/>
    </row>
    <row r="230" spans="1:22">
      <c r="A230" s="166"/>
      <c r="B230" s="199" t="s">
        <v>66</v>
      </c>
      <c r="C230" s="200">
        <v>0</v>
      </c>
      <c r="D230" s="201">
        <v>0</v>
      </c>
      <c r="E230" s="201">
        <v>0</v>
      </c>
      <c r="F230" s="201">
        <v>0</v>
      </c>
      <c r="G230" s="201">
        <v>0</v>
      </c>
      <c r="H230" s="201">
        <v>0</v>
      </c>
      <c r="I230" s="201">
        <v>0</v>
      </c>
      <c r="J230" s="202">
        <v>0</v>
      </c>
      <c r="K230" s="202">
        <v>0</v>
      </c>
      <c r="L230" s="201">
        <v>0</v>
      </c>
      <c r="M230" s="201">
        <v>0</v>
      </c>
      <c r="N230" s="201">
        <v>0</v>
      </c>
      <c r="O230" s="202">
        <v>0</v>
      </c>
      <c r="P230" s="202">
        <v>0</v>
      </c>
      <c r="Q230" s="201">
        <v>0</v>
      </c>
      <c r="R230" s="202">
        <v>0</v>
      </c>
      <c r="S230" s="202">
        <v>0</v>
      </c>
      <c r="T230" s="202">
        <v>0</v>
      </c>
      <c r="U230" s="202">
        <v>0</v>
      </c>
      <c r="V230" s="380"/>
    </row>
    <row r="231" spans="1:22">
      <c r="A231" s="166"/>
      <c r="B231" s="246" t="s">
        <v>67</v>
      </c>
      <c r="C231" s="297">
        <v>0</v>
      </c>
      <c r="D231" s="298">
        <v>0</v>
      </c>
      <c r="E231" s="298">
        <v>0</v>
      </c>
      <c r="F231" s="298">
        <v>0</v>
      </c>
      <c r="G231" s="298">
        <v>0</v>
      </c>
      <c r="H231" s="298">
        <v>0</v>
      </c>
      <c r="I231" s="298">
        <v>0</v>
      </c>
      <c r="J231" s="307">
        <v>0</v>
      </c>
      <c r="K231" s="307">
        <v>0</v>
      </c>
      <c r="L231" s="298">
        <v>0</v>
      </c>
      <c r="M231" s="298">
        <v>0</v>
      </c>
      <c r="N231" s="298">
        <v>0</v>
      </c>
      <c r="O231" s="307">
        <v>0</v>
      </c>
      <c r="P231" s="165">
        <v>0</v>
      </c>
      <c r="Q231" s="298">
        <v>0</v>
      </c>
      <c r="R231" s="307">
        <v>0</v>
      </c>
      <c r="S231" s="307">
        <v>0</v>
      </c>
      <c r="T231" s="307">
        <v>0</v>
      </c>
      <c r="U231" s="307">
        <v>0</v>
      </c>
      <c r="V231" s="380"/>
    </row>
    <row r="232" spans="1:22">
      <c r="A232" s="166"/>
      <c r="B232" s="167" t="s">
        <v>68</v>
      </c>
      <c r="C232" s="168">
        <v>0</v>
      </c>
      <c r="D232" s="169">
        <v>0</v>
      </c>
      <c r="E232" s="169">
        <v>0</v>
      </c>
      <c r="F232" s="169">
        <v>0</v>
      </c>
      <c r="G232" s="169">
        <v>0</v>
      </c>
      <c r="H232" s="169">
        <v>0</v>
      </c>
      <c r="I232" s="169">
        <v>0</v>
      </c>
      <c r="J232" s="170">
        <v>0</v>
      </c>
      <c r="K232" s="170">
        <v>0</v>
      </c>
      <c r="L232" s="169">
        <v>0</v>
      </c>
      <c r="M232" s="169">
        <v>0</v>
      </c>
      <c r="N232" s="169">
        <v>0</v>
      </c>
      <c r="O232" s="170">
        <v>0</v>
      </c>
      <c r="P232" s="170">
        <v>0</v>
      </c>
      <c r="Q232" s="169">
        <v>0</v>
      </c>
      <c r="R232" s="170">
        <v>0</v>
      </c>
      <c r="S232" s="170">
        <v>0</v>
      </c>
      <c r="T232" s="170">
        <v>0</v>
      </c>
      <c r="U232" s="170">
        <v>0</v>
      </c>
      <c r="V232" s="380"/>
    </row>
    <row r="233" spans="1:22">
      <c r="A233" s="166"/>
      <c r="B233" s="199" t="s">
        <v>69</v>
      </c>
      <c r="C233" s="200">
        <v>0</v>
      </c>
      <c r="D233" s="201">
        <v>0</v>
      </c>
      <c r="E233" s="201">
        <v>0</v>
      </c>
      <c r="F233" s="201">
        <v>0</v>
      </c>
      <c r="G233" s="201">
        <v>0</v>
      </c>
      <c r="H233" s="201">
        <v>0</v>
      </c>
      <c r="I233" s="201">
        <v>0</v>
      </c>
      <c r="J233" s="202">
        <v>0</v>
      </c>
      <c r="K233" s="202">
        <v>0</v>
      </c>
      <c r="L233" s="201">
        <v>0</v>
      </c>
      <c r="M233" s="201">
        <v>0</v>
      </c>
      <c r="N233" s="201">
        <v>0</v>
      </c>
      <c r="O233" s="202">
        <v>0</v>
      </c>
      <c r="P233" s="202">
        <v>0</v>
      </c>
      <c r="Q233" s="201">
        <v>0</v>
      </c>
      <c r="R233" s="202">
        <v>0</v>
      </c>
      <c r="S233" s="202">
        <v>0</v>
      </c>
      <c r="T233" s="202">
        <v>0</v>
      </c>
      <c r="U233" s="202">
        <v>0</v>
      </c>
      <c r="V233" s="380"/>
    </row>
    <row r="234" spans="1:22">
      <c r="A234" s="166"/>
      <c r="B234" s="246" t="s">
        <v>70</v>
      </c>
      <c r="C234" s="297">
        <v>0</v>
      </c>
      <c r="D234" s="298">
        <v>0</v>
      </c>
      <c r="E234" s="298">
        <v>0</v>
      </c>
      <c r="F234" s="298">
        <v>0</v>
      </c>
      <c r="G234" s="298">
        <v>0</v>
      </c>
      <c r="H234" s="298">
        <v>0</v>
      </c>
      <c r="I234" s="298">
        <v>0</v>
      </c>
      <c r="J234" s="307">
        <v>0</v>
      </c>
      <c r="K234" s="307">
        <v>0</v>
      </c>
      <c r="L234" s="298">
        <v>0</v>
      </c>
      <c r="M234" s="298">
        <v>0</v>
      </c>
      <c r="N234" s="298">
        <v>0</v>
      </c>
      <c r="O234" s="307">
        <v>0</v>
      </c>
      <c r="P234" s="165">
        <v>0</v>
      </c>
      <c r="Q234" s="298">
        <v>0</v>
      </c>
      <c r="R234" s="307">
        <v>0</v>
      </c>
      <c r="S234" s="307">
        <v>0</v>
      </c>
      <c r="T234" s="307">
        <v>0</v>
      </c>
      <c r="U234" s="307">
        <v>0</v>
      </c>
      <c r="V234" s="380"/>
    </row>
    <row r="235" spans="1:22">
      <c r="A235" s="166"/>
      <c r="B235" s="167" t="s">
        <v>71</v>
      </c>
      <c r="C235" s="168">
        <v>0</v>
      </c>
      <c r="D235" s="169">
        <v>0</v>
      </c>
      <c r="E235" s="169">
        <v>0</v>
      </c>
      <c r="F235" s="169">
        <v>0</v>
      </c>
      <c r="G235" s="169">
        <v>0</v>
      </c>
      <c r="H235" s="169">
        <v>0</v>
      </c>
      <c r="I235" s="169">
        <v>0</v>
      </c>
      <c r="J235" s="170">
        <v>0</v>
      </c>
      <c r="K235" s="170">
        <v>0</v>
      </c>
      <c r="L235" s="169">
        <v>0</v>
      </c>
      <c r="M235" s="169">
        <v>0</v>
      </c>
      <c r="N235" s="169">
        <v>0</v>
      </c>
      <c r="O235" s="170">
        <v>0</v>
      </c>
      <c r="P235" s="170">
        <v>0</v>
      </c>
      <c r="Q235" s="169">
        <v>0</v>
      </c>
      <c r="R235" s="170">
        <v>0</v>
      </c>
      <c r="S235" s="170">
        <v>0</v>
      </c>
      <c r="T235" s="170">
        <v>0</v>
      </c>
      <c r="U235" s="170">
        <v>0</v>
      </c>
      <c r="V235" s="380"/>
    </row>
    <row r="236" spans="1:22">
      <c r="A236" s="166"/>
      <c r="B236" s="199" t="s">
        <v>72</v>
      </c>
      <c r="C236" s="200">
        <v>0</v>
      </c>
      <c r="D236" s="201">
        <v>0</v>
      </c>
      <c r="E236" s="201">
        <v>0</v>
      </c>
      <c r="F236" s="201">
        <v>0</v>
      </c>
      <c r="G236" s="201">
        <v>0</v>
      </c>
      <c r="H236" s="201">
        <v>0</v>
      </c>
      <c r="I236" s="201">
        <v>0</v>
      </c>
      <c r="J236" s="202">
        <v>0</v>
      </c>
      <c r="K236" s="202">
        <v>0</v>
      </c>
      <c r="L236" s="201">
        <v>0</v>
      </c>
      <c r="M236" s="201">
        <v>0</v>
      </c>
      <c r="N236" s="201">
        <v>0</v>
      </c>
      <c r="O236" s="202">
        <v>0</v>
      </c>
      <c r="P236" s="202">
        <v>0</v>
      </c>
      <c r="Q236" s="201">
        <v>0</v>
      </c>
      <c r="R236" s="202">
        <v>0</v>
      </c>
      <c r="S236" s="202">
        <v>0</v>
      </c>
      <c r="T236" s="202">
        <v>0</v>
      </c>
      <c r="U236" s="202">
        <v>0</v>
      </c>
      <c r="V236" s="380"/>
    </row>
    <row r="237" spans="1:22">
      <c r="A237" s="166"/>
      <c r="B237" s="246" t="s">
        <v>73</v>
      </c>
      <c r="C237" s="297">
        <v>0</v>
      </c>
      <c r="D237" s="298">
        <v>0</v>
      </c>
      <c r="E237" s="298">
        <v>0</v>
      </c>
      <c r="F237" s="298">
        <v>0</v>
      </c>
      <c r="G237" s="298">
        <v>0</v>
      </c>
      <c r="H237" s="298">
        <v>0</v>
      </c>
      <c r="I237" s="298">
        <v>0</v>
      </c>
      <c r="J237" s="307">
        <v>0</v>
      </c>
      <c r="K237" s="307">
        <v>0</v>
      </c>
      <c r="L237" s="298">
        <v>0</v>
      </c>
      <c r="M237" s="298">
        <v>0</v>
      </c>
      <c r="N237" s="298">
        <v>0</v>
      </c>
      <c r="O237" s="307">
        <v>0</v>
      </c>
      <c r="P237" s="165">
        <v>0</v>
      </c>
      <c r="Q237" s="298">
        <v>0</v>
      </c>
      <c r="R237" s="307">
        <v>0</v>
      </c>
      <c r="S237" s="307">
        <v>0</v>
      </c>
      <c r="T237" s="307">
        <v>0</v>
      </c>
      <c r="U237" s="307">
        <v>0</v>
      </c>
      <c r="V237" s="380"/>
    </row>
    <row r="238" spans="1:22">
      <c r="A238" s="166"/>
      <c r="B238" s="167" t="s">
        <v>74</v>
      </c>
      <c r="C238" s="168">
        <v>0</v>
      </c>
      <c r="D238" s="169">
        <v>0</v>
      </c>
      <c r="E238" s="169">
        <v>0</v>
      </c>
      <c r="F238" s="169">
        <v>0</v>
      </c>
      <c r="G238" s="169">
        <v>0</v>
      </c>
      <c r="H238" s="169">
        <v>0</v>
      </c>
      <c r="I238" s="169">
        <v>0</v>
      </c>
      <c r="J238" s="170">
        <v>0</v>
      </c>
      <c r="K238" s="170">
        <v>0</v>
      </c>
      <c r="L238" s="169">
        <v>0</v>
      </c>
      <c r="M238" s="169">
        <v>0</v>
      </c>
      <c r="N238" s="169">
        <v>0</v>
      </c>
      <c r="O238" s="170">
        <v>0</v>
      </c>
      <c r="P238" s="170">
        <v>0</v>
      </c>
      <c r="Q238" s="169">
        <v>0</v>
      </c>
      <c r="R238" s="170">
        <v>0</v>
      </c>
      <c r="S238" s="170">
        <v>0</v>
      </c>
      <c r="T238" s="170">
        <v>0</v>
      </c>
      <c r="U238" s="170">
        <v>0</v>
      </c>
      <c r="V238" s="380"/>
    </row>
    <row r="239" spans="1:22" ht="15.75" thickBot="1">
      <c r="A239" s="166"/>
      <c r="B239" s="303" t="s">
        <v>75</v>
      </c>
      <c r="C239" s="304">
        <v>0</v>
      </c>
      <c r="D239" s="305">
        <v>0</v>
      </c>
      <c r="E239" s="305">
        <v>0</v>
      </c>
      <c r="F239" s="305">
        <v>0</v>
      </c>
      <c r="G239" s="305">
        <v>0</v>
      </c>
      <c r="H239" s="305">
        <v>0</v>
      </c>
      <c r="I239" s="305">
        <v>0</v>
      </c>
      <c r="J239" s="308">
        <v>0</v>
      </c>
      <c r="K239" s="308">
        <v>0</v>
      </c>
      <c r="L239" s="305">
        <v>0</v>
      </c>
      <c r="M239" s="305">
        <v>0</v>
      </c>
      <c r="N239" s="305">
        <v>0</v>
      </c>
      <c r="O239" s="308">
        <v>0</v>
      </c>
      <c r="P239" s="308">
        <v>0</v>
      </c>
      <c r="Q239" s="305">
        <v>0</v>
      </c>
      <c r="R239" s="308">
        <v>0</v>
      </c>
      <c r="S239" s="308">
        <v>0</v>
      </c>
      <c r="T239" s="308">
        <v>0</v>
      </c>
      <c r="U239" s="308">
        <v>0</v>
      </c>
      <c r="V239" s="380"/>
    </row>
    <row r="240" spans="1:22" ht="15.75" thickTop="1">
      <c r="A240" s="166"/>
      <c r="B240" s="167" t="s">
        <v>76</v>
      </c>
      <c r="C240" s="168">
        <v>0</v>
      </c>
      <c r="D240" s="169">
        <v>0</v>
      </c>
      <c r="E240" s="169">
        <v>0</v>
      </c>
      <c r="F240" s="169">
        <v>0</v>
      </c>
      <c r="G240" s="169">
        <v>0</v>
      </c>
      <c r="H240" s="169">
        <v>0</v>
      </c>
      <c r="I240" s="169">
        <v>0</v>
      </c>
      <c r="J240" s="170">
        <v>0</v>
      </c>
      <c r="K240" s="170">
        <v>0</v>
      </c>
      <c r="L240" s="169">
        <v>0</v>
      </c>
      <c r="M240" s="169">
        <v>0</v>
      </c>
      <c r="N240" s="169">
        <v>0</v>
      </c>
      <c r="O240" s="170">
        <v>0</v>
      </c>
      <c r="P240" s="170">
        <v>0</v>
      </c>
      <c r="Q240" s="169">
        <v>0</v>
      </c>
      <c r="R240" s="170">
        <v>0</v>
      </c>
      <c r="S240" s="170">
        <v>0</v>
      </c>
      <c r="T240" s="170">
        <v>0</v>
      </c>
      <c r="U240" s="170">
        <v>0</v>
      </c>
      <c r="V240" s="380"/>
    </row>
    <row r="241" spans="1:22">
      <c r="A241" s="166"/>
      <c r="B241" s="167" t="s">
        <v>77</v>
      </c>
      <c r="C241" s="168">
        <v>0</v>
      </c>
      <c r="D241" s="169">
        <v>0</v>
      </c>
      <c r="E241" s="169">
        <v>0</v>
      </c>
      <c r="F241" s="169">
        <v>0</v>
      </c>
      <c r="G241" s="169">
        <v>0</v>
      </c>
      <c r="H241" s="169">
        <v>0</v>
      </c>
      <c r="I241" s="169">
        <v>0</v>
      </c>
      <c r="J241" s="170">
        <v>0</v>
      </c>
      <c r="K241" s="170">
        <v>0</v>
      </c>
      <c r="L241" s="169">
        <v>0</v>
      </c>
      <c r="M241" s="169">
        <v>0</v>
      </c>
      <c r="N241" s="169">
        <v>0</v>
      </c>
      <c r="O241" s="170">
        <v>0</v>
      </c>
      <c r="P241" s="170">
        <v>0</v>
      </c>
      <c r="Q241" s="169">
        <v>0</v>
      </c>
      <c r="R241" s="170">
        <v>0</v>
      </c>
      <c r="S241" s="170">
        <v>0</v>
      </c>
      <c r="T241" s="170">
        <v>0</v>
      </c>
      <c r="U241" s="170">
        <v>0</v>
      </c>
      <c r="V241" s="380"/>
    </row>
    <row r="242" spans="1:22">
      <c r="A242" s="166"/>
      <c r="B242" s="199" t="s">
        <v>78</v>
      </c>
      <c r="C242" s="200">
        <v>0</v>
      </c>
      <c r="D242" s="201">
        <v>0</v>
      </c>
      <c r="E242" s="201">
        <v>0</v>
      </c>
      <c r="F242" s="201">
        <v>0</v>
      </c>
      <c r="G242" s="201">
        <v>0</v>
      </c>
      <c r="H242" s="201">
        <v>0</v>
      </c>
      <c r="I242" s="201">
        <v>0</v>
      </c>
      <c r="J242" s="202">
        <v>0</v>
      </c>
      <c r="K242" s="202">
        <v>0</v>
      </c>
      <c r="L242" s="201">
        <v>0</v>
      </c>
      <c r="M242" s="201">
        <v>0</v>
      </c>
      <c r="N242" s="201">
        <v>0</v>
      </c>
      <c r="O242" s="202">
        <v>0</v>
      </c>
      <c r="P242" s="202">
        <v>0</v>
      </c>
      <c r="Q242" s="201">
        <v>0</v>
      </c>
      <c r="R242" s="202">
        <v>0</v>
      </c>
      <c r="S242" s="202">
        <v>0</v>
      </c>
      <c r="T242" s="202">
        <v>0</v>
      </c>
      <c r="U242" s="202">
        <v>0</v>
      </c>
      <c r="V242" s="380"/>
    </row>
    <row r="243" spans="1:22">
      <c r="A243" s="166"/>
      <c r="B243" s="246" t="s">
        <v>79</v>
      </c>
      <c r="C243" s="297">
        <v>0</v>
      </c>
      <c r="D243" s="298">
        <v>0</v>
      </c>
      <c r="E243" s="298">
        <v>0</v>
      </c>
      <c r="F243" s="298">
        <v>0</v>
      </c>
      <c r="G243" s="298">
        <v>0</v>
      </c>
      <c r="H243" s="298">
        <v>0</v>
      </c>
      <c r="I243" s="298">
        <v>0</v>
      </c>
      <c r="J243" s="307">
        <v>0</v>
      </c>
      <c r="K243" s="307">
        <v>0</v>
      </c>
      <c r="L243" s="298">
        <v>0</v>
      </c>
      <c r="M243" s="298">
        <v>0</v>
      </c>
      <c r="N243" s="298">
        <v>0</v>
      </c>
      <c r="O243" s="307">
        <v>0</v>
      </c>
      <c r="P243" s="165">
        <v>0</v>
      </c>
      <c r="Q243" s="298">
        <v>0</v>
      </c>
      <c r="R243" s="307">
        <v>0</v>
      </c>
      <c r="S243" s="307">
        <v>0</v>
      </c>
      <c r="T243" s="307">
        <v>0</v>
      </c>
      <c r="U243" s="307">
        <v>0</v>
      </c>
      <c r="V243" s="380"/>
    </row>
    <row r="244" spans="1:22">
      <c r="A244" s="166"/>
      <c r="B244" s="167" t="s">
        <v>80</v>
      </c>
      <c r="C244" s="168">
        <v>0</v>
      </c>
      <c r="D244" s="169">
        <v>0</v>
      </c>
      <c r="E244" s="169">
        <v>0</v>
      </c>
      <c r="F244" s="169">
        <v>0</v>
      </c>
      <c r="G244" s="169">
        <v>0</v>
      </c>
      <c r="H244" s="169">
        <v>0</v>
      </c>
      <c r="I244" s="169">
        <v>0</v>
      </c>
      <c r="J244" s="170">
        <v>0</v>
      </c>
      <c r="K244" s="170">
        <v>0</v>
      </c>
      <c r="L244" s="169">
        <v>0</v>
      </c>
      <c r="M244" s="169">
        <v>0</v>
      </c>
      <c r="N244" s="169">
        <v>0</v>
      </c>
      <c r="O244" s="170">
        <v>0</v>
      </c>
      <c r="P244" s="170">
        <v>0</v>
      </c>
      <c r="Q244" s="169">
        <v>0</v>
      </c>
      <c r="R244" s="170">
        <v>0</v>
      </c>
      <c r="S244" s="170">
        <v>0</v>
      </c>
      <c r="T244" s="170">
        <v>0</v>
      </c>
      <c r="U244" s="170">
        <v>0</v>
      </c>
      <c r="V244" s="380"/>
    </row>
    <row r="245" spans="1:22">
      <c r="A245" s="166"/>
      <c r="B245" s="199" t="s">
        <v>81</v>
      </c>
      <c r="C245" s="200">
        <v>0</v>
      </c>
      <c r="D245" s="201">
        <v>0</v>
      </c>
      <c r="E245" s="201">
        <v>0</v>
      </c>
      <c r="F245" s="201">
        <v>0</v>
      </c>
      <c r="G245" s="201">
        <v>0</v>
      </c>
      <c r="H245" s="201">
        <v>0</v>
      </c>
      <c r="I245" s="201">
        <v>0</v>
      </c>
      <c r="J245" s="202">
        <v>0</v>
      </c>
      <c r="K245" s="202">
        <v>0</v>
      </c>
      <c r="L245" s="201">
        <v>0</v>
      </c>
      <c r="M245" s="201">
        <v>0</v>
      </c>
      <c r="N245" s="201">
        <v>0</v>
      </c>
      <c r="O245" s="202">
        <v>0</v>
      </c>
      <c r="P245" s="202">
        <v>0</v>
      </c>
      <c r="Q245" s="201">
        <v>0</v>
      </c>
      <c r="R245" s="202">
        <v>0</v>
      </c>
      <c r="S245" s="202">
        <v>0</v>
      </c>
      <c r="T245" s="202">
        <v>0</v>
      </c>
      <c r="U245" s="202">
        <v>0</v>
      </c>
      <c r="V245" s="380"/>
    </row>
    <row r="246" spans="1:22">
      <c r="A246" s="166"/>
      <c r="B246" s="246" t="s">
        <v>82</v>
      </c>
      <c r="C246" s="297">
        <v>0</v>
      </c>
      <c r="D246" s="298">
        <v>0</v>
      </c>
      <c r="E246" s="298">
        <v>0</v>
      </c>
      <c r="F246" s="298">
        <v>0</v>
      </c>
      <c r="G246" s="298">
        <v>0</v>
      </c>
      <c r="H246" s="298">
        <v>0</v>
      </c>
      <c r="I246" s="298">
        <v>0</v>
      </c>
      <c r="J246" s="307">
        <v>0</v>
      </c>
      <c r="K246" s="307">
        <v>0</v>
      </c>
      <c r="L246" s="298">
        <v>0</v>
      </c>
      <c r="M246" s="298">
        <v>0</v>
      </c>
      <c r="N246" s="298">
        <v>0</v>
      </c>
      <c r="O246" s="307">
        <v>0</v>
      </c>
      <c r="P246" s="165">
        <v>0</v>
      </c>
      <c r="Q246" s="298">
        <v>0</v>
      </c>
      <c r="R246" s="307">
        <v>0</v>
      </c>
      <c r="S246" s="307">
        <v>0</v>
      </c>
      <c r="T246" s="307">
        <v>0</v>
      </c>
      <c r="U246" s="307">
        <v>0</v>
      </c>
      <c r="V246" s="380"/>
    </row>
    <row r="247" spans="1:22">
      <c r="A247" s="166"/>
      <c r="B247" s="167" t="s">
        <v>83</v>
      </c>
      <c r="C247" s="168">
        <v>0</v>
      </c>
      <c r="D247" s="169">
        <v>0</v>
      </c>
      <c r="E247" s="169">
        <v>0</v>
      </c>
      <c r="F247" s="169">
        <v>0</v>
      </c>
      <c r="G247" s="169">
        <v>0</v>
      </c>
      <c r="H247" s="169">
        <v>0</v>
      </c>
      <c r="I247" s="169">
        <v>0</v>
      </c>
      <c r="J247" s="170">
        <v>0</v>
      </c>
      <c r="K247" s="170">
        <v>0</v>
      </c>
      <c r="L247" s="169">
        <v>0</v>
      </c>
      <c r="M247" s="169">
        <v>0</v>
      </c>
      <c r="N247" s="169">
        <v>0</v>
      </c>
      <c r="O247" s="170">
        <v>0</v>
      </c>
      <c r="P247" s="170">
        <v>0</v>
      </c>
      <c r="Q247" s="169">
        <v>0</v>
      </c>
      <c r="R247" s="170">
        <v>0</v>
      </c>
      <c r="S247" s="170">
        <v>0</v>
      </c>
      <c r="T247" s="170">
        <v>0</v>
      </c>
      <c r="U247" s="170">
        <v>0</v>
      </c>
      <c r="V247" s="380"/>
    </row>
    <row r="248" spans="1:22">
      <c r="A248" s="166"/>
      <c r="B248" s="199" t="s">
        <v>84</v>
      </c>
      <c r="C248" s="200">
        <v>0</v>
      </c>
      <c r="D248" s="201">
        <v>0</v>
      </c>
      <c r="E248" s="201">
        <v>0</v>
      </c>
      <c r="F248" s="201">
        <v>0</v>
      </c>
      <c r="G248" s="201">
        <v>0</v>
      </c>
      <c r="H248" s="201">
        <v>0</v>
      </c>
      <c r="I248" s="201">
        <v>0</v>
      </c>
      <c r="J248" s="202">
        <v>0</v>
      </c>
      <c r="K248" s="202">
        <v>0</v>
      </c>
      <c r="L248" s="201">
        <v>0</v>
      </c>
      <c r="M248" s="201">
        <v>0</v>
      </c>
      <c r="N248" s="201">
        <v>0</v>
      </c>
      <c r="O248" s="202">
        <v>0</v>
      </c>
      <c r="P248" s="202">
        <v>0</v>
      </c>
      <c r="Q248" s="201">
        <v>0</v>
      </c>
      <c r="R248" s="202">
        <v>0</v>
      </c>
      <c r="S248" s="202">
        <v>0</v>
      </c>
      <c r="T248" s="202">
        <v>0</v>
      </c>
      <c r="U248" s="202">
        <v>0</v>
      </c>
      <c r="V248" s="380"/>
    </row>
    <row r="249" spans="1:22">
      <c r="A249" s="166"/>
      <c r="B249" s="246" t="s">
        <v>85</v>
      </c>
      <c r="C249" s="297">
        <v>0</v>
      </c>
      <c r="D249" s="298">
        <v>0</v>
      </c>
      <c r="E249" s="298">
        <v>0</v>
      </c>
      <c r="F249" s="298">
        <v>0</v>
      </c>
      <c r="G249" s="298">
        <v>0</v>
      </c>
      <c r="H249" s="298">
        <v>0</v>
      </c>
      <c r="I249" s="298">
        <v>0</v>
      </c>
      <c r="J249" s="307">
        <v>0</v>
      </c>
      <c r="K249" s="307">
        <v>0</v>
      </c>
      <c r="L249" s="298">
        <v>0</v>
      </c>
      <c r="M249" s="298">
        <v>0</v>
      </c>
      <c r="N249" s="298">
        <v>0</v>
      </c>
      <c r="O249" s="307">
        <v>0</v>
      </c>
      <c r="P249" s="165">
        <v>0</v>
      </c>
      <c r="Q249" s="298">
        <v>0</v>
      </c>
      <c r="R249" s="307">
        <v>0</v>
      </c>
      <c r="S249" s="307">
        <v>0</v>
      </c>
      <c r="T249" s="307">
        <v>0</v>
      </c>
      <c r="U249" s="307">
        <v>0</v>
      </c>
      <c r="V249" s="380"/>
    </row>
    <row r="250" spans="1:22">
      <c r="A250" s="166"/>
      <c r="B250" s="167" t="s">
        <v>86</v>
      </c>
      <c r="C250" s="168">
        <v>0</v>
      </c>
      <c r="D250" s="169">
        <v>0</v>
      </c>
      <c r="E250" s="169">
        <v>0</v>
      </c>
      <c r="F250" s="169">
        <v>0</v>
      </c>
      <c r="G250" s="169">
        <v>0</v>
      </c>
      <c r="H250" s="169">
        <v>0</v>
      </c>
      <c r="I250" s="169">
        <v>0</v>
      </c>
      <c r="J250" s="170">
        <v>0</v>
      </c>
      <c r="K250" s="170">
        <v>0</v>
      </c>
      <c r="L250" s="169">
        <v>0</v>
      </c>
      <c r="M250" s="169">
        <v>0</v>
      </c>
      <c r="N250" s="169">
        <v>0</v>
      </c>
      <c r="O250" s="170">
        <v>0</v>
      </c>
      <c r="P250" s="170">
        <v>0</v>
      </c>
      <c r="Q250" s="169">
        <v>0</v>
      </c>
      <c r="R250" s="170">
        <v>0</v>
      </c>
      <c r="S250" s="170">
        <v>0</v>
      </c>
      <c r="T250" s="170">
        <v>0</v>
      </c>
      <c r="U250" s="170">
        <v>0</v>
      </c>
      <c r="V250" s="380"/>
    </row>
    <row r="251" spans="1:22">
      <c r="A251" s="166"/>
      <c r="B251" s="199" t="s">
        <v>87</v>
      </c>
      <c r="C251" s="200">
        <v>0</v>
      </c>
      <c r="D251" s="201">
        <v>0</v>
      </c>
      <c r="E251" s="201">
        <v>0</v>
      </c>
      <c r="F251" s="201">
        <v>0</v>
      </c>
      <c r="G251" s="201">
        <v>0</v>
      </c>
      <c r="H251" s="201">
        <v>0</v>
      </c>
      <c r="I251" s="201">
        <v>0</v>
      </c>
      <c r="J251" s="202">
        <v>0</v>
      </c>
      <c r="K251" s="202">
        <v>0</v>
      </c>
      <c r="L251" s="201">
        <v>0</v>
      </c>
      <c r="M251" s="201">
        <v>0</v>
      </c>
      <c r="N251" s="201">
        <v>0</v>
      </c>
      <c r="O251" s="202">
        <v>0</v>
      </c>
      <c r="P251" s="202">
        <v>0</v>
      </c>
      <c r="Q251" s="201">
        <v>0</v>
      </c>
      <c r="R251" s="202">
        <v>0</v>
      </c>
      <c r="S251" s="202">
        <v>0</v>
      </c>
      <c r="T251" s="202">
        <v>0</v>
      </c>
      <c r="U251" s="202">
        <v>0</v>
      </c>
      <c r="V251" s="380"/>
    </row>
    <row r="252" spans="1:22">
      <c r="A252" s="166"/>
      <c r="B252" s="246" t="s">
        <v>88</v>
      </c>
      <c r="C252" s="297">
        <v>0</v>
      </c>
      <c r="D252" s="298">
        <v>0</v>
      </c>
      <c r="E252" s="298">
        <v>0</v>
      </c>
      <c r="F252" s="298">
        <v>0</v>
      </c>
      <c r="G252" s="298">
        <v>0</v>
      </c>
      <c r="H252" s="298">
        <v>0</v>
      </c>
      <c r="I252" s="298">
        <v>0</v>
      </c>
      <c r="J252" s="307">
        <v>0</v>
      </c>
      <c r="K252" s="307">
        <v>0</v>
      </c>
      <c r="L252" s="298">
        <v>0</v>
      </c>
      <c r="M252" s="298">
        <v>0</v>
      </c>
      <c r="N252" s="298">
        <v>0</v>
      </c>
      <c r="O252" s="307">
        <v>0</v>
      </c>
      <c r="P252" s="165">
        <v>0</v>
      </c>
      <c r="Q252" s="298">
        <v>0</v>
      </c>
      <c r="R252" s="307">
        <v>0</v>
      </c>
      <c r="S252" s="307">
        <v>0</v>
      </c>
      <c r="T252" s="307">
        <v>0</v>
      </c>
      <c r="U252" s="307">
        <v>0</v>
      </c>
      <c r="V252" s="380"/>
    </row>
    <row r="253" spans="1:22">
      <c r="A253" s="166"/>
      <c r="B253" s="167" t="s">
        <v>89</v>
      </c>
      <c r="C253" s="168">
        <v>0</v>
      </c>
      <c r="D253" s="169">
        <v>0</v>
      </c>
      <c r="E253" s="169">
        <v>0</v>
      </c>
      <c r="F253" s="169">
        <v>0</v>
      </c>
      <c r="G253" s="169">
        <v>0</v>
      </c>
      <c r="H253" s="169">
        <v>0</v>
      </c>
      <c r="I253" s="169">
        <v>0</v>
      </c>
      <c r="J253" s="170">
        <v>0</v>
      </c>
      <c r="K253" s="170">
        <v>0</v>
      </c>
      <c r="L253" s="169">
        <v>0</v>
      </c>
      <c r="M253" s="169">
        <v>0</v>
      </c>
      <c r="N253" s="169">
        <v>0</v>
      </c>
      <c r="O253" s="170">
        <v>0</v>
      </c>
      <c r="P253" s="170">
        <v>0</v>
      </c>
      <c r="Q253" s="169">
        <v>0</v>
      </c>
      <c r="R253" s="170">
        <v>0</v>
      </c>
      <c r="S253" s="170">
        <v>0</v>
      </c>
      <c r="T253" s="170">
        <v>0</v>
      </c>
      <c r="U253" s="170">
        <v>0</v>
      </c>
      <c r="V253" s="380"/>
    </row>
    <row r="254" spans="1:22">
      <c r="A254" s="166"/>
      <c r="B254" s="199" t="s">
        <v>90</v>
      </c>
      <c r="C254" s="200">
        <v>0</v>
      </c>
      <c r="D254" s="201">
        <v>0</v>
      </c>
      <c r="E254" s="201">
        <v>0</v>
      </c>
      <c r="F254" s="201">
        <v>0</v>
      </c>
      <c r="G254" s="201">
        <v>0</v>
      </c>
      <c r="H254" s="201">
        <v>0</v>
      </c>
      <c r="I254" s="201">
        <v>0</v>
      </c>
      <c r="J254" s="202">
        <v>0</v>
      </c>
      <c r="K254" s="202">
        <v>0</v>
      </c>
      <c r="L254" s="201">
        <v>0</v>
      </c>
      <c r="M254" s="201">
        <v>0</v>
      </c>
      <c r="N254" s="201">
        <v>0</v>
      </c>
      <c r="O254" s="202">
        <v>0</v>
      </c>
      <c r="P254" s="202">
        <v>0</v>
      </c>
      <c r="Q254" s="201">
        <v>0</v>
      </c>
      <c r="R254" s="202">
        <v>0</v>
      </c>
      <c r="S254" s="202">
        <v>0</v>
      </c>
      <c r="T254" s="202">
        <v>0</v>
      </c>
      <c r="U254" s="202">
        <v>0</v>
      </c>
      <c r="V254" s="380"/>
    </row>
    <row r="255" spans="1:22">
      <c r="A255" s="166"/>
      <c r="B255" s="246" t="s">
        <v>91</v>
      </c>
      <c r="C255" s="297">
        <v>0</v>
      </c>
      <c r="D255" s="298">
        <v>0</v>
      </c>
      <c r="E255" s="298">
        <v>0</v>
      </c>
      <c r="F255" s="298">
        <v>0</v>
      </c>
      <c r="G255" s="298">
        <v>0</v>
      </c>
      <c r="H255" s="298">
        <v>0</v>
      </c>
      <c r="I255" s="298">
        <v>0</v>
      </c>
      <c r="J255" s="307">
        <v>0</v>
      </c>
      <c r="K255" s="307">
        <v>0</v>
      </c>
      <c r="L255" s="298">
        <v>0</v>
      </c>
      <c r="M255" s="298">
        <v>0</v>
      </c>
      <c r="N255" s="298">
        <v>0</v>
      </c>
      <c r="O255" s="307">
        <v>0</v>
      </c>
      <c r="P255" s="165">
        <v>0</v>
      </c>
      <c r="Q255" s="298">
        <v>0</v>
      </c>
      <c r="R255" s="307">
        <v>0</v>
      </c>
      <c r="S255" s="307">
        <v>0</v>
      </c>
      <c r="T255" s="307">
        <v>0</v>
      </c>
      <c r="U255" s="307">
        <v>0</v>
      </c>
      <c r="V255" s="380"/>
    </row>
    <row r="256" spans="1:22">
      <c r="A256" s="166"/>
      <c r="B256" s="167" t="s">
        <v>92</v>
      </c>
      <c r="C256" s="168">
        <v>0</v>
      </c>
      <c r="D256" s="169">
        <v>0</v>
      </c>
      <c r="E256" s="169">
        <v>0</v>
      </c>
      <c r="F256" s="169">
        <v>0</v>
      </c>
      <c r="G256" s="169">
        <v>0</v>
      </c>
      <c r="H256" s="169">
        <v>0</v>
      </c>
      <c r="I256" s="169">
        <v>0</v>
      </c>
      <c r="J256" s="170">
        <v>0</v>
      </c>
      <c r="K256" s="170">
        <v>0</v>
      </c>
      <c r="L256" s="169">
        <v>0</v>
      </c>
      <c r="M256" s="169">
        <v>0</v>
      </c>
      <c r="N256" s="169">
        <v>0</v>
      </c>
      <c r="O256" s="170">
        <v>0</v>
      </c>
      <c r="P256" s="170">
        <v>0</v>
      </c>
      <c r="Q256" s="169">
        <v>0</v>
      </c>
      <c r="R256" s="170">
        <v>0</v>
      </c>
      <c r="S256" s="170">
        <v>0</v>
      </c>
      <c r="T256" s="170">
        <v>0</v>
      </c>
      <c r="U256" s="170">
        <v>0</v>
      </c>
      <c r="V256" s="380"/>
    </row>
    <row r="257" spans="1:22" ht="15.75" thickBot="1">
      <c r="A257" s="310"/>
      <c r="B257" s="311" t="s">
        <v>93</v>
      </c>
      <c r="C257" s="312">
        <v>0</v>
      </c>
      <c r="D257" s="313">
        <v>0</v>
      </c>
      <c r="E257" s="313">
        <v>0</v>
      </c>
      <c r="F257" s="313">
        <v>0</v>
      </c>
      <c r="G257" s="313">
        <v>0</v>
      </c>
      <c r="H257" s="313">
        <v>0</v>
      </c>
      <c r="I257" s="313">
        <v>0</v>
      </c>
      <c r="J257" s="314">
        <v>0</v>
      </c>
      <c r="K257" s="314">
        <v>0</v>
      </c>
      <c r="L257" s="313">
        <v>0</v>
      </c>
      <c r="M257" s="313">
        <v>0</v>
      </c>
      <c r="N257" s="313">
        <v>0</v>
      </c>
      <c r="O257" s="314">
        <v>0</v>
      </c>
      <c r="P257" s="314">
        <v>0</v>
      </c>
      <c r="Q257" s="313">
        <v>0</v>
      </c>
      <c r="R257" s="314">
        <v>0</v>
      </c>
      <c r="S257" s="314">
        <v>0</v>
      </c>
      <c r="T257" s="314">
        <v>0</v>
      </c>
      <c r="U257" s="314">
        <v>0</v>
      </c>
      <c r="V257" s="380"/>
    </row>
    <row r="258" spans="1:22">
      <c r="A258" s="296" t="s">
        <v>46</v>
      </c>
      <c r="B258" s="246" t="s">
        <v>59</v>
      </c>
      <c r="C258" s="297">
        <v>0.95008476579477785</v>
      </c>
      <c r="D258" s="298">
        <v>0.90611889735483064</v>
      </c>
      <c r="E258" s="298">
        <v>0.90199679626218066</v>
      </c>
      <c r="F258" s="298">
        <v>0.85699851651090531</v>
      </c>
      <c r="G258" s="298">
        <v>0.84085978852375698</v>
      </c>
      <c r="H258" s="298">
        <v>1</v>
      </c>
      <c r="I258" s="298">
        <v>1.6097773964732737E-2</v>
      </c>
      <c r="J258" s="307">
        <v>0.75810989296239173</v>
      </c>
      <c r="K258" s="307">
        <v>0</v>
      </c>
      <c r="L258" s="298">
        <v>0.74796648038047586</v>
      </c>
      <c r="M258" s="298">
        <v>0.76656633326188228</v>
      </c>
      <c r="N258" s="298">
        <v>0.72638142259561</v>
      </c>
      <c r="O258" s="307">
        <v>0.75149534406065766</v>
      </c>
      <c r="P258" s="165">
        <v>0</v>
      </c>
      <c r="Q258" s="298">
        <v>0</v>
      </c>
      <c r="R258" s="307">
        <v>0</v>
      </c>
      <c r="S258" s="307">
        <v>0</v>
      </c>
      <c r="T258" s="307">
        <v>0</v>
      </c>
      <c r="U258" s="307">
        <v>0.75499722874406272</v>
      </c>
      <c r="V258" s="380"/>
    </row>
    <row r="259" spans="1:22">
      <c r="A259" s="166"/>
      <c r="B259" s="167" t="s">
        <v>60</v>
      </c>
      <c r="C259" s="168">
        <v>0.94767651532829777</v>
      </c>
      <c r="D259" s="169">
        <v>0.90203221399700995</v>
      </c>
      <c r="E259" s="169">
        <v>0.89516755282586324</v>
      </c>
      <c r="F259" s="169">
        <v>0.84967112918982302</v>
      </c>
      <c r="G259" s="169">
        <v>0.82178300045675368</v>
      </c>
      <c r="H259" s="169">
        <v>1</v>
      </c>
      <c r="I259" s="169">
        <v>1.4929442983762913E-2</v>
      </c>
      <c r="J259" s="170">
        <v>0.74255076189362412</v>
      </c>
      <c r="K259" s="170">
        <v>0</v>
      </c>
      <c r="L259" s="169">
        <v>0.72457334336582635</v>
      </c>
      <c r="M259" s="169">
        <v>0.7473545173882441</v>
      </c>
      <c r="N259" s="169">
        <v>0.70691158835713508</v>
      </c>
      <c r="O259" s="170">
        <v>0.72887724864035697</v>
      </c>
      <c r="P259" s="170">
        <v>0</v>
      </c>
      <c r="Q259" s="169">
        <v>0</v>
      </c>
      <c r="R259" s="170">
        <v>0</v>
      </c>
      <c r="S259" s="170">
        <v>0</v>
      </c>
      <c r="T259" s="170">
        <v>0</v>
      </c>
      <c r="U259" s="170">
        <v>0.736099124752015</v>
      </c>
      <c r="V259" s="380"/>
    </row>
    <row r="260" spans="1:22" s="173" customFormat="1">
      <c r="A260" s="166"/>
      <c r="B260" s="199" t="s">
        <v>236</v>
      </c>
      <c r="C260" s="200">
        <v>-0.24082504664800775</v>
      </c>
      <c r="D260" s="201">
        <v>-0.40866833578206974</v>
      </c>
      <c r="E260" s="201">
        <v>-0.68292434363174115</v>
      </c>
      <c r="F260" s="201">
        <v>-0.73273873210822904</v>
      </c>
      <c r="G260" s="201">
        <v>-1.9076788067003303</v>
      </c>
      <c r="H260" s="201">
        <v>0</v>
      </c>
      <c r="I260" s="201">
        <v>-0.11683309809698249</v>
      </c>
      <c r="J260" s="202">
        <v>-1.5559131068767607</v>
      </c>
      <c r="K260" s="202">
        <v>0</v>
      </c>
      <c r="L260" s="201">
        <v>-2.3393137014649512</v>
      </c>
      <c r="M260" s="201">
        <v>-1.9211815873638183</v>
      </c>
      <c r="N260" s="201">
        <v>-1.9469834238474926</v>
      </c>
      <c r="O260" s="202">
        <v>-2.2618095420300688</v>
      </c>
      <c r="P260" s="202">
        <v>0</v>
      </c>
      <c r="Q260" s="201">
        <v>0</v>
      </c>
      <c r="R260" s="202">
        <v>0</v>
      </c>
      <c r="S260" s="202">
        <v>0</v>
      </c>
      <c r="T260" s="202">
        <v>0</v>
      </c>
      <c r="U260" s="202">
        <v>-1.8898103992047721</v>
      </c>
      <c r="V260" s="380"/>
    </row>
    <row r="261" spans="1:22">
      <c r="A261" s="166"/>
      <c r="B261" s="246" t="s">
        <v>61</v>
      </c>
      <c r="C261" s="297">
        <v>2.6872154881213511E-2</v>
      </c>
      <c r="D261" s="298">
        <v>1.9226032568975891E-2</v>
      </c>
      <c r="E261" s="298">
        <v>2.1164200013896635E-2</v>
      </c>
      <c r="F261" s="298">
        <v>1.4064789968390041E-2</v>
      </c>
      <c r="G261" s="298">
        <v>2.1593881320424935E-2</v>
      </c>
      <c r="H261" s="298">
        <v>0</v>
      </c>
      <c r="I261" s="298">
        <v>9.5751689059795017E-3</v>
      </c>
      <c r="J261" s="307">
        <v>1.8483455742010352E-2</v>
      </c>
      <c r="K261" s="307">
        <v>0</v>
      </c>
      <c r="L261" s="298">
        <v>9.1748757486306079E-2</v>
      </c>
      <c r="M261" s="298">
        <v>5.4260043655597792E-2</v>
      </c>
      <c r="N261" s="298">
        <v>7.7478931167840326E-2</v>
      </c>
      <c r="O261" s="307">
        <v>8.2278370022185451E-2</v>
      </c>
      <c r="P261" s="165">
        <v>0</v>
      </c>
      <c r="Q261" s="298">
        <v>0</v>
      </c>
      <c r="R261" s="307">
        <v>0</v>
      </c>
      <c r="S261" s="307">
        <v>0</v>
      </c>
      <c r="T261" s="307">
        <v>0</v>
      </c>
      <c r="U261" s="307">
        <v>4.850396809156883E-2</v>
      </c>
      <c r="V261" s="380"/>
    </row>
    <row r="262" spans="1:22">
      <c r="A262" s="166"/>
      <c r="B262" s="167" t="s">
        <v>62</v>
      </c>
      <c r="C262" s="168">
        <v>2.5368092532578951E-2</v>
      </c>
      <c r="D262" s="169">
        <v>1.6000209548141672E-2</v>
      </c>
      <c r="E262" s="169">
        <v>2.1949624543451524E-2</v>
      </c>
      <c r="F262" s="169">
        <v>1.5258360374810438E-2</v>
      </c>
      <c r="G262" s="169">
        <v>2.2740799180611497E-2</v>
      </c>
      <c r="H262" s="169">
        <v>0</v>
      </c>
      <c r="I262" s="169">
        <v>9.1996801020328162E-3</v>
      </c>
      <c r="J262" s="170">
        <v>1.7846061562854804E-2</v>
      </c>
      <c r="K262" s="170">
        <v>0</v>
      </c>
      <c r="L262" s="169">
        <v>0.12543009386574994</v>
      </c>
      <c r="M262" s="169">
        <v>5.4047159937409175E-2</v>
      </c>
      <c r="N262" s="169">
        <v>8.3932919074094267E-2</v>
      </c>
      <c r="O262" s="170">
        <v>0.10822793194812438</v>
      </c>
      <c r="P262" s="170">
        <v>0</v>
      </c>
      <c r="Q262" s="169">
        <v>0</v>
      </c>
      <c r="R262" s="170">
        <v>0</v>
      </c>
      <c r="S262" s="170">
        <v>0</v>
      </c>
      <c r="T262" s="170">
        <v>0</v>
      </c>
      <c r="U262" s="170">
        <v>6.0491358430240186E-2</v>
      </c>
      <c r="V262" s="380"/>
    </row>
    <row r="263" spans="1:22" s="173" customFormat="1">
      <c r="A263" s="166"/>
      <c r="B263" s="199" t="s">
        <v>63</v>
      </c>
      <c r="C263" s="200">
        <v>-0.15040623486345592</v>
      </c>
      <c r="D263" s="201">
        <v>-0.32258230208342187</v>
      </c>
      <c r="E263" s="201">
        <v>7.8542452955488937E-2</v>
      </c>
      <c r="F263" s="201">
        <v>0.1193570406420397</v>
      </c>
      <c r="G263" s="201">
        <v>0.11469178601865616</v>
      </c>
      <c r="H263" s="201">
        <v>0</v>
      </c>
      <c r="I263" s="201">
        <v>-3.7548880394668548E-2</v>
      </c>
      <c r="J263" s="202">
        <v>-6.373941791555475E-2</v>
      </c>
      <c r="K263" s="202">
        <v>0</v>
      </c>
      <c r="L263" s="201">
        <v>3.3681336379443856</v>
      </c>
      <c r="M263" s="201">
        <v>-2.1288371818861673E-2</v>
      </c>
      <c r="N263" s="201">
        <v>0.64539879062539418</v>
      </c>
      <c r="O263" s="202">
        <v>2.5949561925938931</v>
      </c>
      <c r="P263" s="202">
        <v>0</v>
      </c>
      <c r="Q263" s="201">
        <v>0</v>
      </c>
      <c r="R263" s="202">
        <v>0</v>
      </c>
      <c r="S263" s="202">
        <v>0</v>
      </c>
      <c r="T263" s="202">
        <v>0</v>
      </c>
      <c r="U263" s="202">
        <v>1.1987390338671355</v>
      </c>
      <c r="V263" s="380"/>
    </row>
    <row r="264" spans="1:22">
      <c r="A264" s="166"/>
      <c r="B264" s="246" t="s">
        <v>64</v>
      </c>
      <c r="C264" s="297">
        <v>2.1579058400709644E-2</v>
      </c>
      <c r="D264" s="298">
        <v>7.4655070076193472E-2</v>
      </c>
      <c r="E264" s="298">
        <v>7.5180797103490501E-2</v>
      </c>
      <c r="F264" s="298">
        <v>0.11774635022879162</v>
      </c>
      <c r="G264" s="298">
        <v>0.13754633015581808</v>
      </c>
      <c r="H264" s="298">
        <v>0</v>
      </c>
      <c r="I264" s="298">
        <v>0.9743270571292878</v>
      </c>
      <c r="J264" s="307">
        <v>0.22037410992859069</v>
      </c>
      <c r="K264" s="307">
        <v>0</v>
      </c>
      <c r="L264" s="298">
        <v>0.1597554423784894</v>
      </c>
      <c r="M264" s="298">
        <v>0.17550848506622307</v>
      </c>
      <c r="N264" s="298">
        <v>0.18208206540326755</v>
      </c>
      <c r="O264" s="307">
        <v>0.16440141680561654</v>
      </c>
      <c r="P264" s="165">
        <v>0</v>
      </c>
      <c r="Q264" s="298">
        <v>0</v>
      </c>
      <c r="R264" s="307">
        <v>0</v>
      </c>
      <c r="S264" s="307">
        <v>0</v>
      </c>
      <c r="T264" s="307">
        <v>0</v>
      </c>
      <c r="U264" s="307">
        <v>0.19403456634433869</v>
      </c>
      <c r="V264" s="380"/>
    </row>
    <row r="265" spans="1:22">
      <c r="A265" s="166"/>
      <c r="B265" s="167" t="s">
        <v>65</v>
      </c>
      <c r="C265" s="168">
        <v>2.5974560778475618E-2</v>
      </c>
      <c r="D265" s="169">
        <v>8.1967576454848423E-2</v>
      </c>
      <c r="E265" s="169">
        <v>8.2531702949033767E-2</v>
      </c>
      <c r="F265" s="169">
        <v>0.13198266775969084</v>
      </c>
      <c r="G265" s="169">
        <v>0.15547620036263476</v>
      </c>
      <c r="H265" s="169">
        <v>0</v>
      </c>
      <c r="I265" s="169">
        <v>0.97586913455054858</v>
      </c>
      <c r="J265" s="170">
        <v>0.23865046887139021</v>
      </c>
      <c r="K265" s="170">
        <v>0</v>
      </c>
      <c r="L265" s="169">
        <v>0.14962726566937681</v>
      </c>
      <c r="M265" s="169">
        <v>0.19403075495597041</v>
      </c>
      <c r="N265" s="169">
        <v>0.19413859515244014</v>
      </c>
      <c r="O265" s="170">
        <v>0.16104535629619299</v>
      </c>
      <c r="P265" s="170">
        <v>0</v>
      </c>
      <c r="Q265" s="169">
        <v>0</v>
      </c>
      <c r="R265" s="170">
        <v>0</v>
      </c>
      <c r="S265" s="170">
        <v>0</v>
      </c>
      <c r="T265" s="170">
        <v>0</v>
      </c>
      <c r="U265" s="170">
        <v>0.20203368886795794</v>
      </c>
      <c r="V265" s="380"/>
    </row>
    <row r="266" spans="1:22" s="173" customFormat="1">
      <c r="A266" s="166"/>
      <c r="B266" s="199" t="s">
        <v>66</v>
      </c>
      <c r="C266" s="200">
        <v>0.43955023777659741</v>
      </c>
      <c r="D266" s="201">
        <v>0.73125063786549505</v>
      </c>
      <c r="E266" s="201">
        <v>0.73509058455432652</v>
      </c>
      <c r="F266" s="201">
        <v>1.4236317530899212</v>
      </c>
      <c r="G266" s="201">
        <v>1.7929870206816689</v>
      </c>
      <c r="H266" s="201">
        <v>0</v>
      </c>
      <c r="I266" s="201">
        <v>0.15420774212607791</v>
      </c>
      <c r="J266" s="202">
        <v>1.8276358942799527</v>
      </c>
      <c r="K266" s="202">
        <v>0</v>
      </c>
      <c r="L266" s="201">
        <v>-1.0128176709112591</v>
      </c>
      <c r="M266" s="201">
        <v>1.852226988974734</v>
      </c>
      <c r="N266" s="201">
        <v>1.2056529749172595</v>
      </c>
      <c r="O266" s="202">
        <v>-0.33560605094235529</v>
      </c>
      <c r="P266" s="202">
        <v>0</v>
      </c>
      <c r="Q266" s="201">
        <v>0</v>
      </c>
      <c r="R266" s="202">
        <v>0</v>
      </c>
      <c r="S266" s="202">
        <v>0</v>
      </c>
      <c r="T266" s="202">
        <v>0</v>
      </c>
      <c r="U266" s="202">
        <v>0.79991225236192565</v>
      </c>
      <c r="V266" s="380"/>
    </row>
    <row r="267" spans="1:22">
      <c r="A267" s="166"/>
      <c r="B267" s="246" t="s">
        <v>67</v>
      </c>
      <c r="C267" s="297">
        <v>1.4640209232990287E-3</v>
      </c>
      <c r="D267" s="298">
        <v>0</v>
      </c>
      <c r="E267" s="298">
        <v>1.6582066204321854E-3</v>
      </c>
      <c r="F267" s="298">
        <v>1.1190343291913044E-2</v>
      </c>
      <c r="G267" s="298">
        <v>0</v>
      </c>
      <c r="H267" s="298">
        <v>0</v>
      </c>
      <c r="I267" s="298">
        <v>0</v>
      </c>
      <c r="J267" s="307">
        <v>3.0325413670071713E-3</v>
      </c>
      <c r="K267" s="307">
        <v>0</v>
      </c>
      <c r="L267" s="298">
        <v>5.2931975472868893E-4</v>
      </c>
      <c r="M267" s="298">
        <v>3.6651380162968823E-3</v>
      </c>
      <c r="N267" s="298">
        <v>1.4057580833282178E-2</v>
      </c>
      <c r="O267" s="307">
        <v>1.8248691115403377E-3</v>
      </c>
      <c r="P267" s="165">
        <v>0</v>
      </c>
      <c r="Q267" s="298">
        <v>0</v>
      </c>
      <c r="R267" s="307">
        <v>0</v>
      </c>
      <c r="S267" s="307">
        <v>0</v>
      </c>
      <c r="T267" s="307">
        <v>0</v>
      </c>
      <c r="U267" s="307">
        <v>2.464236820029705E-3</v>
      </c>
      <c r="V267" s="380"/>
    </row>
    <row r="268" spans="1:22">
      <c r="A268" s="166"/>
      <c r="B268" s="167" t="s">
        <v>68</v>
      </c>
      <c r="C268" s="168">
        <v>9.8083136064769805E-4</v>
      </c>
      <c r="D268" s="169">
        <v>0</v>
      </c>
      <c r="E268" s="169">
        <v>3.5111968165148862E-4</v>
      </c>
      <c r="F268" s="169">
        <v>3.0878426756757158E-3</v>
      </c>
      <c r="G268" s="169">
        <v>0</v>
      </c>
      <c r="H268" s="169">
        <v>0</v>
      </c>
      <c r="I268" s="169">
        <v>0</v>
      </c>
      <c r="J268" s="170">
        <v>9.5239622797525325E-4</v>
      </c>
      <c r="K268" s="170">
        <v>0</v>
      </c>
      <c r="L268" s="169">
        <v>3.6929709904693665E-4</v>
      </c>
      <c r="M268" s="169">
        <v>4.4384322959720108E-3</v>
      </c>
      <c r="N268" s="169">
        <v>1.5016897416330536E-2</v>
      </c>
      <c r="O268" s="170">
        <v>1.8212243759587227E-3</v>
      </c>
      <c r="P268" s="170">
        <v>0</v>
      </c>
      <c r="Q268" s="169">
        <v>0</v>
      </c>
      <c r="R268" s="170">
        <v>0</v>
      </c>
      <c r="S268" s="170">
        <v>0</v>
      </c>
      <c r="T268" s="170">
        <v>0</v>
      </c>
      <c r="U268" s="170">
        <v>1.3623394404752495E-3</v>
      </c>
      <c r="V268" s="380"/>
    </row>
    <row r="269" spans="1:22" s="173" customFormat="1">
      <c r="A269" s="166"/>
      <c r="B269" s="199" t="s">
        <v>69</v>
      </c>
      <c r="C269" s="200">
        <v>-4.8318956265133065E-2</v>
      </c>
      <c r="D269" s="201">
        <v>0</v>
      </c>
      <c r="E269" s="201">
        <v>-0.13070869387806966</v>
      </c>
      <c r="F269" s="201">
        <v>-0.81025006162373292</v>
      </c>
      <c r="G269" s="201">
        <v>0</v>
      </c>
      <c r="H269" s="201">
        <v>0</v>
      </c>
      <c r="I269" s="201">
        <v>0</v>
      </c>
      <c r="J269" s="202">
        <v>-0.20801451390319181</v>
      </c>
      <c r="K269" s="202">
        <v>0</v>
      </c>
      <c r="L269" s="201">
        <v>-1.6002265568175227E-2</v>
      </c>
      <c r="M269" s="201">
        <v>7.732942796751284E-2</v>
      </c>
      <c r="N269" s="201">
        <v>9.5931658304835785E-2</v>
      </c>
      <c r="O269" s="202">
        <v>-3.644735581615063E-4</v>
      </c>
      <c r="P269" s="202">
        <v>0</v>
      </c>
      <c r="Q269" s="201">
        <v>0</v>
      </c>
      <c r="R269" s="202">
        <v>0</v>
      </c>
      <c r="S269" s="202">
        <v>0</v>
      </c>
      <c r="T269" s="202">
        <v>0</v>
      </c>
      <c r="U269" s="202">
        <v>-0.11018973795544555</v>
      </c>
      <c r="V269" s="380"/>
    </row>
    <row r="270" spans="1:22">
      <c r="A270" s="166"/>
      <c r="B270" s="246" t="s">
        <v>70</v>
      </c>
      <c r="C270" s="297">
        <v>0</v>
      </c>
      <c r="D270" s="298">
        <v>0</v>
      </c>
      <c r="E270" s="298">
        <v>0</v>
      </c>
      <c r="F270" s="298">
        <v>0</v>
      </c>
      <c r="G270" s="298">
        <v>0</v>
      </c>
      <c r="H270" s="298">
        <v>0</v>
      </c>
      <c r="I270" s="298">
        <v>0</v>
      </c>
      <c r="J270" s="307">
        <v>0</v>
      </c>
      <c r="K270" s="307">
        <v>0</v>
      </c>
      <c r="L270" s="298">
        <v>0</v>
      </c>
      <c r="M270" s="298">
        <v>0</v>
      </c>
      <c r="N270" s="298">
        <v>0</v>
      </c>
      <c r="O270" s="307">
        <v>0</v>
      </c>
      <c r="P270" s="165">
        <v>0</v>
      </c>
      <c r="Q270" s="298">
        <v>0</v>
      </c>
      <c r="R270" s="307">
        <v>0</v>
      </c>
      <c r="S270" s="307">
        <v>0</v>
      </c>
      <c r="T270" s="307">
        <v>0</v>
      </c>
      <c r="U270" s="307">
        <v>0</v>
      </c>
      <c r="V270" s="380"/>
    </row>
    <row r="271" spans="1:22">
      <c r="A271" s="166"/>
      <c r="B271" s="167" t="s">
        <v>71</v>
      </c>
      <c r="C271" s="168">
        <v>0</v>
      </c>
      <c r="D271" s="169">
        <v>0</v>
      </c>
      <c r="E271" s="169">
        <v>0</v>
      </c>
      <c r="F271" s="169">
        <v>0</v>
      </c>
      <c r="G271" s="169">
        <v>0</v>
      </c>
      <c r="H271" s="169">
        <v>0</v>
      </c>
      <c r="I271" s="169">
        <v>0</v>
      </c>
      <c r="J271" s="170">
        <v>0</v>
      </c>
      <c r="K271" s="170">
        <v>0</v>
      </c>
      <c r="L271" s="169">
        <v>0</v>
      </c>
      <c r="M271" s="169">
        <v>0</v>
      </c>
      <c r="N271" s="169">
        <v>0</v>
      </c>
      <c r="O271" s="170">
        <v>0</v>
      </c>
      <c r="P271" s="170">
        <v>0</v>
      </c>
      <c r="Q271" s="169">
        <v>0</v>
      </c>
      <c r="R271" s="170">
        <v>0</v>
      </c>
      <c r="S271" s="170">
        <v>0</v>
      </c>
      <c r="T271" s="170">
        <v>0</v>
      </c>
      <c r="U271" s="170">
        <v>0</v>
      </c>
      <c r="V271" s="380"/>
    </row>
    <row r="272" spans="1:22" s="173" customFormat="1">
      <c r="A272" s="166"/>
      <c r="B272" s="199" t="s">
        <v>72</v>
      </c>
      <c r="C272" s="200">
        <v>0</v>
      </c>
      <c r="D272" s="201">
        <v>0</v>
      </c>
      <c r="E272" s="201">
        <v>0</v>
      </c>
      <c r="F272" s="201">
        <v>0</v>
      </c>
      <c r="G272" s="201">
        <v>0</v>
      </c>
      <c r="H272" s="201">
        <v>0</v>
      </c>
      <c r="I272" s="201">
        <v>0</v>
      </c>
      <c r="J272" s="202">
        <v>0</v>
      </c>
      <c r="K272" s="202">
        <v>0</v>
      </c>
      <c r="L272" s="201">
        <v>0</v>
      </c>
      <c r="M272" s="201">
        <v>0</v>
      </c>
      <c r="N272" s="201">
        <v>0</v>
      </c>
      <c r="O272" s="202">
        <v>0</v>
      </c>
      <c r="P272" s="202">
        <v>0</v>
      </c>
      <c r="Q272" s="201">
        <v>0</v>
      </c>
      <c r="R272" s="202">
        <v>0</v>
      </c>
      <c r="S272" s="202">
        <v>0</v>
      </c>
      <c r="T272" s="202">
        <v>0</v>
      </c>
      <c r="U272" s="202">
        <v>0</v>
      </c>
      <c r="V272" s="380"/>
    </row>
    <row r="273" spans="1:22">
      <c r="A273" s="166"/>
      <c r="B273" s="246" t="s">
        <v>73</v>
      </c>
      <c r="C273" s="297">
        <v>0</v>
      </c>
      <c r="D273" s="298">
        <v>0</v>
      </c>
      <c r="E273" s="298">
        <v>0</v>
      </c>
      <c r="F273" s="298">
        <v>0</v>
      </c>
      <c r="G273" s="298">
        <v>0</v>
      </c>
      <c r="H273" s="298">
        <v>0</v>
      </c>
      <c r="I273" s="298">
        <v>0</v>
      </c>
      <c r="J273" s="307">
        <v>0</v>
      </c>
      <c r="K273" s="307">
        <v>0</v>
      </c>
      <c r="L273" s="298">
        <v>0</v>
      </c>
      <c r="M273" s="298">
        <v>0</v>
      </c>
      <c r="N273" s="298">
        <v>0</v>
      </c>
      <c r="O273" s="307">
        <v>0</v>
      </c>
      <c r="P273" s="165">
        <v>0</v>
      </c>
      <c r="Q273" s="298">
        <v>0</v>
      </c>
      <c r="R273" s="307">
        <v>0</v>
      </c>
      <c r="S273" s="307">
        <v>0</v>
      </c>
      <c r="T273" s="307">
        <v>0</v>
      </c>
      <c r="U273" s="307">
        <v>0</v>
      </c>
      <c r="V273" s="380"/>
    </row>
    <row r="274" spans="1:22">
      <c r="A274" s="166"/>
      <c r="B274" s="167" t="s">
        <v>74</v>
      </c>
      <c r="C274" s="168">
        <v>0</v>
      </c>
      <c r="D274" s="169">
        <v>0</v>
      </c>
      <c r="E274" s="169">
        <v>0</v>
      </c>
      <c r="F274" s="169">
        <v>0</v>
      </c>
      <c r="G274" s="169">
        <v>0</v>
      </c>
      <c r="H274" s="169">
        <v>0</v>
      </c>
      <c r="I274" s="169">
        <v>1.7423636556880332E-6</v>
      </c>
      <c r="J274" s="170">
        <v>3.114441556491999E-7</v>
      </c>
      <c r="K274" s="170">
        <v>0</v>
      </c>
      <c r="L274" s="169">
        <v>0</v>
      </c>
      <c r="M274" s="169">
        <v>1.2913542240435808E-4</v>
      </c>
      <c r="N274" s="169">
        <v>0</v>
      </c>
      <c r="O274" s="170">
        <v>2.8238739366894437E-5</v>
      </c>
      <c r="P274" s="170">
        <v>0</v>
      </c>
      <c r="Q274" s="169">
        <v>0</v>
      </c>
      <c r="R274" s="170">
        <v>0</v>
      </c>
      <c r="S274" s="170">
        <v>0</v>
      </c>
      <c r="T274" s="170">
        <v>0</v>
      </c>
      <c r="U274" s="170">
        <v>1.3488509311636135E-5</v>
      </c>
      <c r="V274" s="380"/>
    </row>
    <row r="275" spans="1:22" s="173" customFormat="1" ht="15.75" thickBot="1">
      <c r="A275" s="166"/>
      <c r="B275" s="303" t="s">
        <v>75</v>
      </c>
      <c r="C275" s="304">
        <v>0</v>
      </c>
      <c r="D275" s="305">
        <v>0</v>
      </c>
      <c r="E275" s="305">
        <v>0</v>
      </c>
      <c r="F275" s="305">
        <v>0</v>
      </c>
      <c r="G275" s="305">
        <v>0</v>
      </c>
      <c r="H275" s="305">
        <v>0</v>
      </c>
      <c r="I275" s="305">
        <v>0</v>
      </c>
      <c r="J275" s="308">
        <v>0</v>
      </c>
      <c r="K275" s="308">
        <v>0</v>
      </c>
      <c r="L275" s="305">
        <v>0</v>
      </c>
      <c r="M275" s="305">
        <v>0</v>
      </c>
      <c r="N275" s="305">
        <v>0</v>
      </c>
      <c r="O275" s="308">
        <v>0</v>
      </c>
      <c r="P275" s="308">
        <v>0</v>
      </c>
      <c r="Q275" s="305">
        <v>0</v>
      </c>
      <c r="R275" s="308">
        <v>0</v>
      </c>
      <c r="S275" s="308">
        <v>0</v>
      </c>
      <c r="T275" s="308">
        <v>0</v>
      </c>
      <c r="U275" s="308">
        <v>0</v>
      </c>
      <c r="V275" s="380"/>
    </row>
    <row r="276" spans="1:22" ht="15.75" thickTop="1">
      <c r="A276" s="166"/>
      <c r="B276" s="167" t="s">
        <v>76</v>
      </c>
      <c r="C276" s="168">
        <v>0.75788364953565146</v>
      </c>
      <c r="D276" s="169">
        <v>0.77848396710833423</v>
      </c>
      <c r="E276" s="169">
        <v>0.62860858257477248</v>
      </c>
      <c r="F276" s="169">
        <v>0.74607681559241878</v>
      </c>
      <c r="G276" s="169">
        <v>0.75239005736137665</v>
      </c>
      <c r="H276" s="169">
        <v>1</v>
      </c>
      <c r="I276" s="169">
        <v>0.11594687049013844</v>
      </c>
      <c r="J276" s="170">
        <v>0.51006040346691928</v>
      </c>
      <c r="K276" s="170">
        <v>0</v>
      </c>
      <c r="L276" s="169">
        <v>0</v>
      </c>
      <c r="M276" s="169">
        <v>0</v>
      </c>
      <c r="N276" s="169">
        <v>0</v>
      </c>
      <c r="O276" s="170">
        <v>0</v>
      </c>
      <c r="P276" s="170">
        <v>0</v>
      </c>
      <c r="Q276" s="169">
        <v>0</v>
      </c>
      <c r="R276" s="170">
        <v>0</v>
      </c>
      <c r="S276" s="170">
        <v>0</v>
      </c>
      <c r="T276" s="170">
        <v>0</v>
      </c>
      <c r="U276" s="170">
        <v>0.51006040346691928</v>
      </c>
      <c r="V276" s="380"/>
    </row>
    <row r="277" spans="1:22">
      <c r="A277" s="166"/>
      <c r="B277" s="167" t="s">
        <v>77</v>
      </c>
      <c r="C277" s="168">
        <v>0.75759194655063655</v>
      </c>
      <c r="D277" s="169">
        <v>0.79386298847318382</v>
      </c>
      <c r="E277" s="169">
        <v>0.59859942615377137</v>
      </c>
      <c r="F277" s="169">
        <v>0.73872911041218625</v>
      </c>
      <c r="G277" s="169">
        <v>0.83377825235807079</v>
      </c>
      <c r="H277" s="169">
        <v>1</v>
      </c>
      <c r="I277" s="169">
        <v>0.11763411164501944</v>
      </c>
      <c r="J277" s="170">
        <v>0.51514457853388762</v>
      </c>
      <c r="K277" s="170">
        <v>0</v>
      </c>
      <c r="L277" s="169">
        <v>0</v>
      </c>
      <c r="M277" s="169">
        <v>0</v>
      </c>
      <c r="N277" s="169">
        <v>0</v>
      </c>
      <c r="O277" s="170">
        <v>0</v>
      </c>
      <c r="P277" s="170">
        <v>0</v>
      </c>
      <c r="Q277" s="169">
        <v>0</v>
      </c>
      <c r="R277" s="170">
        <v>0</v>
      </c>
      <c r="S277" s="170">
        <v>0</v>
      </c>
      <c r="T277" s="170">
        <v>0</v>
      </c>
      <c r="U277" s="170">
        <v>0.51514457853388762</v>
      </c>
      <c r="V277" s="380"/>
    </row>
    <row r="278" spans="1:22" s="173" customFormat="1">
      <c r="A278" s="166"/>
      <c r="B278" s="199" t="s">
        <v>78</v>
      </c>
      <c r="C278" s="200">
        <v>-2.9170298501490777E-2</v>
      </c>
      <c r="D278" s="201">
        <v>1.5379021364849588</v>
      </c>
      <c r="E278" s="201">
        <v>-3.0009156421001104</v>
      </c>
      <c r="F278" s="201">
        <v>-0.73477051802325333</v>
      </c>
      <c r="G278" s="656">
        <v>8.1388194996694132</v>
      </c>
      <c r="H278" s="201">
        <v>0</v>
      </c>
      <c r="I278" s="201">
        <v>0.16872411548810029</v>
      </c>
      <c r="J278" s="202">
        <v>0.50841750669683439</v>
      </c>
      <c r="K278" s="202">
        <v>0</v>
      </c>
      <c r="L278" s="201">
        <v>0</v>
      </c>
      <c r="M278" s="201">
        <v>0</v>
      </c>
      <c r="N278" s="201">
        <v>0</v>
      </c>
      <c r="O278" s="202">
        <v>0</v>
      </c>
      <c r="P278" s="202">
        <v>0</v>
      </c>
      <c r="Q278" s="201">
        <v>0</v>
      </c>
      <c r="R278" s="202">
        <v>0</v>
      </c>
      <c r="S278" s="202">
        <v>0</v>
      </c>
      <c r="T278" s="202">
        <v>0</v>
      </c>
      <c r="U278" s="202">
        <v>0.50841750669683439</v>
      </c>
      <c r="V278" s="380"/>
    </row>
    <row r="279" spans="1:22">
      <c r="A279" s="166"/>
      <c r="B279" s="246" t="s">
        <v>79</v>
      </c>
      <c r="C279" s="297">
        <v>0.1937675816624064</v>
      </c>
      <c r="D279" s="298">
        <v>3.892419835541671E-2</v>
      </c>
      <c r="E279" s="298">
        <v>0.18694036782463311</v>
      </c>
      <c r="F279" s="298">
        <v>3.1591487227258068E-2</v>
      </c>
      <c r="G279" s="298">
        <v>0.16555130656469089</v>
      </c>
      <c r="H279" s="298">
        <v>0</v>
      </c>
      <c r="I279" s="298">
        <v>4.3089778537958555E-2</v>
      </c>
      <c r="J279" s="307">
        <v>9.2995726278217158E-2</v>
      </c>
      <c r="K279" s="307">
        <v>0</v>
      </c>
      <c r="L279" s="298">
        <v>0</v>
      </c>
      <c r="M279" s="298">
        <v>0</v>
      </c>
      <c r="N279" s="298">
        <v>0</v>
      </c>
      <c r="O279" s="307">
        <v>0</v>
      </c>
      <c r="P279" s="165">
        <v>0</v>
      </c>
      <c r="Q279" s="298">
        <v>0</v>
      </c>
      <c r="R279" s="307">
        <v>0</v>
      </c>
      <c r="S279" s="307">
        <v>0</v>
      </c>
      <c r="T279" s="307">
        <v>0</v>
      </c>
      <c r="U279" s="307">
        <v>9.2995726278217158E-2</v>
      </c>
      <c r="V279" s="380"/>
    </row>
    <row r="280" spans="1:22">
      <c r="A280" s="166"/>
      <c r="B280" s="167" t="s">
        <v>80</v>
      </c>
      <c r="C280" s="168">
        <v>0.1903039353252404</v>
      </c>
      <c r="D280" s="169">
        <v>4.7488358092674897E-2</v>
      </c>
      <c r="E280" s="169">
        <v>0.18801731264893254</v>
      </c>
      <c r="F280" s="169">
        <v>3.3227040538123635E-2</v>
      </c>
      <c r="G280" s="169">
        <v>7.7059975084534618E-2</v>
      </c>
      <c r="H280" s="169">
        <v>0</v>
      </c>
      <c r="I280" s="169">
        <v>3.9463136384488139E-2</v>
      </c>
      <c r="J280" s="170">
        <v>9.1016469749965453E-2</v>
      </c>
      <c r="K280" s="170">
        <v>0</v>
      </c>
      <c r="L280" s="169">
        <v>0</v>
      </c>
      <c r="M280" s="169">
        <v>0</v>
      </c>
      <c r="N280" s="169">
        <v>0</v>
      </c>
      <c r="O280" s="170">
        <v>0</v>
      </c>
      <c r="P280" s="170">
        <v>0</v>
      </c>
      <c r="Q280" s="169">
        <v>0</v>
      </c>
      <c r="R280" s="170">
        <v>0</v>
      </c>
      <c r="S280" s="170">
        <v>0</v>
      </c>
      <c r="T280" s="170">
        <v>0</v>
      </c>
      <c r="U280" s="170">
        <v>9.1016469749965453E-2</v>
      </c>
      <c r="V280" s="380"/>
    </row>
    <row r="281" spans="1:22" s="173" customFormat="1">
      <c r="A281" s="166"/>
      <c r="B281" s="199" t="s">
        <v>81</v>
      </c>
      <c r="C281" s="200">
        <v>-0.34636463371660042</v>
      </c>
      <c r="D281" s="201">
        <v>0.85641597372581868</v>
      </c>
      <c r="E281" s="201">
        <v>0.10769448242994306</v>
      </c>
      <c r="F281" s="201">
        <v>0.16355533108655673</v>
      </c>
      <c r="G281" s="656">
        <v>-8.8491331480156266</v>
      </c>
      <c r="H281" s="201">
        <v>0</v>
      </c>
      <c r="I281" s="201">
        <v>-0.36266421534704163</v>
      </c>
      <c r="J281" s="202">
        <v>-0.19792565282517049</v>
      </c>
      <c r="K281" s="202">
        <v>0</v>
      </c>
      <c r="L281" s="201">
        <v>0</v>
      </c>
      <c r="M281" s="201">
        <v>0</v>
      </c>
      <c r="N281" s="201">
        <v>0</v>
      </c>
      <c r="O281" s="202">
        <v>0</v>
      </c>
      <c r="P281" s="202">
        <v>0</v>
      </c>
      <c r="Q281" s="201">
        <v>0</v>
      </c>
      <c r="R281" s="202">
        <v>0</v>
      </c>
      <c r="S281" s="202">
        <v>0</v>
      </c>
      <c r="T281" s="202">
        <v>0</v>
      </c>
      <c r="U281" s="202">
        <v>-0.19792565282517049</v>
      </c>
      <c r="V281" s="380"/>
    </row>
    <row r="282" spans="1:22">
      <c r="A282" s="166"/>
      <c r="B282" s="246" t="s">
        <v>82</v>
      </c>
      <c r="C282" s="297">
        <v>4.2587763805217657E-2</v>
      </c>
      <c r="D282" s="298">
        <v>0.18259183453624905</v>
      </c>
      <c r="E282" s="298">
        <v>0.18311350548021549</v>
      </c>
      <c r="F282" s="298">
        <v>0.21302533051485079</v>
      </c>
      <c r="G282" s="298">
        <v>8.2058636073932448E-2</v>
      </c>
      <c r="H282" s="298">
        <v>0</v>
      </c>
      <c r="I282" s="298">
        <v>0.83922176492597145</v>
      </c>
      <c r="J282" s="307">
        <v>0.39300508479307011</v>
      </c>
      <c r="K282" s="307">
        <v>0</v>
      </c>
      <c r="L282" s="298">
        <v>0</v>
      </c>
      <c r="M282" s="298">
        <v>0</v>
      </c>
      <c r="N282" s="298">
        <v>0</v>
      </c>
      <c r="O282" s="307">
        <v>0</v>
      </c>
      <c r="P282" s="165">
        <v>0</v>
      </c>
      <c r="Q282" s="298">
        <v>0</v>
      </c>
      <c r="R282" s="307">
        <v>0</v>
      </c>
      <c r="S282" s="307">
        <v>0</v>
      </c>
      <c r="T282" s="307">
        <v>0</v>
      </c>
      <c r="U282" s="307">
        <v>0.39300508479307011</v>
      </c>
      <c r="V282" s="380"/>
    </row>
    <row r="283" spans="1:22">
      <c r="A283" s="166"/>
      <c r="B283" s="167" t="s">
        <v>83</v>
      </c>
      <c r="C283" s="168">
        <v>4.6497856618735602E-2</v>
      </c>
      <c r="D283" s="169">
        <v>0.15864865343414133</v>
      </c>
      <c r="E283" s="169">
        <v>0.20457131741477411</v>
      </c>
      <c r="F283" s="169">
        <v>0.21083924777853874</v>
      </c>
      <c r="G283" s="169">
        <v>8.9161772557394547E-2</v>
      </c>
      <c r="H283" s="169">
        <v>0</v>
      </c>
      <c r="I283" s="169">
        <v>0.84191576810976376</v>
      </c>
      <c r="J283" s="170">
        <v>0.38799720981492547</v>
      </c>
      <c r="K283" s="170">
        <v>0</v>
      </c>
      <c r="L283" s="169">
        <v>0</v>
      </c>
      <c r="M283" s="169">
        <v>0</v>
      </c>
      <c r="N283" s="169">
        <v>0</v>
      </c>
      <c r="O283" s="170">
        <v>0</v>
      </c>
      <c r="P283" s="170">
        <v>0</v>
      </c>
      <c r="Q283" s="169">
        <v>0</v>
      </c>
      <c r="R283" s="170">
        <v>0</v>
      </c>
      <c r="S283" s="170">
        <v>0</v>
      </c>
      <c r="T283" s="170">
        <v>0</v>
      </c>
      <c r="U283" s="170">
        <v>0.38799720981492547</v>
      </c>
      <c r="V283" s="380"/>
    </row>
    <row r="284" spans="1:22" s="173" customFormat="1">
      <c r="A284" s="166"/>
      <c r="B284" s="199" t="s">
        <v>84</v>
      </c>
      <c r="C284" s="200">
        <v>0.39100928135179447</v>
      </c>
      <c r="D284" s="201">
        <v>-2.3943181102107718</v>
      </c>
      <c r="E284" s="201">
        <v>2.1457811934558619</v>
      </c>
      <c r="F284" s="201">
        <v>-0.2186082736312045</v>
      </c>
      <c r="G284" s="201">
        <v>0.71031364834621002</v>
      </c>
      <c r="H284" s="201">
        <v>0</v>
      </c>
      <c r="I284" s="201">
        <v>0.26940031837923151</v>
      </c>
      <c r="J284" s="202">
        <v>-0.50078749781446441</v>
      </c>
      <c r="K284" s="202">
        <v>0</v>
      </c>
      <c r="L284" s="201">
        <v>0</v>
      </c>
      <c r="M284" s="201">
        <v>0</v>
      </c>
      <c r="N284" s="201">
        <v>0</v>
      </c>
      <c r="O284" s="202">
        <v>0</v>
      </c>
      <c r="P284" s="202">
        <v>0</v>
      </c>
      <c r="Q284" s="201">
        <v>0</v>
      </c>
      <c r="R284" s="202">
        <v>0</v>
      </c>
      <c r="S284" s="202">
        <v>0</v>
      </c>
      <c r="T284" s="202">
        <v>0</v>
      </c>
      <c r="U284" s="202">
        <v>-0.50078749781446441</v>
      </c>
      <c r="V284" s="380"/>
    </row>
    <row r="285" spans="1:22">
      <c r="A285" s="166"/>
      <c r="B285" s="246" t="s">
        <v>85</v>
      </c>
      <c r="C285" s="297">
        <v>5.7610049967245121E-3</v>
      </c>
      <c r="D285" s="298">
        <v>0</v>
      </c>
      <c r="E285" s="298">
        <v>1.3375441203789709E-3</v>
      </c>
      <c r="F285" s="298">
        <v>9.3063666654723941E-3</v>
      </c>
      <c r="G285" s="298">
        <v>0</v>
      </c>
      <c r="H285" s="298">
        <v>0</v>
      </c>
      <c r="I285" s="298">
        <v>1.7415860459315481E-3</v>
      </c>
      <c r="J285" s="307">
        <v>3.9387854617934526E-3</v>
      </c>
      <c r="K285" s="307">
        <v>0</v>
      </c>
      <c r="L285" s="298">
        <v>0</v>
      </c>
      <c r="M285" s="298">
        <v>0</v>
      </c>
      <c r="N285" s="298">
        <v>0</v>
      </c>
      <c r="O285" s="307">
        <v>0</v>
      </c>
      <c r="P285" s="165">
        <v>0</v>
      </c>
      <c r="Q285" s="298">
        <v>0</v>
      </c>
      <c r="R285" s="307">
        <v>0</v>
      </c>
      <c r="S285" s="307">
        <v>0</v>
      </c>
      <c r="T285" s="307">
        <v>0</v>
      </c>
      <c r="U285" s="307">
        <v>3.9387854617934526E-3</v>
      </c>
      <c r="V285" s="380"/>
    </row>
    <row r="286" spans="1:22">
      <c r="A286" s="166"/>
      <c r="B286" s="167" t="s">
        <v>86</v>
      </c>
      <c r="C286" s="168">
        <v>5.6062615053874181E-3</v>
      </c>
      <c r="D286" s="169">
        <v>0</v>
      </c>
      <c r="E286" s="169">
        <v>8.8119437825220047E-3</v>
      </c>
      <c r="F286" s="169">
        <v>1.720460127115132E-2</v>
      </c>
      <c r="G286" s="169">
        <v>0</v>
      </c>
      <c r="H286" s="169">
        <v>0</v>
      </c>
      <c r="I286" s="169">
        <v>9.8698386072869999E-4</v>
      </c>
      <c r="J286" s="170">
        <v>5.8417419012214552E-3</v>
      </c>
      <c r="K286" s="170">
        <v>0</v>
      </c>
      <c r="L286" s="169">
        <v>0</v>
      </c>
      <c r="M286" s="169">
        <v>0</v>
      </c>
      <c r="N286" s="169">
        <v>0</v>
      </c>
      <c r="O286" s="170">
        <v>0</v>
      </c>
      <c r="P286" s="170">
        <v>0</v>
      </c>
      <c r="Q286" s="169">
        <v>0</v>
      </c>
      <c r="R286" s="170">
        <v>0</v>
      </c>
      <c r="S286" s="170">
        <v>0</v>
      </c>
      <c r="T286" s="170">
        <v>0</v>
      </c>
      <c r="U286" s="170">
        <v>5.8417419012214552E-3</v>
      </c>
      <c r="V286" s="380"/>
    </row>
    <row r="287" spans="1:22" s="173" customFormat="1">
      <c r="A287" s="166"/>
      <c r="B287" s="199" t="s">
        <v>87</v>
      </c>
      <c r="C287" s="200">
        <v>-1.54743491337094E-2</v>
      </c>
      <c r="D287" s="201">
        <v>0</v>
      </c>
      <c r="E287" s="201">
        <v>0.74743996621430331</v>
      </c>
      <c r="F287" s="201">
        <v>0.78982346056789254</v>
      </c>
      <c r="G287" s="201">
        <v>0</v>
      </c>
      <c r="H287" s="201">
        <v>0</v>
      </c>
      <c r="I287" s="201">
        <v>-7.5460218520284811E-2</v>
      </c>
      <c r="J287" s="202">
        <v>0.19029564394280027</v>
      </c>
      <c r="K287" s="202">
        <v>0</v>
      </c>
      <c r="L287" s="201">
        <v>0</v>
      </c>
      <c r="M287" s="201">
        <v>0</v>
      </c>
      <c r="N287" s="201">
        <v>0</v>
      </c>
      <c r="O287" s="202">
        <v>0</v>
      </c>
      <c r="P287" s="202">
        <v>0</v>
      </c>
      <c r="Q287" s="201">
        <v>0</v>
      </c>
      <c r="R287" s="202">
        <v>0</v>
      </c>
      <c r="S287" s="202">
        <v>0</v>
      </c>
      <c r="T287" s="202">
        <v>0</v>
      </c>
      <c r="U287" s="202">
        <v>0.19029564394280027</v>
      </c>
      <c r="V287" s="380"/>
    </row>
    <row r="288" spans="1:22">
      <c r="A288" s="166"/>
      <c r="B288" s="246" t="s">
        <v>88</v>
      </c>
      <c r="C288" s="297">
        <v>0</v>
      </c>
      <c r="D288" s="298">
        <v>0</v>
      </c>
      <c r="E288" s="298">
        <v>0</v>
      </c>
      <c r="F288" s="298">
        <v>0</v>
      </c>
      <c r="G288" s="298">
        <v>0</v>
      </c>
      <c r="H288" s="298">
        <v>0</v>
      </c>
      <c r="I288" s="298">
        <v>0</v>
      </c>
      <c r="J288" s="307">
        <v>0</v>
      </c>
      <c r="K288" s="307">
        <v>0</v>
      </c>
      <c r="L288" s="298">
        <v>0</v>
      </c>
      <c r="M288" s="298">
        <v>0</v>
      </c>
      <c r="N288" s="298">
        <v>0</v>
      </c>
      <c r="O288" s="307">
        <v>0</v>
      </c>
      <c r="P288" s="165">
        <v>0</v>
      </c>
      <c r="Q288" s="298">
        <v>0</v>
      </c>
      <c r="R288" s="307">
        <v>0</v>
      </c>
      <c r="S288" s="307">
        <v>0</v>
      </c>
      <c r="T288" s="307">
        <v>0</v>
      </c>
      <c r="U288" s="307">
        <v>0</v>
      </c>
      <c r="V288" s="380"/>
    </row>
    <row r="289" spans="1:22">
      <c r="A289" s="166"/>
      <c r="B289" s="167" t="s">
        <v>89</v>
      </c>
      <c r="C289" s="168">
        <v>0</v>
      </c>
      <c r="D289" s="169">
        <v>0</v>
      </c>
      <c r="E289" s="169">
        <v>0</v>
      </c>
      <c r="F289" s="169">
        <v>0</v>
      </c>
      <c r="G289" s="169">
        <v>0</v>
      </c>
      <c r="H289" s="169">
        <v>0</v>
      </c>
      <c r="I289" s="169">
        <v>0</v>
      </c>
      <c r="J289" s="170">
        <v>0</v>
      </c>
      <c r="K289" s="170">
        <v>0</v>
      </c>
      <c r="L289" s="169">
        <v>0</v>
      </c>
      <c r="M289" s="169">
        <v>0</v>
      </c>
      <c r="N289" s="169">
        <v>0</v>
      </c>
      <c r="O289" s="170">
        <v>0</v>
      </c>
      <c r="P289" s="170">
        <v>0</v>
      </c>
      <c r="Q289" s="169">
        <v>0</v>
      </c>
      <c r="R289" s="170">
        <v>0</v>
      </c>
      <c r="S289" s="170">
        <v>0</v>
      </c>
      <c r="T289" s="170">
        <v>0</v>
      </c>
      <c r="U289" s="170">
        <v>0</v>
      </c>
      <c r="V289" s="380"/>
    </row>
    <row r="290" spans="1:22" s="173" customFormat="1">
      <c r="A290" s="166"/>
      <c r="B290" s="199" t="s">
        <v>90</v>
      </c>
      <c r="C290" s="200">
        <v>0</v>
      </c>
      <c r="D290" s="201">
        <v>0</v>
      </c>
      <c r="E290" s="201">
        <v>0</v>
      </c>
      <c r="F290" s="201">
        <v>0</v>
      </c>
      <c r="G290" s="201">
        <v>0</v>
      </c>
      <c r="H290" s="201">
        <v>0</v>
      </c>
      <c r="I290" s="201">
        <v>0</v>
      </c>
      <c r="J290" s="202">
        <v>0</v>
      </c>
      <c r="K290" s="202">
        <v>0</v>
      </c>
      <c r="L290" s="201">
        <v>0</v>
      </c>
      <c r="M290" s="201">
        <v>0</v>
      </c>
      <c r="N290" s="201">
        <v>0</v>
      </c>
      <c r="O290" s="202">
        <v>0</v>
      </c>
      <c r="P290" s="202">
        <v>0</v>
      </c>
      <c r="Q290" s="201">
        <v>0</v>
      </c>
      <c r="R290" s="202">
        <v>0</v>
      </c>
      <c r="S290" s="202">
        <v>0</v>
      </c>
      <c r="T290" s="202">
        <v>0</v>
      </c>
      <c r="U290" s="202">
        <v>0</v>
      </c>
      <c r="V290" s="380"/>
    </row>
    <row r="291" spans="1:22">
      <c r="A291" s="166"/>
      <c r="B291" s="246" t="s">
        <v>91</v>
      </c>
      <c r="C291" s="297">
        <v>0</v>
      </c>
      <c r="D291" s="298">
        <v>0</v>
      </c>
      <c r="E291" s="298">
        <v>0</v>
      </c>
      <c r="F291" s="298">
        <v>0</v>
      </c>
      <c r="G291" s="298">
        <v>0</v>
      </c>
      <c r="H291" s="298">
        <v>0</v>
      </c>
      <c r="I291" s="298">
        <v>0</v>
      </c>
      <c r="J291" s="307">
        <v>0</v>
      </c>
      <c r="K291" s="307">
        <v>0</v>
      </c>
      <c r="L291" s="298">
        <v>0</v>
      </c>
      <c r="M291" s="298">
        <v>0</v>
      </c>
      <c r="N291" s="298">
        <v>0</v>
      </c>
      <c r="O291" s="307">
        <v>0</v>
      </c>
      <c r="P291" s="165">
        <v>0</v>
      </c>
      <c r="Q291" s="298">
        <v>0</v>
      </c>
      <c r="R291" s="307">
        <v>0</v>
      </c>
      <c r="S291" s="307">
        <v>0</v>
      </c>
      <c r="T291" s="307">
        <v>0</v>
      </c>
      <c r="U291" s="307">
        <v>0</v>
      </c>
      <c r="V291" s="380"/>
    </row>
    <row r="292" spans="1:22">
      <c r="A292" s="166"/>
      <c r="B292" s="167" t="s">
        <v>92</v>
      </c>
      <c r="C292" s="168">
        <v>0</v>
      </c>
      <c r="D292" s="169">
        <v>0</v>
      </c>
      <c r="E292" s="169">
        <v>0</v>
      </c>
      <c r="F292" s="169">
        <v>0</v>
      </c>
      <c r="G292" s="169">
        <v>0</v>
      </c>
      <c r="H292" s="169">
        <v>0</v>
      </c>
      <c r="I292" s="169">
        <v>0</v>
      </c>
      <c r="J292" s="170">
        <v>0</v>
      </c>
      <c r="K292" s="170">
        <v>0</v>
      </c>
      <c r="L292" s="169">
        <v>0</v>
      </c>
      <c r="M292" s="169">
        <v>0</v>
      </c>
      <c r="N292" s="169">
        <v>0</v>
      </c>
      <c r="O292" s="170">
        <v>0</v>
      </c>
      <c r="P292" s="170">
        <v>0</v>
      </c>
      <c r="Q292" s="169">
        <v>0</v>
      </c>
      <c r="R292" s="170">
        <v>0</v>
      </c>
      <c r="S292" s="170">
        <v>0</v>
      </c>
      <c r="T292" s="170">
        <v>0</v>
      </c>
      <c r="U292" s="170">
        <v>0</v>
      </c>
      <c r="V292" s="380"/>
    </row>
    <row r="293" spans="1:22" s="173" customFormat="1" ht="15.75" thickBot="1">
      <c r="A293" s="310"/>
      <c r="B293" s="311" t="s">
        <v>93</v>
      </c>
      <c r="C293" s="312">
        <v>0</v>
      </c>
      <c r="D293" s="313">
        <v>0</v>
      </c>
      <c r="E293" s="313">
        <v>0</v>
      </c>
      <c r="F293" s="313">
        <v>0</v>
      </c>
      <c r="G293" s="313">
        <v>0</v>
      </c>
      <c r="H293" s="313">
        <v>0</v>
      </c>
      <c r="I293" s="313">
        <v>0</v>
      </c>
      <c r="J293" s="314">
        <v>0</v>
      </c>
      <c r="K293" s="314">
        <v>0</v>
      </c>
      <c r="L293" s="313">
        <v>0</v>
      </c>
      <c r="M293" s="313">
        <v>0</v>
      </c>
      <c r="N293" s="313">
        <v>0</v>
      </c>
      <c r="O293" s="314">
        <v>0</v>
      </c>
      <c r="P293" s="314">
        <v>0</v>
      </c>
      <c r="Q293" s="313">
        <v>0</v>
      </c>
      <c r="R293" s="314">
        <v>0</v>
      </c>
      <c r="S293" s="314">
        <v>0</v>
      </c>
      <c r="T293" s="314">
        <v>0</v>
      </c>
      <c r="U293" s="314">
        <v>0</v>
      </c>
      <c r="V293" s="380"/>
    </row>
    <row r="294" spans="1:22">
      <c r="A294" s="296" t="s">
        <v>47</v>
      </c>
      <c r="B294" s="246" t="s">
        <v>59</v>
      </c>
      <c r="C294" s="297">
        <v>0.84629761590677655</v>
      </c>
      <c r="D294" s="298">
        <v>0.87156407263151781</v>
      </c>
      <c r="E294" s="298">
        <v>0</v>
      </c>
      <c r="F294" s="298">
        <v>0.78237276791050125</v>
      </c>
      <c r="G294" s="298">
        <v>0.51556280203880789</v>
      </c>
      <c r="H294" s="298">
        <v>0</v>
      </c>
      <c r="I294" s="298">
        <v>0</v>
      </c>
      <c r="J294" s="307">
        <v>0.8348151107086268</v>
      </c>
      <c r="K294" s="307">
        <v>0</v>
      </c>
      <c r="L294" s="298">
        <v>0.79273639301157695</v>
      </c>
      <c r="M294" s="298">
        <v>0.79809817746680112</v>
      </c>
      <c r="N294" s="298">
        <v>0.86340941512125535</v>
      </c>
      <c r="O294" s="307">
        <v>0.79924525341452168</v>
      </c>
      <c r="P294" s="165">
        <v>0</v>
      </c>
      <c r="Q294" s="298">
        <v>0</v>
      </c>
      <c r="R294" s="307">
        <v>0</v>
      </c>
      <c r="S294" s="307">
        <v>0</v>
      </c>
      <c r="T294" s="307">
        <v>0</v>
      </c>
      <c r="U294" s="307">
        <v>0.81635477074569174</v>
      </c>
      <c r="V294" s="380"/>
    </row>
    <row r="295" spans="1:22">
      <c r="A295" s="166"/>
      <c r="B295" s="167" t="s">
        <v>60</v>
      </c>
      <c r="C295" s="168">
        <v>0.83728080079205758</v>
      </c>
      <c r="D295" s="169">
        <v>0.8384471769400702</v>
      </c>
      <c r="E295" s="169">
        <v>0</v>
      </c>
      <c r="F295" s="169">
        <v>0.79146258851509077</v>
      </c>
      <c r="G295" s="169">
        <v>0.49803672479501099</v>
      </c>
      <c r="H295" s="169">
        <v>0</v>
      </c>
      <c r="I295" s="169">
        <v>0</v>
      </c>
      <c r="J295" s="170">
        <v>0.81902114174161911</v>
      </c>
      <c r="K295" s="170">
        <v>0</v>
      </c>
      <c r="L295" s="169">
        <v>0.77212659518518478</v>
      </c>
      <c r="M295" s="169">
        <v>0.78337833546896429</v>
      </c>
      <c r="N295" s="169">
        <v>0.83816835120746858</v>
      </c>
      <c r="O295" s="170">
        <v>0.78117702824203528</v>
      </c>
      <c r="P295" s="170">
        <v>0</v>
      </c>
      <c r="Q295" s="169">
        <v>0</v>
      </c>
      <c r="R295" s="170">
        <v>0</v>
      </c>
      <c r="S295" s="170">
        <v>0</v>
      </c>
      <c r="T295" s="170">
        <v>0</v>
      </c>
      <c r="U295" s="170">
        <v>0.79956488775717705</v>
      </c>
      <c r="V295" s="380"/>
    </row>
    <row r="296" spans="1:22" s="173" customFormat="1">
      <c r="A296" s="166"/>
      <c r="B296" s="199" t="s">
        <v>236</v>
      </c>
      <c r="C296" s="200">
        <v>-0.90168151147189679</v>
      </c>
      <c r="D296" s="201">
        <v>-3.3116895691447601</v>
      </c>
      <c r="E296" s="201">
        <v>0</v>
      </c>
      <c r="F296" s="201">
        <v>0.90898206045895158</v>
      </c>
      <c r="G296" s="201">
        <v>-1.75260772437969</v>
      </c>
      <c r="H296" s="201">
        <v>0</v>
      </c>
      <c r="I296" s="201">
        <v>0</v>
      </c>
      <c r="J296" s="202">
        <v>-1.5793968967007688</v>
      </c>
      <c r="K296" s="202">
        <v>0</v>
      </c>
      <c r="L296" s="201">
        <v>-2.0609797826392162</v>
      </c>
      <c r="M296" s="201">
        <v>-1.4719841997836824</v>
      </c>
      <c r="N296" s="201">
        <v>-2.5241063913786776</v>
      </c>
      <c r="O296" s="202">
        <v>-1.8068225172486407</v>
      </c>
      <c r="P296" s="202">
        <v>0</v>
      </c>
      <c r="Q296" s="201">
        <v>0</v>
      </c>
      <c r="R296" s="202">
        <v>0</v>
      </c>
      <c r="S296" s="202">
        <v>0</v>
      </c>
      <c r="T296" s="202">
        <v>0</v>
      </c>
      <c r="U296" s="202">
        <v>-1.6789882988514693</v>
      </c>
      <c r="V296" s="380"/>
    </row>
    <row r="297" spans="1:22">
      <c r="A297" s="166"/>
      <c r="B297" s="246" t="s">
        <v>61</v>
      </c>
      <c r="C297" s="297">
        <v>6.5034285672016426E-2</v>
      </c>
      <c r="D297" s="298">
        <v>4.7651667863365769E-2</v>
      </c>
      <c r="E297" s="298">
        <v>0</v>
      </c>
      <c r="F297" s="298">
        <v>3.5483948079267566E-2</v>
      </c>
      <c r="G297" s="298">
        <v>0</v>
      </c>
      <c r="H297" s="298">
        <v>0</v>
      </c>
      <c r="I297" s="298">
        <v>0</v>
      </c>
      <c r="J297" s="307">
        <v>5.2469703039638972E-2</v>
      </c>
      <c r="K297" s="307">
        <v>0</v>
      </c>
      <c r="L297" s="298">
        <v>0</v>
      </c>
      <c r="M297" s="298">
        <v>0</v>
      </c>
      <c r="N297" s="298">
        <v>0</v>
      </c>
      <c r="O297" s="307">
        <v>0</v>
      </c>
      <c r="P297" s="165">
        <v>0</v>
      </c>
      <c r="Q297" s="298">
        <v>0</v>
      </c>
      <c r="R297" s="307">
        <v>0</v>
      </c>
      <c r="S297" s="307">
        <v>0</v>
      </c>
      <c r="T297" s="307">
        <v>0</v>
      </c>
      <c r="U297" s="307">
        <v>2.5238540770497496E-2</v>
      </c>
      <c r="V297" s="380"/>
    </row>
    <row r="298" spans="1:22">
      <c r="A298" s="166"/>
      <c r="B298" s="167" t="s">
        <v>62</v>
      </c>
      <c r="C298" s="168">
        <v>6.4264108525785291E-2</v>
      </c>
      <c r="D298" s="169">
        <v>7.597176792598076E-2</v>
      </c>
      <c r="E298" s="169">
        <v>0</v>
      </c>
      <c r="F298" s="169">
        <v>3.4548298901998627E-2</v>
      </c>
      <c r="G298" s="659">
        <v>6.9292066058436312E-4</v>
      </c>
      <c r="H298" s="169">
        <v>0</v>
      </c>
      <c r="I298" s="169">
        <v>0</v>
      </c>
      <c r="J298" s="170">
        <v>6.2807105135511521E-2</v>
      </c>
      <c r="K298" s="170">
        <v>0</v>
      </c>
      <c r="L298" s="169">
        <v>0</v>
      </c>
      <c r="M298" s="169">
        <v>0</v>
      </c>
      <c r="N298" s="169">
        <v>0</v>
      </c>
      <c r="O298" s="170">
        <v>0</v>
      </c>
      <c r="P298" s="170">
        <v>0</v>
      </c>
      <c r="Q298" s="169">
        <v>0</v>
      </c>
      <c r="R298" s="170">
        <v>0</v>
      </c>
      <c r="S298" s="170">
        <v>0</v>
      </c>
      <c r="T298" s="170">
        <v>0</v>
      </c>
      <c r="U298" s="170">
        <v>3.0516984518536201E-2</v>
      </c>
      <c r="V298" s="380"/>
    </row>
    <row r="299" spans="1:22" s="173" customFormat="1">
      <c r="A299" s="166"/>
      <c r="B299" s="199" t="s">
        <v>63</v>
      </c>
      <c r="C299" s="200">
        <v>-7.701771462311352E-2</v>
      </c>
      <c r="D299" s="201">
        <v>2.8320100062614992</v>
      </c>
      <c r="E299" s="201">
        <v>0</v>
      </c>
      <c r="F299" s="201">
        <v>-9.3564917726893931E-2</v>
      </c>
      <c r="G299" s="201">
        <v>0</v>
      </c>
      <c r="H299" s="201">
        <v>0</v>
      </c>
      <c r="I299" s="201">
        <v>0</v>
      </c>
      <c r="J299" s="202">
        <v>1.0337402095872548</v>
      </c>
      <c r="K299" s="202">
        <v>0</v>
      </c>
      <c r="L299" s="201">
        <v>0</v>
      </c>
      <c r="M299" s="201">
        <v>0</v>
      </c>
      <c r="N299" s="201">
        <v>0</v>
      </c>
      <c r="O299" s="202">
        <v>0</v>
      </c>
      <c r="P299" s="202">
        <v>0</v>
      </c>
      <c r="Q299" s="201">
        <v>0</v>
      </c>
      <c r="R299" s="202">
        <v>0</v>
      </c>
      <c r="S299" s="202">
        <v>0</v>
      </c>
      <c r="T299" s="202">
        <v>0</v>
      </c>
      <c r="U299" s="202">
        <v>0.52784437480387048</v>
      </c>
      <c r="V299" s="380"/>
    </row>
    <row r="300" spans="1:22">
      <c r="A300" s="166"/>
      <c r="B300" s="246" t="s">
        <v>64</v>
      </c>
      <c r="C300" s="297">
        <v>8.0017161328819447E-2</v>
      </c>
      <c r="D300" s="298">
        <v>6.3495230748201417E-2</v>
      </c>
      <c r="E300" s="298">
        <v>0</v>
      </c>
      <c r="F300" s="298">
        <v>0.17831377142447349</v>
      </c>
      <c r="G300" s="298">
        <v>0.48443719796119217</v>
      </c>
      <c r="H300" s="298">
        <v>0</v>
      </c>
      <c r="I300" s="298">
        <v>0</v>
      </c>
      <c r="J300" s="307">
        <v>0.10180288872668411</v>
      </c>
      <c r="K300" s="307">
        <v>0</v>
      </c>
      <c r="L300" s="298">
        <v>0.20726360698842311</v>
      </c>
      <c r="M300" s="298">
        <v>0.20190182253319891</v>
      </c>
      <c r="N300" s="298">
        <v>0.13659058487874465</v>
      </c>
      <c r="O300" s="307">
        <v>0.20075474658547829</v>
      </c>
      <c r="P300" s="165">
        <v>0</v>
      </c>
      <c r="Q300" s="298">
        <v>0</v>
      </c>
      <c r="R300" s="307">
        <v>0</v>
      </c>
      <c r="S300" s="307">
        <v>0</v>
      </c>
      <c r="T300" s="307">
        <v>0</v>
      </c>
      <c r="U300" s="307">
        <v>0.15315774576008856</v>
      </c>
      <c r="V300" s="380"/>
    </row>
    <row r="301" spans="1:22">
      <c r="A301" s="166"/>
      <c r="B301" s="167" t="s">
        <v>65</v>
      </c>
      <c r="C301" s="168">
        <v>9.0309949603102721E-2</v>
      </c>
      <c r="D301" s="169">
        <v>6.995047884216643E-2</v>
      </c>
      <c r="E301" s="169">
        <v>0</v>
      </c>
      <c r="F301" s="169">
        <v>0.16869648278920615</v>
      </c>
      <c r="G301" s="169">
        <v>0.50127035454440472</v>
      </c>
      <c r="H301" s="169">
        <v>0</v>
      </c>
      <c r="I301" s="169">
        <v>0</v>
      </c>
      <c r="J301" s="170">
        <v>0.10779393810500529</v>
      </c>
      <c r="K301" s="170">
        <v>0</v>
      </c>
      <c r="L301" s="169">
        <v>0.22787340481481524</v>
      </c>
      <c r="M301" s="169">
        <v>0.21662166453103571</v>
      </c>
      <c r="N301" s="169">
        <v>0.16183164879253145</v>
      </c>
      <c r="O301" s="170">
        <v>0.21882297175796472</v>
      </c>
      <c r="P301" s="170">
        <v>0</v>
      </c>
      <c r="Q301" s="169">
        <v>0</v>
      </c>
      <c r="R301" s="170">
        <v>0</v>
      </c>
      <c r="S301" s="170">
        <v>0</v>
      </c>
      <c r="T301" s="170">
        <v>0</v>
      </c>
      <c r="U301" s="170">
        <v>0.16487571063543849</v>
      </c>
      <c r="V301" s="380"/>
    </row>
    <row r="302" spans="1:22" s="173" customFormat="1">
      <c r="A302" s="166"/>
      <c r="B302" s="199" t="s">
        <v>66</v>
      </c>
      <c r="C302" s="200">
        <v>1.0292788274283273</v>
      </c>
      <c r="D302" s="201">
        <v>0.64552480939650136</v>
      </c>
      <c r="E302" s="201">
        <v>0</v>
      </c>
      <c r="F302" s="201">
        <v>-0.96172886352673403</v>
      </c>
      <c r="G302" s="201">
        <v>1.683315658321255</v>
      </c>
      <c r="H302" s="201">
        <v>0</v>
      </c>
      <c r="I302" s="201">
        <v>0</v>
      </c>
      <c r="J302" s="202">
        <v>0.59910493783211782</v>
      </c>
      <c r="K302" s="202">
        <v>0</v>
      </c>
      <c r="L302" s="201">
        <v>2.0609797826392136</v>
      </c>
      <c r="M302" s="201">
        <v>1.4719841997836798</v>
      </c>
      <c r="N302" s="201">
        <v>2.5241063913786803</v>
      </c>
      <c r="O302" s="202">
        <v>1.8068225172486434</v>
      </c>
      <c r="P302" s="202">
        <v>0</v>
      </c>
      <c r="Q302" s="201">
        <v>0</v>
      </c>
      <c r="R302" s="202">
        <v>0</v>
      </c>
      <c r="S302" s="202">
        <v>0</v>
      </c>
      <c r="T302" s="202">
        <v>0</v>
      </c>
      <c r="U302" s="202">
        <v>1.1717964875349929</v>
      </c>
      <c r="V302" s="380"/>
    </row>
    <row r="303" spans="1:22">
      <c r="A303" s="166"/>
      <c r="B303" s="246" t="s">
        <v>67</v>
      </c>
      <c r="C303" s="297">
        <v>8.6509370923876193E-3</v>
      </c>
      <c r="D303" s="298">
        <v>1.6468883990365654E-2</v>
      </c>
      <c r="E303" s="298">
        <v>0</v>
      </c>
      <c r="F303" s="298">
        <v>0</v>
      </c>
      <c r="G303" s="298">
        <v>0</v>
      </c>
      <c r="H303" s="298">
        <v>0</v>
      </c>
      <c r="I303" s="298">
        <v>0</v>
      </c>
      <c r="J303" s="307">
        <v>1.0145271192798417E-2</v>
      </c>
      <c r="K303" s="307">
        <v>0</v>
      </c>
      <c r="L303" s="298">
        <v>0</v>
      </c>
      <c r="M303" s="298">
        <v>0</v>
      </c>
      <c r="N303" s="298">
        <v>0</v>
      </c>
      <c r="O303" s="307">
        <v>0</v>
      </c>
      <c r="P303" s="165">
        <v>0</v>
      </c>
      <c r="Q303" s="298">
        <v>0</v>
      </c>
      <c r="R303" s="307">
        <v>0</v>
      </c>
      <c r="S303" s="307">
        <v>0</v>
      </c>
      <c r="T303" s="307">
        <v>0</v>
      </c>
      <c r="U303" s="307">
        <v>4.8799940878978994E-3</v>
      </c>
      <c r="V303" s="380"/>
    </row>
    <row r="304" spans="1:22">
      <c r="A304" s="166"/>
      <c r="B304" s="167" t="s">
        <v>68</v>
      </c>
      <c r="C304" s="168">
        <v>8.1451410790543948E-3</v>
      </c>
      <c r="D304" s="169">
        <v>1.4834226523166405E-2</v>
      </c>
      <c r="E304" s="169">
        <v>0</v>
      </c>
      <c r="F304" s="169">
        <v>0</v>
      </c>
      <c r="G304" s="169">
        <v>0</v>
      </c>
      <c r="H304" s="169">
        <v>0</v>
      </c>
      <c r="I304" s="169">
        <v>0</v>
      </c>
      <c r="J304" s="170">
        <v>9.4531943483272384E-3</v>
      </c>
      <c r="K304" s="170">
        <v>0</v>
      </c>
      <c r="L304" s="169">
        <v>0</v>
      </c>
      <c r="M304" s="169">
        <v>0</v>
      </c>
      <c r="N304" s="169">
        <v>0</v>
      </c>
      <c r="O304" s="170">
        <v>0</v>
      </c>
      <c r="P304" s="170">
        <v>0</v>
      </c>
      <c r="Q304" s="169">
        <v>0</v>
      </c>
      <c r="R304" s="170">
        <v>0</v>
      </c>
      <c r="S304" s="170">
        <v>0</v>
      </c>
      <c r="T304" s="170">
        <v>0</v>
      </c>
      <c r="U304" s="170">
        <v>4.5931584484938505E-3</v>
      </c>
      <c r="V304" s="380"/>
    </row>
    <row r="305" spans="1:22" s="173" customFormat="1">
      <c r="A305" s="166"/>
      <c r="B305" s="199" t="s">
        <v>69</v>
      </c>
      <c r="C305" s="200">
        <v>-5.0579601333322448E-2</v>
      </c>
      <c r="D305" s="201">
        <v>-0.16346574671992492</v>
      </c>
      <c r="E305" s="201">
        <v>0</v>
      </c>
      <c r="F305" s="201">
        <v>0</v>
      </c>
      <c r="G305" s="201">
        <v>0</v>
      </c>
      <c r="H305" s="201">
        <v>0</v>
      </c>
      <c r="I305" s="201">
        <v>0</v>
      </c>
      <c r="J305" s="202">
        <v>-6.9207684447117862E-2</v>
      </c>
      <c r="K305" s="202">
        <v>0</v>
      </c>
      <c r="L305" s="201">
        <v>0</v>
      </c>
      <c r="M305" s="201">
        <v>0</v>
      </c>
      <c r="N305" s="201">
        <v>0</v>
      </c>
      <c r="O305" s="202">
        <v>0</v>
      </c>
      <c r="P305" s="202">
        <v>0</v>
      </c>
      <c r="Q305" s="201">
        <v>0</v>
      </c>
      <c r="R305" s="202">
        <v>0</v>
      </c>
      <c r="S305" s="202">
        <v>0</v>
      </c>
      <c r="T305" s="202">
        <v>0</v>
      </c>
      <c r="U305" s="202">
        <v>-2.8683563940404885E-2</v>
      </c>
      <c r="V305" s="380"/>
    </row>
    <row r="306" spans="1:22">
      <c r="A306" s="166"/>
      <c r="B306" s="246" t="s">
        <v>70</v>
      </c>
      <c r="C306" s="297">
        <v>0</v>
      </c>
      <c r="D306" s="298">
        <v>0</v>
      </c>
      <c r="E306" s="298">
        <v>0</v>
      </c>
      <c r="F306" s="298">
        <v>1.5777018143570866E-4</v>
      </c>
      <c r="G306" s="298">
        <v>0</v>
      </c>
      <c r="H306" s="298">
        <v>0</v>
      </c>
      <c r="I306" s="298">
        <v>0</v>
      </c>
      <c r="J306" s="307">
        <v>1.9132176087910609E-5</v>
      </c>
      <c r="K306" s="307">
        <v>0</v>
      </c>
      <c r="L306" s="298">
        <v>0</v>
      </c>
      <c r="M306" s="298">
        <v>0</v>
      </c>
      <c r="N306" s="298">
        <v>0</v>
      </c>
      <c r="O306" s="307">
        <v>0</v>
      </c>
      <c r="P306" s="165">
        <v>0</v>
      </c>
      <c r="Q306" s="298">
        <v>0</v>
      </c>
      <c r="R306" s="307">
        <v>0</v>
      </c>
      <c r="S306" s="307">
        <v>0</v>
      </c>
      <c r="T306" s="307">
        <v>0</v>
      </c>
      <c r="U306" s="307">
        <v>9.2028004400611847E-6</v>
      </c>
      <c r="V306" s="380"/>
    </row>
    <row r="307" spans="1:22">
      <c r="A307" s="166"/>
      <c r="B307" s="167" t="s">
        <v>71</v>
      </c>
      <c r="C307" s="168">
        <v>0</v>
      </c>
      <c r="D307" s="169">
        <v>0</v>
      </c>
      <c r="E307" s="169">
        <v>0</v>
      </c>
      <c r="F307" s="169">
        <v>1.1696419433600889E-4</v>
      </c>
      <c r="G307" s="169">
        <v>0</v>
      </c>
      <c r="H307" s="169">
        <v>0</v>
      </c>
      <c r="I307" s="169">
        <v>0</v>
      </c>
      <c r="J307" s="170">
        <v>1.3647537557739035E-5</v>
      </c>
      <c r="K307" s="170">
        <v>0</v>
      </c>
      <c r="L307" s="169">
        <v>0</v>
      </c>
      <c r="M307" s="169">
        <v>0</v>
      </c>
      <c r="N307" s="169">
        <v>0</v>
      </c>
      <c r="O307" s="170">
        <v>0</v>
      </c>
      <c r="P307" s="170">
        <v>0</v>
      </c>
      <c r="Q307" s="169">
        <v>0</v>
      </c>
      <c r="R307" s="170">
        <v>0</v>
      </c>
      <c r="S307" s="170">
        <v>0</v>
      </c>
      <c r="T307" s="170">
        <v>0</v>
      </c>
      <c r="U307" s="170">
        <v>6.6311238428688896E-6</v>
      </c>
      <c r="V307" s="380"/>
    </row>
    <row r="308" spans="1:22" s="173" customFormat="1">
      <c r="A308" s="166"/>
      <c r="B308" s="199" t="s">
        <v>72</v>
      </c>
      <c r="C308" s="200">
        <v>0</v>
      </c>
      <c r="D308" s="201">
        <v>0</v>
      </c>
      <c r="E308" s="201">
        <v>0</v>
      </c>
      <c r="F308" s="201">
        <v>-4.0805987099699773E-3</v>
      </c>
      <c r="G308" s="201">
        <v>0</v>
      </c>
      <c r="H308" s="201">
        <v>0</v>
      </c>
      <c r="I308" s="201">
        <v>0</v>
      </c>
      <c r="J308" s="202">
        <v>-5.4846385301715746E-4</v>
      </c>
      <c r="K308" s="202">
        <v>0</v>
      </c>
      <c r="L308" s="201">
        <v>0</v>
      </c>
      <c r="M308" s="201">
        <v>0</v>
      </c>
      <c r="N308" s="201">
        <v>0</v>
      </c>
      <c r="O308" s="202">
        <v>0</v>
      </c>
      <c r="P308" s="202">
        <v>0</v>
      </c>
      <c r="Q308" s="201">
        <v>0</v>
      </c>
      <c r="R308" s="202">
        <v>0</v>
      </c>
      <c r="S308" s="202">
        <v>0</v>
      </c>
      <c r="T308" s="202">
        <v>0</v>
      </c>
      <c r="U308" s="202">
        <v>-2.5716765971922954E-4</v>
      </c>
      <c r="V308" s="380"/>
    </row>
    <row r="309" spans="1:22">
      <c r="A309" s="166"/>
      <c r="B309" s="246" t="s">
        <v>73</v>
      </c>
      <c r="C309" s="297">
        <v>0</v>
      </c>
      <c r="D309" s="298">
        <v>8.2014476654940585E-4</v>
      </c>
      <c r="E309" s="298">
        <v>0</v>
      </c>
      <c r="F309" s="298">
        <v>3.671742404321947E-3</v>
      </c>
      <c r="G309" s="298">
        <v>0</v>
      </c>
      <c r="H309" s="298">
        <v>0</v>
      </c>
      <c r="I309" s="298">
        <v>0</v>
      </c>
      <c r="J309" s="307">
        <v>7.4789415616377834E-4</v>
      </c>
      <c r="K309" s="307">
        <v>0</v>
      </c>
      <c r="L309" s="298">
        <v>0</v>
      </c>
      <c r="M309" s="298">
        <v>0</v>
      </c>
      <c r="N309" s="298">
        <v>0</v>
      </c>
      <c r="O309" s="307">
        <v>0</v>
      </c>
      <c r="P309" s="165">
        <v>0</v>
      </c>
      <c r="Q309" s="298">
        <v>0</v>
      </c>
      <c r="R309" s="307">
        <v>0</v>
      </c>
      <c r="S309" s="307">
        <v>0</v>
      </c>
      <c r="T309" s="307">
        <v>0</v>
      </c>
      <c r="U309" s="307">
        <v>3.5974583538420996E-4</v>
      </c>
      <c r="V309" s="380"/>
    </row>
    <row r="310" spans="1:22">
      <c r="A310" s="166"/>
      <c r="B310" s="167" t="s">
        <v>74</v>
      </c>
      <c r="C310" s="168">
        <v>0</v>
      </c>
      <c r="D310" s="169">
        <v>7.9634976861615056E-4</v>
      </c>
      <c r="E310" s="169">
        <v>0</v>
      </c>
      <c r="F310" s="169">
        <v>5.1756655993683938E-3</v>
      </c>
      <c r="G310" s="169">
        <v>0</v>
      </c>
      <c r="H310" s="169">
        <v>0</v>
      </c>
      <c r="I310" s="169">
        <v>0</v>
      </c>
      <c r="J310" s="170">
        <v>9.1097313197908059E-4</v>
      </c>
      <c r="K310" s="170">
        <v>0</v>
      </c>
      <c r="L310" s="169">
        <v>0</v>
      </c>
      <c r="M310" s="169">
        <v>0</v>
      </c>
      <c r="N310" s="169">
        <v>0</v>
      </c>
      <c r="O310" s="170">
        <v>0</v>
      </c>
      <c r="P310" s="170">
        <v>0</v>
      </c>
      <c r="Q310" s="169">
        <v>0</v>
      </c>
      <c r="R310" s="170">
        <v>0</v>
      </c>
      <c r="S310" s="170">
        <v>0</v>
      </c>
      <c r="T310" s="170">
        <v>0</v>
      </c>
      <c r="U310" s="170">
        <v>4.4262751651149836E-4</v>
      </c>
      <c r="V310" s="380"/>
    </row>
    <row r="311" spans="1:22" s="173" customFormat="1" ht="15.75" thickBot="1">
      <c r="A311" s="166"/>
      <c r="B311" s="303" t="s">
        <v>75</v>
      </c>
      <c r="C311" s="304">
        <v>0</v>
      </c>
      <c r="D311" s="305">
        <v>-2.3794997933255287E-3</v>
      </c>
      <c r="E311" s="305">
        <v>0</v>
      </c>
      <c r="F311" s="305">
        <v>0.15039231950464468</v>
      </c>
      <c r="G311" s="305">
        <v>0</v>
      </c>
      <c r="H311" s="305">
        <v>0</v>
      </c>
      <c r="I311" s="305">
        <v>0</v>
      </c>
      <c r="J311" s="308">
        <v>1.6307897581530225E-2</v>
      </c>
      <c r="K311" s="308">
        <v>0</v>
      </c>
      <c r="L311" s="305">
        <v>0</v>
      </c>
      <c r="M311" s="305">
        <v>0</v>
      </c>
      <c r="N311" s="305">
        <v>0</v>
      </c>
      <c r="O311" s="308">
        <v>0</v>
      </c>
      <c r="P311" s="308">
        <v>0</v>
      </c>
      <c r="Q311" s="305">
        <v>0</v>
      </c>
      <c r="R311" s="308">
        <v>0</v>
      </c>
      <c r="S311" s="308">
        <v>0</v>
      </c>
      <c r="T311" s="308">
        <v>0</v>
      </c>
      <c r="U311" s="308">
        <v>8.2881681127288387E-3</v>
      </c>
      <c r="V311" s="380"/>
    </row>
    <row r="312" spans="1:22" ht="15.75" thickTop="1">
      <c r="A312" s="166"/>
      <c r="B312" s="167" t="s">
        <v>76</v>
      </c>
      <c r="C312" s="168">
        <v>0.66233538499307343</v>
      </c>
      <c r="D312" s="169">
        <v>0.7610162803169046</v>
      </c>
      <c r="E312" s="169">
        <v>0</v>
      </c>
      <c r="F312" s="169">
        <v>0.43810593137995812</v>
      </c>
      <c r="G312" s="169">
        <v>0.64328322596039134</v>
      </c>
      <c r="H312" s="169">
        <v>0</v>
      </c>
      <c r="I312" s="169">
        <v>0</v>
      </c>
      <c r="J312" s="170">
        <v>0.65963271055359185</v>
      </c>
      <c r="K312" s="170">
        <v>0</v>
      </c>
      <c r="L312" s="169">
        <v>0</v>
      </c>
      <c r="M312" s="169">
        <v>0</v>
      </c>
      <c r="N312" s="169">
        <v>0</v>
      </c>
      <c r="O312" s="170">
        <v>0</v>
      </c>
      <c r="P312" s="170">
        <v>0</v>
      </c>
      <c r="Q312" s="169">
        <v>0</v>
      </c>
      <c r="R312" s="170">
        <v>0</v>
      </c>
      <c r="S312" s="170">
        <v>0</v>
      </c>
      <c r="T312" s="170">
        <v>0</v>
      </c>
      <c r="U312" s="170">
        <v>0.65963271055359185</v>
      </c>
      <c r="V312" s="380"/>
    </row>
    <row r="313" spans="1:22">
      <c r="A313" s="166"/>
      <c r="B313" s="167" t="s">
        <v>77</v>
      </c>
      <c r="C313" s="168">
        <v>0.65117194332691974</v>
      </c>
      <c r="D313" s="169">
        <v>0.72463168516649845</v>
      </c>
      <c r="E313" s="169">
        <v>0</v>
      </c>
      <c r="F313" s="169">
        <v>0.20310328855951829</v>
      </c>
      <c r="G313" s="169">
        <v>0.61152640462985286</v>
      </c>
      <c r="H313" s="169">
        <v>0</v>
      </c>
      <c r="I313" s="169">
        <v>0</v>
      </c>
      <c r="J313" s="170">
        <v>0.60426357629608041</v>
      </c>
      <c r="K313" s="170">
        <v>0</v>
      </c>
      <c r="L313" s="169">
        <v>0</v>
      </c>
      <c r="M313" s="169">
        <v>0</v>
      </c>
      <c r="N313" s="169">
        <v>0</v>
      </c>
      <c r="O313" s="170">
        <v>0</v>
      </c>
      <c r="P313" s="170">
        <v>0</v>
      </c>
      <c r="Q313" s="169">
        <v>0</v>
      </c>
      <c r="R313" s="170">
        <v>0</v>
      </c>
      <c r="S313" s="170">
        <v>0</v>
      </c>
      <c r="T313" s="170">
        <v>0</v>
      </c>
      <c r="U313" s="170">
        <v>0.60426357629608041</v>
      </c>
      <c r="V313" s="380"/>
    </row>
    <row r="314" spans="1:22" s="173" customFormat="1">
      <c r="A314" s="166"/>
      <c r="B314" s="199" t="s">
        <v>78</v>
      </c>
      <c r="C314" s="200">
        <v>-1.1163441666153684</v>
      </c>
      <c r="D314" s="201">
        <v>-3.6384595150406152</v>
      </c>
      <c r="E314" s="201">
        <v>0</v>
      </c>
      <c r="F314" s="656">
        <v>-23.500264282043982</v>
      </c>
      <c r="G314" s="201">
        <v>-3.1756821330538476</v>
      </c>
      <c r="H314" s="201">
        <v>0</v>
      </c>
      <c r="I314" s="201">
        <v>0</v>
      </c>
      <c r="J314" s="202">
        <v>-5.5369134257511448</v>
      </c>
      <c r="K314" s="202">
        <v>0</v>
      </c>
      <c r="L314" s="201">
        <v>0</v>
      </c>
      <c r="M314" s="201">
        <v>0</v>
      </c>
      <c r="N314" s="201">
        <v>0</v>
      </c>
      <c r="O314" s="202">
        <v>0</v>
      </c>
      <c r="P314" s="202">
        <v>0</v>
      </c>
      <c r="Q314" s="201">
        <v>0</v>
      </c>
      <c r="R314" s="202">
        <v>0</v>
      </c>
      <c r="S314" s="202">
        <v>0</v>
      </c>
      <c r="T314" s="202">
        <v>0</v>
      </c>
      <c r="U314" s="202">
        <v>-5.5369134257511448</v>
      </c>
      <c r="V314" s="380"/>
    </row>
    <row r="315" spans="1:22">
      <c r="A315" s="166"/>
      <c r="B315" s="246" t="s">
        <v>79</v>
      </c>
      <c r="C315" s="297">
        <v>7.4648850544478937E-2</v>
      </c>
      <c r="D315" s="298">
        <v>0.10916615232062814</v>
      </c>
      <c r="E315" s="298">
        <v>0</v>
      </c>
      <c r="F315" s="298">
        <v>2.5046963055729492E-2</v>
      </c>
      <c r="G315" s="298">
        <v>7.7308518253400141E-2</v>
      </c>
      <c r="H315" s="298">
        <v>0</v>
      </c>
      <c r="I315" s="298">
        <v>0</v>
      </c>
      <c r="J315" s="307">
        <v>7.892129132196106E-2</v>
      </c>
      <c r="K315" s="307">
        <v>0</v>
      </c>
      <c r="L315" s="298">
        <v>0</v>
      </c>
      <c r="M315" s="298">
        <v>0</v>
      </c>
      <c r="N315" s="298">
        <v>0</v>
      </c>
      <c r="O315" s="307">
        <v>0</v>
      </c>
      <c r="P315" s="165">
        <v>0</v>
      </c>
      <c r="Q315" s="298">
        <v>0</v>
      </c>
      <c r="R315" s="307">
        <v>0</v>
      </c>
      <c r="S315" s="307">
        <v>0</v>
      </c>
      <c r="T315" s="307">
        <v>0</v>
      </c>
      <c r="U315" s="307">
        <v>7.892129132196106E-2</v>
      </c>
      <c r="V315" s="380"/>
    </row>
    <row r="316" spans="1:22">
      <c r="A316" s="166"/>
      <c r="B316" s="167" t="s">
        <v>80</v>
      </c>
      <c r="C316" s="168">
        <v>8.377645618331292E-2</v>
      </c>
      <c r="D316" s="169">
        <v>0.11885973763874874</v>
      </c>
      <c r="E316" s="169">
        <v>0</v>
      </c>
      <c r="F316" s="169">
        <v>2.8138026864289022E-2</v>
      </c>
      <c r="G316" s="169">
        <v>8.5362912949119851E-2</v>
      </c>
      <c r="H316" s="169">
        <v>0</v>
      </c>
      <c r="I316" s="169">
        <v>0</v>
      </c>
      <c r="J316" s="170">
        <v>8.7921401097531507E-2</v>
      </c>
      <c r="K316" s="170">
        <v>0</v>
      </c>
      <c r="L316" s="169">
        <v>0</v>
      </c>
      <c r="M316" s="169">
        <v>0</v>
      </c>
      <c r="N316" s="169">
        <v>0</v>
      </c>
      <c r="O316" s="170">
        <v>0</v>
      </c>
      <c r="P316" s="170">
        <v>0</v>
      </c>
      <c r="Q316" s="169">
        <v>0</v>
      </c>
      <c r="R316" s="170">
        <v>0</v>
      </c>
      <c r="S316" s="170">
        <v>0</v>
      </c>
      <c r="T316" s="170">
        <v>0</v>
      </c>
      <c r="U316" s="170">
        <v>8.7921401097531507E-2</v>
      </c>
      <c r="V316" s="380"/>
    </row>
    <row r="317" spans="1:22" s="173" customFormat="1">
      <c r="A317" s="166"/>
      <c r="B317" s="199" t="s">
        <v>81</v>
      </c>
      <c r="C317" s="200">
        <v>0.91276056388339821</v>
      </c>
      <c r="D317" s="201">
        <v>0.96935853181206033</v>
      </c>
      <c r="E317" s="201">
        <v>0</v>
      </c>
      <c r="F317" s="201">
        <v>0.30910638085595299</v>
      </c>
      <c r="G317" s="201">
        <v>0.8054394695719711</v>
      </c>
      <c r="H317" s="201">
        <v>0</v>
      </c>
      <c r="I317" s="201">
        <v>0</v>
      </c>
      <c r="J317" s="202">
        <v>0.90001097755704473</v>
      </c>
      <c r="K317" s="202">
        <v>0</v>
      </c>
      <c r="L317" s="201">
        <v>0</v>
      </c>
      <c r="M317" s="201">
        <v>0</v>
      </c>
      <c r="N317" s="201">
        <v>0</v>
      </c>
      <c r="O317" s="202">
        <v>0</v>
      </c>
      <c r="P317" s="202">
        <v>0</v>
      </c>
      <c r="Q317" s="201">
        <v>0</v>
      </c>
      <c r="R317" s="202">
        <v>0</v>
      </c>
      <c r="S317" s="202">
        <v>0</v>
      </c>
      <c r="T317" s="202">
        <v>0</v>
      </c>
      <c r="U317" s="202">
        <v>0.90001097755704473</v>
      </c>
      <c r="V317" s="380"/>
    </row>
    <row r="318" spans="1:22">
      <c r="A318" s="166"/>
      <c r="B318" s="246" t="s">
        <v>82</v>
      </c>
      <c r="C318" s="297">
        <v>0.25885983832219828</v>
      </c>
      <c r="D318" s="298">
        <v>0.11630965992451761</v>
      </c>
      <c r="E318" s="298">
        <v>0</v>
      </c>
      <c r="F318" s="298">
        <v>0.53237751819143653</v>
      </c>
      <c r="G318" s="298">
        <v>0.27940825578620854</v>
      </c>
      <c r="H318" s="298">
        <v>0</v>
      </c>
      <c r="I318" s="298">
        <v>0</v>
      </c>
      <c r="J318" s="307">
        <v>0.25379191993591227</v>
      </c>
      <c r="K318" s="307">
        <v>0</v>
      </c>
      <c r="L318" s="298">
        <v>0</v>
      </c>
      <c r="M318" s="298">
        <v>0</v>
      </c>
      <c r="N318" s="298">
        <v>0</v>
      </c>
      <c r="O318" s="307">
        <v>0</v>
      </c>
      <c r="P318" s="165">
        <v>0</v>
      </c>
      <c r="Q318" s="298">
        <v>0</v>
      </c>
      <c r="R318" s="307">
        <v>0</v>
      </c>
      <c r="S318" s="307">
        <v>0</v>
      </c>
      <c r="T318" s="307">
        <v>0</v>
      </c>
      <c r="U318" s="307">
        <v>0.25379191993591227</v>
      </c>
      <c r="V318" s="380"/>
    </row>
    <row r="319" spans="1:22">
      <c r="A319" s="166"/>
      <c r="B319" s="167" t="s">
        <v>83</v>
      </c>
      <c r="C319" s="168">
        <v>0.25683925135560609</v>
      </c>
      <c r="D319" s="169">
        <v>0.14485368314833502</v>
      </c>
      <c r="E319" s="169">
        <v>0</v>
      </c>
      <c r="F319" s="169">
        <v>0.76306160259379341</v>
      </c>
      <c r="G319" s="169">
        <v>0.30311068242102723</v>
      </c>
      <c r="H319" s="169">
        <v>0</v>
      </c>
      <c r="I319" s="169">
        <v>0</v>
      </c>
      <c r="J319" s="170">
        <v>0.29884149451425984</v>
      </c>
      <c r="K319" s="170">
        <v>0</v>
      </c>
      <c r="L319" s="169">
        <v>0</v>
      </c>
      <c r="M319" s="169">
        <v>0</v>
      </c>
      <c r="N319" s="169">
        <v>0</v>
      </c>
      <c r="O319" s="170">
        <v>0</v>
      </c>
      <c r="P319" s="170">
        <v>0</v>
      </c>
      <c r="Q319" s="169">
        <v>0</v>
      </c>
      <c r="R319" s="170">
        <v>0</v>
      </c>
      <c r="S319" s="170">
        <v>0</v>
      </c>
      <c r="T319" s="170">
        <v>0</v>
      </c>
      <c r="U319" s="170">
        <v>0.29884149451425984</v>
      </c>
      <c r="V319" s="380"/>
    </row>
    <row r="320" spans="1:22" s="173" customFormat="1">
      <c r="A320" s="166"/>
      <c r="B320" s="199" t="s">
        <v>84</v>
      </c>
      <c r="C320" s="200">
        <v>-0.20205869665921861</v>
      </c>
      <c r="D320" s="201">
        <v>2.8544023223817412</v>
      </c>
      <c r="E320" s="201">
        <v>0</v>
      </c>
      <c r="F320" s="656">
        <v>23.068408440235689</v>
      </c>
      <c r="G320" s="201">
        <v>2.3702426634818696</v>
      </c>
      <c r="H320" s="201">
        <v>0</v>
      </c>
      <c r="I320" s="201">
        <v>0</v>
      </c>
      <c r="J320" s="202">
        <v>4.5049574578347578</v>
      </c>
      <c r="K320" s="202">
        <v>0</v>
      </c>
      <c r="L320" s="201">
        <v>0</v>
      </c>
      <c r="M320" s="201">
        <v>0</v>
      </c>
      <c r="N320" s="201">
        <v>0</v>
      </c>
      <c r="O320" s="202">
        <v>0</v>
      </c>
      <c r="P320" s="202">
        <v>0</v>
      </c>
      <c r="Q320" s="201">
        <v>0</v>
      </c>
      <c r="R320" s="202">
        <v>0</v>
      </c>
      <c r="S320" s="202">
        <v>0</v>
      </c>
      <c r="T320" s="202">
        <v>0</v>
      </c>
      <c r="U320" s="202">
        <v>4.5049574578347578</v>
      </c>
      <c r="V320" s="380"/>
    </row>
    <row r="321" spans="1:22">
      <c r="A321" s="166"/>
      <c r="B321" s="246" t="s">
        <v>85</v>
      </c>
      <c r="C321" s="297">
        <v>4.1559261402493554E-3</v>
      </c>
      <c r="D321" s="298">
        <v>1.3477552589774464E-2</v>
      </c>
      <c r="E321" s="298">
        <v>0</v>
      </c>
      <c r="F321" s="298">
        <v>0</v>
      </c>
      <c r="G321" s="298">
        <v>0</v>
      </c>
      <c r="H321" s="298">
        <v>0</v>
      </c>
      <c r="I321" s="298">
        <v>0</v>
      </c>
      <c r="J321" s="307">
        <v>6.8567783772291177E-3</v>
      </c>
      <c r="K321" s="307">
        <v>0</v>
      </c>
      <c r="L321" s="298">
        <v>0</v>
      </c>
      <c r="M321" s="298">
        <v>0</v>
      </c>
      <c r="N321" s="298">
        <v>0</v>
      </c>
      <c r="O321" s="307">
        <v>0</v>
      </c>
      <c r="P321" s="165">
        <v>0</v>
      </c>
      <c r="Q321" s="298">
        <v>0</v>
      </c>
      <c r="R321" s="307">
        <v>0</v>
      </c>
      <c r="S321" s="307">
        <v>0</v>
      </c>
      <c r="T321" s="307">
        <v>0</v>
      </c>
      <c r="U321" s="307">
        <v>6.8567783772291177E-3</v>
      </c>
      <c r="V321" s="380"/>
    </row>
    <row r="322" spans="1:22">
      <c r="A322" s="166"/>
      <c r="B322" s="167" t="s">
        <v>86</v>
      </c>
      <c r="C322" s="168">
        <v>8.2123491341612731E-3</v>
      </c>
      <c r="D322" s="169">
        <v>1.1594349142280524E-2</v>
      </c>
      <c r="E322" s="169">
        <v>0</v>
      </c>
      <c r="F322" s="169">
        <v>0</v>
      </c>
      <c r="G322" s="169">
        <v>0</v>
      </c>
      <c r="H322" s="169">
        <v>0</v>
      </c>
      <c r="I322" s="169">
        <v>0</v>
      </c>
      <c r="J322" s="170">
        <v>8.0071481437451828E-3</v>
      </c>
      <c r="K322" s="170">
        <v>0</v>
      </c>
      <c r="L322" s="169">
        <v>0</v>
      </c>
      <c r="M322" s="169">
        <v>0</v>
      </c>
      <c r="N322" s="169">
        <v>0</v>
      </c>
      <c r="O322" s="170">
        <v>0</v>
      </c>
      <c r="P322" s="170">
        <v>0</v>
      </c>
      <c r="Q322" s="169">
        <v>0</v>
      </c>
      <c r="R322" s="170">
        <v>0</v>
      </c>
      <c r="S322" s="170">
        <v>0</v>
      </c>
      <c r="T322" s="170">
        <v>0</v>
      </c>
      <c r="U322" s="170">
        <v>8.0071481437451828E-3</v>
      </c>
      <c r="V322" s="380"/>
    </row>
    <row r="323" spans="1:22" s="173" customFormat="1">
      <c r="A323" s="166"/>
      <c r="B323" s="199" t="s">
        <v>87</v>
      </c>
      <c r="C323" s="200">
        <v>0.40564229939119179</v>
      </c>
      <c r="D323" s="201">
        <v>-0.18832034474939394</v>
      </c>
      <c r="E323" s="201">
        <v>0</v>
      </c>
      <c r="F323" s="201">
        <v>0</v>
      </c>
      <c r="G323" s="201">
        <v>0</v>
      </c>
      <c r="H323" s="201">
        <v>0</v>
      </c>
      <c r="I323" s="201">
        <v>0</v>
      </c>
      <c r="J323" s="202">
        <v>0.1150369766516065</v>
      </c>
      <c r="K323" s="202">
        <v>0</v>
      </c>
      <c r="L323" s="201">
        <v>0</v>
      </c>
      <c r="M323" s="201">
        <v>0</v>
      </c>
      <c r="N323" s="201">
        <v>0</v>
      </c>
      <c r="O323" s="202">
        <v>0</v>
      </c>
      <c r="P323" s="202">
        <v>0</v>
      </c>
      <c r="Q323" s="201">
        <v>0</v>
      </c>
      <c r="R323" s="202">
        <v>0</v>
      </c>
      <c r="S323" s="202">
        <v>0</v>
      </c>
      <c r="T323" s="202">
        <v>0</v>
      </c>
      <c r="U323" s="202">
        <v>0.1150369766516065</v>
      </c>
      <c r="V323" s="380"/>
    </row>
    <row r="324" spans="1:22">
      <c r="A324" s="166"/>
      <c r="B324" s="246" t="s">
        <v>88</v>
      </c>
      <c r="C324" s="297">
        <v>0</v>
      </c>
      <c r="D324" s="298">
        <v>0</v>
      </c>
      <c r="E324" s="298">
        <v>0</v>
      </c>
      <c r="F324" s="298">
        <v>1.0364260574784617E-3</v>
      </c>
      <c r="G324" s="298">
        <v>0</v>
      </c>
      <c r="H324" s="298">
        <v>0</v>
      </c>
      <c r="I324" s="298">
        <v>0</v>
      </c>
      <c r="J324" s="307">
        <v>1.8223995686987687E-4</v>
      </c>
      <c r="K324" s="307">
        <v>0</v>
      </c>
      <c r="L324" s="298">
        <v>0</v>
      </c>
      <c r="M324" s="298">
        <v>0</v>
      </c>
      <c r="N324" s="298">
        <v>0</v>
      </c>
      <c r="O324" s="307">
        <v>0</v>
      </c>
      <c r="P324" s="165">
        <v>0</v>
      </c>
      <c r="Q324" s="298">
        <v>0</v>
      </c>
      <c r="R324" s="307">
        <v>0</v>
      </c>
      <c r="S324" s="307">
        <v>0</v>
      </c>
      <c r="T324" s="307">
        <v>0</v>
      </c>
      <c r="U324" s="307">
        <v>1.8223995686987687E-4</v>
      </c>
      <c r="V324" s="380"/>
    </row>
    <row r="325" spans="1:22">
      <c r="A325" s="166"/>
      <c r="B325" s="167" t="s">
        <v>89</v>
      </c>
      <c r="C325" s="168">
        <v>0</v>
      </c>
      <c r="D325" s="169">
        <v>0</v>
      </c>
      <c r="E325" s="169">
        <v>0</v>
      </c>
      <c r="F325" s="169">
        <v>2.9874942102825382E-3</v>
      </c>
      <c r="G325" s="169">
        <v>0</v>
      </c>
      <c r="H325" s="169">
        <v>0</v>
      </c>
      <c r="I325" s="169">
        <v>0</v>
      </c>
      <c r="J325" s="170">
        <v>4.9469449738655583E-4</v>
      </c>
      <c r="K325" s="170">
        <v>0</v>
      </c>
      <c r="L325" s="169">
        <v>0</v>
      </c>
      <c r="M325" s="169">
        <v>0</v>
      </c>
      <c r="N325" s="169">
        <v>0</v>
      </c>
      <c r="O325" s="170">
        <v>0</v>
      </c>
      <c r="P325" s="170">
        <v>0</v>
      </c>
      <c r="Q325" s="169">
        <v>0</v>
      </c>
      <c r="R325" s="170">
        <v>0</v>
      </c>
      <c r="S325" s="170">
        <v>0</v>
      </c>
      <c r="T325" s="170">
        <v>0</v>
      </c>
      <c r="U325" s="170">
        <v>4.9469449738655583E-4</v>
      </c>
      <c r="V325" s="380"/>
    </row>
    <row r="326" spans="1:22" s="173" customFormat="1">
      <c r="A326" s="166"/>
      <c r="B326" s="199" t="s">
        <v>90</v>
      </c>
      <c r="C326" s="200">
        <v>0</v>
      </c>
      <c r="D326" s="201">
        <v>0</v>
      </c>
      <c r="E326" s="201">
        <v>0</v>
      </c>
      <c r="F326" s="201">
        <v>0.19510681528040766</v>
      </c>
      <c r="G326" s="201">
        <v>0</v>
      </c>
      <c r="H326" s="201">
        <v>0</v>
      </c>
      <c r="I326" s="201">
        <v>0</v>
      </c>
      <c r="J326" s="202">
        <v>3.1245454051667891E-2</v>
      </c>
      <c r="K326" s="202">
        <v>0</v>
      </c>
      <c r="L326" s="201">
        <v>0</v>
      </c>
      <c r="M326" s="201">
        <v>0</v>
      </c>
      <c r="N326" s="201">
        <v>0</v>
      </c>
      <c r="O326" s="202">
        <v>0</v>
      </c>
      <c r="P326" s="202">
        <v>0</v>
      </c>
      <c r="Q326" s="201">
        <v>0</v>
      </c>
      <c r="R326" s="202">
        <v>0</v>
      </c>
      <c r="S326" s="202">
        <v>0</v>
      </c>
      <c r="T326" s="202">
        <v>0</v>
      </c>
      <c r="U326" s="202">
        <v>3.1245454051667891E-2</v>
      </c>
      <c r="V326" s="380"/>
    </row>
    <row r="327" spans="1:22">
      <c r="A327" s="166"/>
      <c r="B327" s="246" t="s">
        <v>91</v>
      </c>
      <c r="C327" s="297">
        <v>0</v>
      </c>
      <c r="D327" s="298">
        <v>3.0354848175167712E-5</v>
      </c>
      <c r="E327" s="298">
        <v>0</v>
      </c>
      <c r="F327" s="298">
        <v>3.4331613153974045E-3</v>
      </c>
      <c r="G327" s="298">
        <v>0</v>
      </c>
      <c r="H327" s="298">
        <v>0</v>
      </c>
      <c r="I327" s="298">
        <v>0</v>
      </c>
      <c r="J327" s="307">
        <v>6.1505985443583442E-4</v>
      </c>
      <c r="K327" s="307">
        <v>0</v>
      </c>
      <c r="L327" s="298">
        <v>0</v>
      </c>
      <c r="M327" s="298">
        <v>0</v>
      </c>
      <c r="N327" s="298">
        <v>0</v>
      </c>
      <c r="O327" s="307">
        <v>0</v>
      </c>
      <c r="P327" s="165">
        <v>0</v>
      </c>
      <c r="Q327" s="298">
        <v>0</v>
      </c>
      <c r="R327" s="307">
        <v>0</v>
      </c>
      <c r="S327" s="307">
        <v>0</v>
      </c>
      <c r="T327" s="307">
        <v>0</v>
      </c>
      <c r="U327" s="307">
        <v>6.1505985443583442E-4</v>
      </c>
      <c r="V327" s="380"/>
    </row>
    <row r="328" spans="1:22">
      <c r="A328" s="166"/>
      <c r="B328" s="167" t="s">
        <v>92</v>
      </c>
      <c r="C328" s="168">
        <v>0</v>
      </c>
      <c r="D328" s="169">
        <v>6.0544904137235114E-5</v>
      </c>
      <c r="E328" s="169">
        <v>0</v>
      </c>
      <c r="F328" s="169">
        <v>2.7095877721167207E-3</v>
      </c>
      <c r="G328" s="169">
        <v>0</v>
      </c>
      <c r="H328" s="169">
        <v>0</v>
      </c>
      <c r="I328" s="169">
        <v>0</v>
      </c>
      <c r="J328" s="170">
        <v>4.7168545099648344E-4</v>
      </c>
      <c r="K328" s="170">
        <v>0</v>
      </c>
      <c r="L328" s="169">
        <v>0</v>
      </c>
      <c r="M328" s="169">
        <v>0</v>
      </c>
      <c r="N328" s="169">
        <v>0</v>
      </c>
      <c r="O328" s="170">
        <v>0</v>
      </c>
      <c r="P328" s="170">
        <v>0</v>
      </c>
      <c r="Q328" s="169">
        <v>0</v>
      </c>
      <c r="R328" s="170">
        <v>0</v>
      </c>
      <c r="S328" s="170">
        <v>0</v>
      </c>
      <c r="T328" s="170">
        <v>0</v>
      </c>
      <c r="U328" s="170">
        <v>4.7168545099648344E-4</v>
      </c>
      <c r="V328" s="380"/>
    </row>
    <row r="329" spans="1:22" s="173" customFormat="1" ht="15.75" thickBot="1">
      <c r="A329" s="310"/>
      <c r="B329" s="311" t="s">
        <v>93</v>
      </c>
      <c r="C329" s="312">
        <v>0</v>
      </c>
      <c r="D329" s="313">
        <v>3.0190055962067402E-3</v>
      </c>
      <c r="E329" s="313">
        <v>0</v>
      </c>
      <c r="F329" s="313">
        <v>-7.2357354328068377E-2</v>
      </c>
      <c r="G329" s="313">
        <v>0</v>
      </c>
      <c r="H329" s="313">
        <v>0</v>
      </c>
      <c r="I329" s="313">
        <v>0</v>
      </c>
      <c r="J329" s="314">
        <v>-1.4337440343935097E-2</v>
      </c>
      <c r="K329" s="314">
        <v>0</v>
      </c>
      <c r="L329" s="313">
        <v>0</v>
      </c>
      <c r="M329" s="313">
        <v>0</v>
      </c>
      <c r="N329" s="313">
        <v>0</v>
      </c>
      <c r="O329" s="314">
        <v>0</v>
      </c>
      <c r="P329" s="314">
        <v>0</v>
      </c>
      <c r="Q329" s="313">
        <v>0</v>
      </c>
      <c r="R329" s="314">
        <v>0</v>
      </c>
      <c r="S329" s="314">
        <v>0</v>
      </c>
      <c r="T329" s="314">
        <v>0</v>
      </c>
      <c r="U329" s="314">
        <v>-1.4337440343935097E-2</v>
      </c>
      <c r="V329" s="380"/>
    </row>
    <row r="330" spans="1:22">
      <c r="A330" s="296" t="s">
        <v>48</v>
      </c>
      <c r="B330" s="246" t="s">
        <v>59</v>
      </c>
      <c r="C330" s="297">
        <v>0.90106973395387824</v>
      </c>
      <c r="D330" s="298">
        <v>0.83992565119446327</v>
      </c>
      <c r="E330" s="298">
        <v>0.90727298735931461</v>
      </c>
      <c r="F330" s="298">
        <v>0.78733699773827026</v>
      </c>
      <c r="G330" s="298">
        <v>0.76800720691648849</v>
      </c>
      <c r="H330" s="298">
        <v>0.89239008021328925</v>
      </c>
      <c r="I330" s="298">
        <v>0</v>
      </c>
      <c r="J330" s="307">
        <v>0.88404984057534641</v>
      </c>
      <c r="K330" s="307">
        <v>0</v>
      </c>
      <c r="L330" s="298">
        <v>0.64528831042899659</v>
      </c>
      <c r="M330" s="298">
        <v>0.60469983883362188</v>
      </c>
      <c r="N330" s="298">
        <v>0.58308887580929958</v>
      </c>
      <c r="O330" s="307">
        <v>0.61970395615508811</v>
      </c>
      <c r="P330" s="165">
        <v>0</v>
      </c>
      <c r="Q330" s="298">
        <v>0</v>
      </c>
      <c r="R330" s="307">
        <v>0</v>
      </c>
      <c r="S330" s="307">
        <v>0</v>
      </c>
      <c r="T330" s="307">
        <v>0</v>
      </c>
      <c r="U330" s="307">
        <v>0.74803096420967852</v>
      </c>
      <c r="V330" s="380"/>
    </row>
    <row r="331" spans="1:22">
      <c r="A331" s="166"/>
      <c r="B331" s="167" t="s">
        <v>60</v>
      </c>
      <c r="C331" s="168">
        <v>0.89325722710302191</v>
      </c>
      <c r="D331" s="169">
        <v>0.81887798266731671</v>
      </c>
      <c r="E331" s="169">
        <v>0.89690811085171651</v>
      </c>
      <c r="F331" s="169">
        <v>0.76947201938284482</v>
      </c>
      <c r="G331" s="169">
        <v>0.75398017317978294</v>
      </c>
      <c r="H331" s="169">
        <v>0.88982925110350031</v>
      </c>
      <c r="I331" s="169">
        <v>0</v>
      </c>
      <c r="J331" s="170">
        <v>0.8735574181897463</v>
      </c>
      <c r="K331" s="170">
        <v>0</v>
      </c>
      <c r="L331" s="169">
        <v>0.61285413988774362</v>
      </c>
      <c r="M331" s="169">
        <v>0.58401666056116042</v>
      </c>
      <c r="N331" s="169">
        <v>0.55122798468849532</v>
      </c>
      <c r="O331" s="170">
        <v>0.59214994932386489</v>
      </c>
      <c r="P331" s="170">
        <v>0</v>
      </c>
      <c r="Q331" s="169">
        <v>0</v>
      </c>
      <c r="R331" s="170">
        <v>0</v>
      </c>
      <c r="S331" s="170">
        <v>0</v>
      </c>
      <c r="T331" s="170">
        <v>0</v>
      </c>
      <c r="U331" s="170">
        <v>0.73123812191568549</v>
      </c>
      <c r="V331" s="380"/>
    </row>
    <row r="332" spans="1:22">
      <c r="A332" s="166"/>
      <c r="B332" s="199" t="s">
        <v>236</v>
      </c>
      <c r="C332" s="200">
        <v>-0.78125068508563267</v>
      </c>
      <c r="D332" s="201">
        <v>-2.1047668527146568</v>
      </c>
      <c r="E332" s="201">
        <v>-1.0364876507598098</v>
      </c>
      <c r="F332" s="201">
        <v>-1.7864978355425443</v>
      </c>
      <c r="G332" s="201">
        <v>-1.4027033736705552</v>
      </c>
      <c r="H332" s="201">
        <v>-0.25608291097889424</v>
      </c>
      <c r="I332" s="201">
        <v>0</v>
      </c>
      <c r="J332" s="202">
        <v>-1.0492422385600109</v>
      </c>
      <c r="K332" s="202">
        <v>0</v>
      </c>
      <c r="L332" s="201">
        <v>-3.2434170541252971</v>
      </c>
      <c r="M332" s="201">
        <v>-2.0683178272461467</v>
      </c>
      <c r="N332" s="201">
        <v>-3.1860891120804258</v>
      </c>
      <c r="O332" s="202">
        <v>-2.7554006831223221</v>
      </c>
      <c r="P332" s="202">
        <v>0</v>
      </c>
      <c r="Q332" s="201">
        <v>0</v>
      </c>
      <c r="R332" s="202">
        <v>0</v>
      </c>
      <c r="S332" s="202">
        <v>0</v>
      </c>
      <c r="T332" s="202">
        <v>0</v>
      </c>
      <c r="U332" s="202">
        <v>-1.6792842293993027</v>
      </c>
      <c r="V332" s="380"/>
    </row>
    <row r="333" spans="1:22">
      <c r="A333" s="166"/>
      <c r="B333" s="246" t="s">
        <v>61</v>
      </c>
      <c r="C333" s="297">
        <v>2.3425586100609048E-3</v>
      </c>
      <c r="D333" s="298">
        <v>7.6250353328136912E-3</v>
      </c>
      <c r="E333" s="298">
        <v>9.983149252477742E-3</v>
      </c>
      <c r="F333" s="298">
        <v>1.5624056214387822E-2</v>
      </c>
      <c r="G333" s="298">
        <v>5.229720463071276E-2</v>
      </c>
      <c r="H333" s="298">
        <v>7.5386701601967412E-3</v>
      </c>
      <c r="I333" s="298">
        <v>0</v>
      </c>
      <c r="J333" s="307">
        <v>8.900073891292359E-3</v>
      </c>
      <c r="K333" s="307">
        <v>0</v>
      </c>
      <c r="L333" s="298">
        <v>1.3326311565854149E-2</v>
      </c>
      <c r="M333" s="298">
        <v>1.5705499092504717E-2</v>
      </c>
      <c r="N333" s="298">
        <v>2.6999411418481459E-2</v>
      </c>
      <c r="O333" s="307">
        <v>1.6448891359773749E-2</v>
      </c>
      <c r="P333" s="165">
        <v>0</v>
      </c>
      <c r="Q333" s="298">
        <v>0</v>
      </c>
      <c r="R333" s="307">
        <v>0</v>
      </c>
      <c r="S333" s="307">
        <v>0</v>
      </c>
      <c r="T333" s="307">
        <v>0</v>
      </c>
      <c r="U333" s="307">
        <v>1.2784309396619849E-2</v>
      </c>
      <c r="V333" s="380"/>
    </row>
    <row r="334" spans="1:22">
      <c r="A334" s="166"/>
      <c r="B334" s="167" t="s">
        <v>62</v>
      </c>
      <c r="C334" s="168">
        <v>1.8334163905352639E-3</v>
      </c>
      <c r="D334" s="169">
        <v>4.5534731541094341E-3</v>
      </c>
      <c r="E334" s="169">
        <v>8.1120170501261801E-3</v>
      </c>
      <c r="F334" s="169">
        <v>1.2881515630783727E-2</v>
      </c>
      <c r="G334" s="169">
        <v>6.0024043068453055E-2</v>
      </c>
      <c r="H334" s="169">
        <v>7.1959346678371391E-3</v>
      </c>
      <c r="I334" s="169">
        <v>0</v>
      </c>
      <c r="J334" s="170">
        <v>7.9909870717482581E-3</v>
      </c>
      <c r="K334" s="170">
        <v>0</v>
      </c>
      <c r="L334" s="169">
        <v>1.4700424910080603E-2</v>
      </c>
      <c r="M334" s="169">
        <v>1.6901690014431665E-2</v>
      </c>
      <c r="N334" s="169">
        <v>2.8130117649422803E-2</v>
      </c>
      <c r="O334" s="170">
        <v>1.7650314562598527E-2</v>
      </c>
      <c r="P334" s="170">
        <v>0</v>
      </c>
      <c r="Q334" s="169">
        <v>0</v>
      </c>
      <c r="R334" s="170">
        <v>0</v>
      </c>
      <c r="S334" s="170">
        <v>0</v>
      </c>
      <c r="T334" s="170">
        <v>0</v>
      </c>
      <c r="U334" s="170">
        <v>1.2876105069926497E-2</v>
      </c>
      <c r="V334" s="380"/>
    </row>
    <row r="335" spans="1:22">
      <c r="A335" s="166"/>
      <c r="B335" s="199" t="s">
        <v>63</v>
      </c>
      <c r="C335" s="200">
        <v>-5.0914221952564093E-2</v>
      </c>
      <c r="D335" s="201">
        <v>-0.30715621787042569</v>
      </c>
      <c r="E335" s="201">
        <v>-0.1871132202351562</v>
      </c>
      <c r="F335" s="201">
        <v>-0.27425405836040956</v>
      </c>
      <c r="G335" s="201">
        <v>0.77268384377402954</v>
      </c>
      <c r="H335" s="201">
        <v>-3.427354923596021E-2</v>
      </c>
      <c r="I335" s="201">
        <v>0</v>
      </c>
      <c r="J335" s="202">
        <v>-9.0908681954410098E-2</v>
      </c>
      <c r="K335" s="202">
        <v>0</v>
      </c>
      <c r="L335" s="201">
        <v>0.13741133442264544</v>
      </c>
      <c r="M335" s="201">
        <v>0.11961909219269477</v>
      </c>
      <c r="N335" s="201">
        <v>0.11307062309413446</v>
      </c>
      <c r="O335" s="202">
        <v>0.12014232028247779</v>
      </c>
      <c r="P335" s="202">
        <v>0</v>
      </c>
      <c r="Q335" s="201">
        <v>0</v>
      </c>
      <c r="R335" s="202">
        <v>0</v>
      </c>
      <c r="S335" s="202">
        <v>0</v>
      </c>
      <c r="T335" s="202">
        <v>0</v>
      </c>
      <c r="U335" s="202">
        <v>9.1795673306648701E-3</v>
      </c>
      <c r="V335" s="380"/>
    </row>
    <row r="336" spans="1:22">
      <c r="A336" s="166"/>
      <c r="B336" s="246" t="s">
        <v>64</v>
      </c>
      <c r="C336" s="297">
        <v>9.6042654444048192E-2</v>
      </c>
      <c r="D336" s="298">
        <v>0.15244931347272306</v>
      </c>
      <c r="E336" s="298">
        <v>8.2395430875188982E-2</v>
      </c>
      <c r="F336" s="298">
        <v>0.1965355937208475</v>
      </c>
      <c r="G336" s="298">
        <v>0.17549043335619108</v>
      </c>
      <c r="H336" s="298">
        <v>9.629042267117148E-2</v>
      </c>
      <c r="I336" s="298">
        <v>0</v>
      </c>
      <c r="J336" s="307">
        <v>0.10629744042098044</v>
      </c>
      <c r="K336" s="307">
        <v>0</v>
      </c>
      <c r="L336" s="298">
        <v>0.34023013006988329</v>
      </c>
      <c r="M336" s="298">
        <v>0.37219117501951038</v>
      </c>
      <c r="N336" s="298">
        <v>0.37700176574455563</v>
      </c>
      <c r="O336" s="307">
        <v>0.35840064229457985</v>
      </c>
      <c r="P336" s="165">
        <v>0</v>
      </c>
      <c r="Q336" s="298">
        <v>0</v>
      </c>
      <c r="R336" s="307">
        <v>0</v>
      </c>
      <c r="S336" s="307">
        <v>0</v>
      </c>
      <c r="T336" s="307">
        <v>0</v>
      </c>
      <c r="U336" s="307">
        <v>0.23601685830500724</v>
      </c>
      <c r="V336" s="380"/>
    </row>
    <row r="337" spans="1:22">
      <c r="A337" s="166"/>
      <c r="B337" s="167" t="s">
        <v>65</v>
      </c>
      <c r="C337" s="168">
        <v>0.10429971964814987</v>
      </c>
      <c r="D337" s="169">
        <v>0.17631222284208428</v>
      </c>
      <c r="E337" s="169">
        <v>9.4887292813387356E-2</v>
      </c>
      <c r="F337" s="169">
        <v>0.21764646498637144</v>
      </c>
      <c r="G337" s="169">
        <v>0.18279352579403105</v>
      </c>
      <c r="H337" s="169">
        <v>9.3856254404728057E-2</v>
      </c>
      <c r="I337" s="169">
        <v>0</v>
      </c>
      <c r="J337" s="170">
        <v>0.11763617966238225</v>
      </c>
      <c r="K337" s="170">
        <v>0</v>
      </c>
      <c r="L337" s="169">
        <v>0.37157267237921821</v>
      </c>
      <c r="M337" s="169">
        <v>0.39103732293387866</v>
      </c>
      <c r="N337" s="169">
        <v>0.41014914651422141</v>
      </c>
      <c r="O337" s="170">
        <v>0.38507358190591939</v>
      </c>
      <c r="P337" s="170">
        <v>0</v>
      </c>
      <c r="Q337" s="169">
        <v>0</v>
      </c>
      <c r="R337" s="170">
        <v>0</v>
      </c>
      <c r="S337" s="170">
        <v>0</v>
      </c>
      <c r="T337" s="170">
        <v>0</v>
      </c>
      <c r="U337" s="170">
        <v>0.25289024039523089</v>
      </c>
      <c r="V337" s="380"/>
    </row>
    <row r="338" spans="1:22">
      <c r="A338" s="166"/>
      <c r="B338" s="199" t="s">
        <v>66</v>
      </c>
      <c r="C338" s="200">
        <v>0.82570652041016745</v>
      </c>
      <c r="D338" s="201">
        <v>2.3862909369361223</v>
      </c>
      <c r="E338" s="201">
        <v>1.2491861938198374</v>
      </c>
      <c r="F338" s="201">
        <v>2.1110871265523938</v>
      </c>
      <c r="G338" s="201">
        <v>0.73030924378399698</v>
      </c>
      <c r="H338" s="201">
        <v>-0.24341682664434233</v>
      </c>
      <c r="I338" s="201">
        <v>0</v>
      </c>
      <c r="J338" s="202">
        <v>1.1338739241401816</v>
      </c>
      <c r="K338" s="202">
        <v>0</v>
      </c>
      <c r="L338" s="201">
        <v>3.1342542309334922</v>
      </c>
      <c r="M338" s="201">
        <v>1.8846147914368283</v>
      </c>
      <c r="N338" s="201">
        <v>3.3147380769665782</v>
      </c>
      <c r="O338" s="202">
        <v>2.6672939611339541</v>
      </c>
      <c r="P338" s="202">
        <v>0</v>
      </c>
      <c r="Q338" s="201">
        <v>0</v>
      </c>
      <c r="R338" s="202">
        <v>0</v>
      </c>
      <c r="S338" s="202">
        <v>0</v>
      </c>
      <c r="T338" s="202">
        <v>0</v>
      </c>
      <c r="U338" s="202">
        <v>1.6873382090223654</v>
      </c>
      <c r="V338" s="380"/>
    </row>
    <row r="339" spans="1:22">
      <c r="A339" s="166"/>
      <c r="B339" s="246" t="s">
        <v>67</v>
      </c>
      <c r="C339" s="297">
        <v>1.0478328971860065E-4</v>
      </c>
      <c r="D339" s="298">
        <v>0</v>
      </c>
      <c r="E339" s="298">
        <v>2.270388879556526E-4</v>
      </c>
      <c r="F339" s="298">
        <v>5.033523264944531E-4</v>
      </c>
      <c r="G339" s="298">
        <v>4.2051550966076398E-3</v>
      </c>
      <c r="H339" s="298">
        <v>2.5684341170792249E-3</v>
      </c>
      <c r="I339" s="298">
        <v>0</v>
      </c>
      <c r="J339" s="307">
        <v>4.7497217717189206E-4</v>
      </c>
      <c r="K339" s="307">
        <v>0</v>
      </c>
      <c r="L339" s="298">
        <v>5.5547196308556527E-4</v>
      </c>
      <c r="M339" s="298">
        <v>7.0785628783099162E-3</v>
      </c>
      <c r="N339" s="298">
        <v>9.9693937610359027E-3</v>
      </c>
      <c r="O339" s="307">
        <v>4.5729575539154403E-3</v>
      </c>
      <c r="P339" s="165">
        <v>0</v>
      </c>
      <c r="Q339" s="298">
        <v>0</v>
      </c>
      <c r="R339" s="307">
        <v>0</v>
      </c>
      <c r="S339" s="307">
        <v>0</v>
      </c>
      <c r="T339" s="307">
        <v>0</v>
      </c>
      <c r="U339" s="307">
        <v>2.5835859258975325E-3</v>
      </c>
      <c r="V339" s="380"/>
    </row>
    <row r="340" spans="1:22">
      <c r="A340" s="166"/>
      <c r="B340" s="167" t="s">
        <v>68</v>
      </c>
      <c r="C340" s="168">
        <v>1.4779075352557545E-4</v>
      </c>
      <c r="D340" s="169">
        <v>2.5632133648960392E-4</v>
      </c>
      <c r="E340" s="169">
        <v>9.2579284769995503E-5</v>
      </c>
      <c r="F340" s="659">
        <v>0</v>
      </c>
      <c r="G340" s="169">
        <v>3.2022579577329824E-3</v>
      </c>
      <c r="H340" s="169">
        <v>7.4370355716564251E-3</v>
      </c>
      <c r="I340" s="169">
        <v>0</v>
      </c>
      <c r="J340" s="170">
        <v>5.538287902632623E-4</v>
      </c>
      <c r="K340" s="170">
        <v>0</v>
      </c>
      <c r="L340" s="169">
        <v>3.4028761365927323E-4</v>
      </c>
      <c r="M340" s="169">
        <v>7.8346268247606356E-3</v>
      </c>
      <c r="N340" s="169">
        <v>8.4142947565129158E-3</v>
      </c>
      <c r="O340" s="170">
        <v>4.4745194242749526E-3</v>
      </c>
      <c r="P340" s="170">
        <v>0</v>
      </c>
      <c r="Q340" s="169">
        <v>0</v>
      </c>
      <c r="R340" s="170">
        <v>0</v>
      </c>
      <c r="S340" s="170">
        <v>0</v>
      </c>
      <c r="T340" s="170">
        <v>0</v>
      </c>
      <c r="U340" s="170">
        <v>2.5366828139664591E-3</v>
      </c>
      <c r="V340" s="380"/>
    </row>
    <row r="341" spans="1:22">
      <c r="A341" s="166"/>
      <c r="B341" s="199" t="s">
        <v>69</v>
      </c>
      <c r="C341" s="200">
        <v>4.3007463806974807E-3</v>
      </c>
      <c r="D341" s="201">
        <v>0</v>
      </c>
      <c r="E341" s="201">
        <v>-1.344596031856571E-2</v>
      </c>
      <c r="F341" s="201">
        <v>-5.0335232649445311E-2</v>
      </c>
      <c r="G341" s="201">
        <v>-0.10028971388746574</v>
      </c>
      <c r="H341" s="201">
        <v>0.48686014545772005</v>
      </c>
      <c r="I341" s="201">
        <v>0</v>
      </c>
      <c r="J341" s="202">
        <v>7.8856613091370237E-3</v>
      </c>
      <c r="K341" s="202">
        <v>0</v>
      </c>
      <c r="L341" s="201">
        <v>-2.1518434942629203E-2</v>
      </c>
      <c r="M341" s="201">
        <v>7.5606394645071934E-2</v>
      </c>
      <c r="N341" s="201">
        <v>-0.15550990045229868</v>
      </c>
      <c r="O341" s="202">
        <v>-9.8438129640487752E-3</v>
      </c>
      <c r="P341" s="202">
        <v>0</v>
      </c>
      <c r="Q341" s="201">
        <v>0</v>
      </c>
      <c r="R341" s="202">
        <v>0</v>
      </c>
      <c r="S341" s="202">
        <v>0</v>
      </c>
      <c r="T341" s="202">
        <v>0</v>
      </c>
      <c r="U341" s="202">
        <v>-4.69031119310734E-3</v>
      </c>
      <c r="V341" s="380"/>
    </row>
    <row r="342" spans="1:22">
      <c r="A342" s="166"/>
      <c r="B342" s="246" t="s">
        <v>70</v>
      </c>
      <c r="C342" s="297">
        <v>4.4026970229403453E-4</v>
      </c>
      <c r="D342" s="298">
        <v>0</v>
      </c>
      <c r="E342" s="298">
        <v>1.2139362506299345E-4</v>
      </c>
      <c r="F342" s="298">
        <v>0</v>
      </c>
      <c r="G342" s="298">
        <v>0</v>
      </c>
      <c r="H342" s="298">
        <v>1.2123928382633479E-3</v>
      </c>
      <c r="I342" s="298">
        <v>0</v>
      </c>
      <c r="J342" s="307">
        <v>2.77672935208908E-4</v>
      </c>
      <c r="K342" s="307">
        <v>0</v>
      </c>
      <c r="L342" s="298">
        <v>5.9977597218042599E-4</v>
      </c>
      <c r="M342" s="298">
        <v>3.2492417605308821E-4</v>
      </c>
      <c r="N342" s="298">
        <v>2.9405532666274279E-3</v>
      </c>
      <c r="O342" s="307">
        <v>8.7355263664287534E-4</v>
      </c>
      <c r="P342" s="165">
        <v>0</v>
      </c>
      <c r="Q342" s="298">
        <v>0</v>
      </c>
      <c r="R342" s="307">
        <v>0</v>
      </c>
      <c r="S342" s="307">
        <v>0</v>
      </c>
      <c r="T342" s="307">
        <v>0</v>
      </c>
      <c r="U342" s="307">
        <v>5.8428216279689206E-4</v>
      </c>
      <c r="V342" s="380"/>
    </row>
    <row r="343" spans="1:22">
      <c r="A343" s="166"/>
      <c r="B343" s="167" t="s">
        <v>71</v>
      </c>
      <c r="C343" s="168">
        <v>4.6184610476742333E-4</v>
      </c>
      <c r="D343" s="169">
        <v>0</v>
      </c>
      <c r="E343" s="169">
        <v>0</v>
      </c>
      <c r="F343" s="169">
        <v>0</v>
      </c>
      <c r="G343" s="169">
        <v>0</v>
      </c>
      <c r="H343" s="169">
        <v>1.6815242522780945E-3</v>
      </c>
      <c r="I343" s="169">
        <v>0</v>
      </c>
      <c r="J343" s="170">
        <v>2.6158628585996039E-4</v>
      </c>
      <c r="K343" s="170">
        <v>0</v>
      </c>
      <c r="L343" s="169">
        <v>5.3247520929828413E-4</v>
      </c>
      <c r="M343" s="169">
        <v>2.0969966576861625E-4</v>
      </c>
      <c r="N343" s="169">
        <v>2.0784563913475934E-3</v>
      </c>
      <c r="O343" s="170">
        <v>6.5163478334227538E-4</v>
      </c>
      <c r="P343" s="170">
        <v>0</v>
      </c>
      <c r="Q343" s="169">
        <v>0</v>
      </c>
      <c r="R343" s="170">
        <v>0</v>
      </c>
      <c r="S343" s="170">
        <v>0</v>
      </c>
      <c r="T343" s="170">
        <v>0</v>
      </c>
      <c r="U343" s="170">
        <v>4.5884980519069482E-4</v>
      </c>
      <c r="V343" s="380"/>
    </row>
    <row r="344" spans="1:22">
      <c r="A344" s="166"/>
      <c r="B344" s="199" t="s">
        <v>72</v>
      </c>
      <c r="C344" s="200">
        <v>2.15764024733888E-3</v>
      </c>
      <c r="D344" s="201">
        <v>0</v>
      </c>
      <c r="E344" s="201">
        <v>-1.2139362506299345E-2</v>
      </c>
      <c r="F344" s="201">
        <v>0</v>
      </c>
      <c r="G344" s="201">
        <v>0</v>
      </c>
      <c r="H344" s="201">
        <v>4.6913141401474658E-2</v>
      </c>
      <c r="I344" s="201">
        <v>0</v>
      </c>
      <c r="J344" s="202">
        <v>-1.6086649348947613E-3</v>
      </c>
      <c r="K344" s="202">
        <v>0</v>
      </c>
      <c r="L344" s="201">
        <v>-6.7300762882141849E-3</v>
      </c>
      <c r="M344" s="201">
        <v>-1.1522451028447197E-2</v>
      </c>
      <c r="N344" s="201">
        <v>-8.6209687527983442E-2</v>
      </c>
      <c r="O344" s="202">
        <v>-2.2191785330059995E-2</v>
      </c>
      <c r="P344" s="202">
        <v>0</v>
      </c>
      <c r="Q344" s="201">
        <v>0</v>
      </c>
      <c r="R344" s="202">
        <v>0</v>
      </c>
      <c r="S344" s="202">
        <v>0</v>
      </c>
      <c r="T344" s="202">
        <v>0</v>
      </c>
      <c r="U344" s="202">
        <v>-1.2543235760619723E-2</v>
      </c>
      <c r="V344" s="380"/>
    </row>
    <row r="345" spans="1:22">
      <c r="A345" s="166"/>
      <c r="B345" s="246" t="s">
        <v>73</v>
      </c>
      <c r="C345" s="297">
        <v>0</v>
      </c>
      <c r="D345" s="298">
        <v>0</v>
      </c>
      <c r="E345" s="298">
        <v>0</v>
      </c>
      <c r="F345" s="298">
        <v>0</v>
      </c>
      <c r="G345" s="298">
        <v>0</v>
      </c>
      <c r="H345" s="298">
        <v>0</v>
      </c>
      <c r="I345" s="298">
        <v>0</v>
      </c>
      <c r="J345" s="307">
        <v>0</v>
      </c>
      <c r="K345" s="307">
        <v>0</v>
      </c>
      <c r="L345" s="298">
        <v>0</v>
      </c>
      <c r="M345" s="298">
        <v>0</v>
      </c>
      <c r="N345" s="298">
        <v>0</v>
      </c>
      <c r="O345" s="307">
        <v>0</v>
      </c>
      <c r="P345" s="165">
        <v>0</v>
      </c>
      <c r="Q345" s="298">
        <v>0</v>
      </c>
      <c r="R345" s="307">
        <v>0</v>
      </c>
      <c r="S345" s="307">
        <v>0</v>
      </c>
      <c r="T345" s="307">
        <v>0</v>
      </c>
      <c r="U345" s="307">
        <v>0</v>
      </c>
      <c r="V345" s="380"/>
    </row>
    <row r="346" spans="1:22">
      <c r="A346" s="166"/>
      <c r="B346" s="167" t="s">
        <v>74</v>
      </c>
      <c r="C346" s="168">
        <v>0</v>
      </c>
      <c r="D346" s="169">
        <v>0</v>
      </c>
      <c r="E346" s="169">
        <v>0</v>
      </c>
      <c r="F346" s="169">
        <v>0</v>
      </c>
      <c r="G346" s="169">
        <v>0</v>
      </c>
      <c r="H346" s="169">
        <v>0</v>
      </c>
      <c r="I346" s="169">
        <v>0</v>
      </c>
      <c r="J346" s="170">
        <v>0</v>
      </c>
      <c r="K346" s="170">
        <v>0</v>
      </c>
      <c r="L346" s="169">
        <v>0</v>
      </c>
      <c r="M346" s="169">
        <v>0</v>
      </c>
      <c r="N346" s="169">
        <v>0</v>
      </c>
      <c r="O346" s="170">
        <v>0</v>
      </c>
      <c r="P346" s="170">
        <v>0</v>
      </c>
      <c r="Q346" s="169">
        <v>0</v>
      </c>
      <c r="R346" s="170">
        <v>0</v>
      </c>
      <c r="S346" s="170">
        <v>0</v>
      </c>
      <c r="T346" s="170">
        <v>0</v>
      </c>
      <c r="U346" s="170">
        <v>0</v>
      </c>
      <c r="V346" s="380"/>
    </row>
    <row r="347" spans="1:22" ht="15.75" thickBot="1">
      <c r="A347" s="166"/>
      <c r="B347" s="303" t="s">
        <v>75</v>
      </c>
      <c r="C347" s="304">
        <v>0</v>
      </c>
      <c r="D347" s="305">
        <v>0</v>
      </c>
      <c r="E347" s="305">
        <v>0</v>
      </c>
      <c r="F347" s="305">
        <v>0</v>
      </c>
      <c r="G347" s="305">
        <v>0</v>
      </c>
      <c r="H347" s="305">
        <v>0</v>
      </c>
      <c r="I347" s="305">
        <v>0</v>
      </c>
      <c r="J347" s="308">
        <v>0</v>
      </c>
      <c r="K347" s="308">
        <v>0</v>
      </c>
      <c r="L347" s="305">
        <v>0</v>
      </c>
      <c r="M347" s="305">
        <v>0</v>
      </c>
      <c r="N347" s="305">
        <v>0</v>
      </c>
      <c r="O347" s="308">
        <v>0</v>
      </c>
      <c r="P347" s="308">
        <v>0</v>
      </c>
      <c r="Q347" s="305">
        <v>0</v>
      </c>
      <c r="R347" s="308">
        <v>0</v>
      </c>
      <c r="S347" s="308">
        <v>0</v>
      </c>
      <c r="T347" s="308">
        <v>0</v>
      </c>
      <c r="U347" s="308">
        <v>0</v>
      </c>
      <c r="V347" s="380"/>
    </row>
    <row r="348" spans="1:22" ht="15.75" thickTop="1">
      <c r="A348" s="166"/>
      <c r="B348" s="167" t="s">
        <v>76</v>
      </c>
      <c r="C348" s="168">
        <v>0.81150489438325735</v>
      </c>
      <c r="D348" s="169">
        <v>0.4937541863990505</v>
      </c>
      <c r="E348" s="169">
        <v>0.66927471435668162</v>
      </c>
      <c r="F348" s="169">
        <v>0.52576745665659297</v>
      </c>
      <c r="G348" s="169">
        <v>0.67239541131817993</v>
      </c>
      <c r="H348" s="169">
        <v>0.81052631578947365</v>
      </c>
      <c r="I348" s="169">
        <v>0</v>
      </c>
      <c r="J348" s="170">
        <v>0.73685746051521439</v>
      </c>
      <c r="K348" s="170">
        <v>0</v>
      </c>
      <c r="L348" s="169">
        <v>0</v>
      </c>
      <c r="M348" s="169">
        <v>0</v>
      </c>
      <c r="N348" s="169">
        <v>0</v>
      </c>
      <c r="O348" s="170">
        <v>0</v>
      </c>
      <c r="P348" s="170">
        <v>0</v>
      </c>
      <c r="Q348" s="169">
        <v>0</v>
      </c>
      <c r="R348" s="170">
        <v>0</v>
      </c>
      <c r="S348" s="170">
        <v>0</v>
      </c>
      <c r="T348" s="170">
        <v>0</v>
      </c>
      <c r="U348" s="170">
        <v>0.73685746051521439</v>
      </c>
      <c r="V348" s="380"/>
    </row>
    <row r="349" spans="1:22">
      <c r="A349" s="166"/>
      <c r="B349" s="167" t="s">
        <v>77</v>
      </c>
      <c r="C349" s="168">
        <v>0.82430993423642618</v>
      </c>
      <c r="D349" s="169">
        <v>0.48381452318460194</v>
      </c>
      <c r="E349" s="169">
        <v>0.68388769007190808</v>
      </c>
      <c r="F349" s="169">
        <v>0.54652664199018675</v>
      </c>
      <c r="G349" s="169">
        <v>0.68559545030133262</v>
      </c>
      <c r="H349" s="169">
        <v>0.76470588235294112</v>
      </c>
      <c r="I349" s="169">
        <v>0</v>
      </c>
      <c r="J349" s="170">
        <v>0.74807432979125088</v>
      </c>
      <c r="K349" s="170">
        <v>0</v>
      </c>
      <c r="L349" s="169">
        <v>0</v>
      </c>
      <c r="M349" s="169">
        <v>0</v>
      </c>
      <c r="N349" s="169">
        <v>0</v>
      </c>
      <c r="O349" s="170">
        <v>0</v>
      </c>
      <c r="P349" s="170">
        <v>0</v>
      </c>
      <c r="Q349" s="169">
        <v>0</v>
      </c>
      <c r="R349" s="170">
        <v>0</v>
      </c>
      <c r="S349" s="170">
        <v>0</v>
      </c>
      <c r="T349" s="170">
        <v>0</v>
      </c>
      <c r="U349" s="170">
        <v>0.74807432979125088</v>
      </c>
      <c r="V349" s="380"/>
    </row>
    <row r="350" spans="1:22">
      <c r="A350" s="166"/>
      <c r="B350" s="199" t="s">
        <v>78</v>
      </c>
      <c r="C350" s="200">
        <v>1.2805039853168831</v>
      </c>
      <c r="D350" s="201">
        <v>-0.99396632144485575</v>
      </c>
      <c r="E350" s="201">
        <v>1.4612975715226462</v>
      </c>
      <c r="F350" s="201">
        <v>2.0759185333593777</v>
      </c>
      <c r="G350" s="201">
        <v>1.3200038983152695</v>
      </c>
      <c r="H350" s="656">
        <v>-4.5820433436532522</v>
      </c>
      <c r="I350" s="201">
        <v>0</v>
      </c>
      <c r="J350" s="202">
        <v>1.121686927603649</v>
      </c>
      <c r="K350" s="202">
        <v>0</v>
      </c>
      <c r="L350" s="201">
        <v>0</v>
      </c>
      <c r="M350" s="201">
        <v>0</v>
      </c>
      <c r="N350" s="201">
        <v>0</v>
      </c>
      <c r="O350" s="202">
        <v>0</v>
      </c>
      <c r="P350" s="202">
        <v>0</v>
      </c>
      <c r="Q350" s="201">
        <v>0</v>
      </c>
      <c r="R350" s="202">
        <v>0</v>
      </c>
      <c r="S350" s="202">
        <v>0</v>
      </c>
      <c r="T350" s="202">
        <v>0</v>
      </c>
      <c r="U350" s="202">
        <v>1.121686927603649</v>
      </c>
      <c r="V350" s="380"/>
    </row>
    <row r="351" spans="1:22">
      <c r="A351" s="166"/>
      <c r="B351" s="246" t="s">
        <v>79</v>
      </c>
      <c r="C351" s="297">
        <v>4.915147943142515E-2</v>
      </c>
      <c r="D351" s="298">
        <v>5.4220477807678295E-2</v>
      </c>
      <c r="E351" s="298">
        <v>6.3344510680576255E-2</v>
      </c>
      <c r="F351" s="298">
        <v>0.20725306187370765</v>
      </c>
      <c r="G351" s="298">
        <v>4.3456010917309905E-2</v>
      </c>
      <c r="H351" s="298">
        <v>3.308270676691729E-2</v>
      </c>
      <c r="I351" s="298">
        <v>0</v>
      </c>
      <c r="J351" s="307">
        <v>5.5117054746453661E-2</v>
      </c>
      <c r="K351" s="307">
        <v>0</v>
      </c>
      <c r="L351" s="298">
        <v>0</v>
      </c>
      <c r="M351" s="298">
        <v>0</v>
      </c>
      <c r="N351" s="298">
        <v>0</v>
      </c>
      <c r="O351" s="307">
        <v>0</v>
      </c>
      <c r="P351" s="165">
        <v>0</v>
      </c>
      <c r="Q351" s="298">
        <v>0</v>
      </c>
      <c r="R351" s="307">
        <v>0</v>
      </c>
      <c r="S351" s="307">
        <v>0</v>
      </c>
      <c r="T351" s="307">
        <v>0</v>
      </c>
      <c r="U351" s="307">
        <v>5.5117054746453661E-2</v>
      </c>
      <c r="V351" s="380"/>
    </row>
    <row r="352" spans="1:22">
      <c r="A352" s="166"/>
      <c r="B352" s="167" t="s">
        <v>80</v>
      </c>
      <c r="C352" s="168">
        <v>4.2233250940632079E-2</v>
      </c>
      <c r="D352" s="169">
        <v>4.6566362303303639E-2</v>
      </c>
      <c r="E352" s="169">
        <v>4.6403653910275365E-2</v>
      </c>
      <c r="F352" s="169">
        <v>0.26461220624946202</v>
      </c>
      <c r="G352" s="169">
        <v>3.9215686274509803E-2</v>
      </c>
      <c r="H352" s="659">
        <v>0</v>
      </c>
      <c r="I352" s="169">
        <v>0</v>
      </c>
      <c r="J352" s="170">
        <v>4.6907869895895141E-2</v>
      </c>
      <c r="K352" s="170">
        <v>0</v>
      </c>
      <c r="L352" s="169">
        <v>0</v>
      </c>
      <c r="M352" s="169">
        <v>0</v>
      </c>
      <c r="N352" s="169">
        <v>0</v>
      </c>
      <c r="O352" s="170">
        <v>0</v>
      </c>
      <c r="P352" s="170">
        <v>0</v>
      </c>
      <c r="Q352" s="169">
        <v>0</v>
      </c>
      <c r="R352" s="170">
        <v>0</v>
      </c>
      <c r="S352" s="170">
        <v>0</v>
      </c>
      <c r="T352" s="170">
        <v>0</v>
      </c>
      <c r="U352" s="170">
        <v>4.6907869895895141E-2</v>
      </c>
      <c r="V352" s="380"/>
    </row>
    <row r="353" spans="1:22">
      <c r="A353" s="166"/>
      <c r="B353" s="199" t="s">
        <v>81</v>
      </c>
      <c r="C353" s="200">
        <v>-0.69182284907930713</v>
      </c>
      <c r="D353" s="201">
        <v>-0.76541155043746567</v>
      </c>
      <c r="E353" s="201">
        <v>-1.6940856770300889</v>
      </c>
      <c r="F353" s="656">
        <v>5.7359144375754374</v>
      </c>
      <c r="G353" s="201">
        <v>-0.42403246428001018</v>
      </c>
      <c r="H353" s="656">
        <v>-3.3082706766917291</v>
      </c>
      <c r="I353" s="201">
        <v>0</v>
      </c>
      <c r="J353" s="202">
        <v>-0.82091848505585208</v>
      </c>
      <c r="K353" s="202">
        <v>0</v>
      </c>
      <c r="L353" s="201">
        <v>0</v>
      </c>
      <c r="M353" s="201">
        <v>0</v>
      </c>
      <c r="N353" s="201">
        <v>0</v>
      </c>
      <c r="O353" s="202">
        <v>0</v>
      </c>
      <c r="P353" s="202">
        <v>0</v>
      </c>
      <c r="Q353" s="201">
        <v>0</v>
      </c>
      <c r="R353" s="202">
        <v>0</v>
      </c>
      <c r="S353" s="202">
        <v>0</v>
      </c>
      <c r="T353" s="202">
        <v>0</v>
      </c>
      <c r="U353" s="202">
        <v>-0.82091848505585208</v>
      </c>
      <c r="V353" s="380"/>
    </row>
    <row r="354" spans="1:22">
      <c r="A354" s="166"/>
      <c r="B354" s="246" t="s">
        <v>82</v>
      </c>
      <c r="C354" s="297">
        <v>0.13556613132929646</v>
      </c>
      <c r="D354" s="298">
        <v>0.4520253357932712</v>
      </c>
      <c r="E354" s="298">
        <v>0.26702682563338304</v>
      </c>
      <c r="F354" s="298">
        <v>0.26697948146969935</v>
      </c>
      <c r="G354" s="298">
        <v>0.27647234423642797</v>
      </c>
      <c r="H354" s="298">
        <v>0.15639097744360902</v>
      </c>
      <c r="I354" s="298">
        <v>0</v>
      </c>
      <c r="J354" s="307">
        <v>0.20534716910711423</v>
      </c>
      <c r="K354" s="307">
        <v>0</v>
      </c>
      <c r="L354" s="298">
        <v>0</v>
      </c>
      <c r="M354" s="298">
        <v>0</v>
      </c>
      <c r="N354" s="298">
        <v>0</v>
      </c>
      <c r="O354" s="307">
        <v>0</v>
      </c>
      <c r="P354" s="165">
        <v>0</v>
      </c>
      <c r="Q354" s="298">
        <v>0</v>
      </c>
      <c r="R354" s="307">
        <v>0</v>
      </c>
      <c r="S354" s="307">
        <v>0</v>
      </c>
      <c r="T354" s="307">
        <v>0</v>
      </c>
      <c r="U354" s="307">
        <v>0.20534716910711423</v>
      </c>
      <c r="V354" s="380"/>
    </row>
    <row r="355" spans="1:22">
      <c r="A355" s="166"/>
      <c r="B355" s="167" t="s">
        <v>83</v>
      </c>
      <c r="C355" s="168">
        <v>0.13083444660286073</v>
      </c>
      <c r="D355" s="169">
        <v>0.46950821288184047</v>
      </c>
      <c r="E355" s="169">
        <v>0.26940667996200135</v>
      </c>
      <c r="F355" s="169">
        <v>0.1888611517603512</v>
      </c>
      <c r="G355" s="169">
        <v>0.26245649775061541</v>
      </c>
      <c r="H355" s="169">
        <v>0.23529411764705882</v>
      </c>
      <c r="I355" s="169">
        <v>0</v>
      </c>
      <c r="J355" s="170">
        <v>0.20289255083877231</v>
      </c>
      <c r="K355" s="170">
        <v>0</v>
      </c>
      <c r="L355" s="169">
        <v>0</v>
      </c>
      <c r="M355" s="169">
        <v>0</v>
      </c>
      <c r="N355" s="169">
        <v>0</v>
      </c>
      <c r="O355" s="170">
        <v>0</v>
      </c>
      <c r="P355" s="170">
        <v>0</v>
      </c>
      <c r="Q355" s="169">
        <v>0</v>
      </c>
      <c r="R355" s="170">
        <v>0</v>
      </c>
      <c r="S355" s="170">
        <v>0</v>
      </c>
      <c r="T355" s="170">
        <v>0</v>
      </c>
      <c r="U355" s="170">
        <v>0.20289255083877231</v>
      </c>
      <c r="V355" s="380"/>
    </row>
    <row r="356" spans="1:22">
      <c r="A356" s="166"/>
      <c r="B356" s="199" t="s">
        <v>84</v>
      </c>
      <c r="C356" s="200">
        <v>-0.47316847264357309</v>
      </c>
      <c r="D356" s="201">
        <v>1.7482877088569271</v>
      </c>
      <c r="E356" s="201">
        <v>0.23798543286183138</v>
      </c>
      <c r="F356" s="656">
        <v>-7.8118329709348151</v>
      </c>
      <c r="G356" s="201">
        <v>-1.4015846485812555</v>
      </c>
      <c r="H356" s="656">
        <v>7.8903140203449791</v>
      </c>
      <c r="I356" s="201">
        <v>0</v>
      </c>
      <c r="J356" s="202">
        <v>-0.24546182683419238</v>
      </c>
      <c r="K356" s="202">
        <v>0</v>
      </c>
      <c r="L356" s="201">
        <v>0</v>
      </c>
      <c r="M356" s="201">
        <v>0</v>
      </c>
      <c r="N356" s="201">
        <v>0</v>
      </c>
      <c r="O356" s="202">
        <v>0</v>
      </c>
      <c r="P356" s="202">
        <v>0</v>
      </c>
      <c r="Q356" s="201">
        <v>0</v>
      </c>
      <c r="R356" s="202">
        <v>0</v>
      </c>
      <c r="S356" s="202">
        <v>0</v>
      </c>
      <c r="T356" s="202">
        <v>0</v>
      </c>
      <c r="U356" s="202">
        <v>-0.24546182683419238</v>
      </c>
      <c r="V356" s="380"/>
    </row>
    <row r="357" spans="1:22">
      <c r="A357" s="166"/>
      <c r="B357" s="246" t="s">
        <v>85</v>
      </c>
      <c r="C357" s="297">
        <v>4.4046303151827607E-5</v>
      </c>
      <c r="D357" s="298">
        <v>0</v>
      </c>
      <c r="E357" s="298">
        <v>3.5394932935916542E-4</v>
      </c>
      <c r="F357" s="298">
        <v>0</v>
      </c>
      <c r="G357" s="298">
        <v>7.6762335280822214E-3</v>
      </c>
      <c r="H357" s="298">
        <v>0</v>
      </c>
      <c r="I357" s="298">
        <v>0</v>
      </c>
      <c r="J357" s="307">
        <v>3.3906056567918565E-4</v>
      </c>
      <c r="K357" s="307">
        <v>0</v>
      </c>
      <c r="L357" s="298">
        <v>0</v>
      </c>
      <c r="M357" s="298">
        <v>0</v>
      </c>
      <c r="N357" s="298">
        <v>0</v>
      </c>
      <c r="O357" s="307">
        <v>0</v>
      </c>
      <c r="P357" s="165">
        <v>0</v>
      </c>
      <c r="Q357" s="298">
        <v>0</v>
      </c>
      <c r="R357" s="307">
        <v>0</v>
      </c>
      <c r="S357" s="307">
        <v>0</v>
      </c>
      <c r="T357" s="307">
        <v>0</v>
      </c>
      <c r="U357" s="307">
        <v>3.3906056567918565E-4</v>
      </c>
      <c r="V357" s="380"/>
    </row>
    <row r="358" spans="1:22">
      <c r="A358" s="166"/>
      <c r="B358" s="167" t="s">
        <v>86</v>
      </c>
      <c r="C358" s="168">
        <v>1.9361209172050157E-4</v>
      </c>
      <c r="D358" s="169">
        <v>1.1090163025396473E-4</v>
      </c>
      <c r="E358" s="169">
        <v>3.0197605581524096E-4</v>
      </c>
      <c r="F358" s="169">
        <v>0</v>
      </c>
      <c r="G358" s="169">
        <v>1.2732365673542145E-2</v>
      </c>
      <c r="H358" s="169">
        <v>0</v>
      </c>
      <c r="I358" s="169">
        <v>0</v>
      </c>
      <c r="J358" s="170">
        <v>6.0278332164625929E-4</v>
      </c>
      <c r="K358" s="170">
        <v>0</v>
      </c>
      <c r="L358" s="169">
        <v>0</v>
      </c>
      <c r="M358" s="169">
        <v>0</v>
      </c>
      <c r="N358" s="169">
        <v>0</v>
      </c>
      <c r="O358" s="170">
        <v>0</v>
      </c>
      <c r="P358" s="170">
        <v>0</v>
      </c>
      <c r="Q358" s="169">
        <v>0</v>
      </c>
      <c r="R358" s="170">
        <v>0</v>
      </c>
      <c r="S358" s="170">
        <v>0</v>
      </c>
      <c r="T358" s="170">
        <v>0</v>
      </c>
      <c r="U358" s="170">
        <v>6.0278332164625929E-4</v>
      </c>
      <c r="V358" s="380"/>
    </row>
    <row r="359" spans="1:22">
      <c r="A359" s="166"/>
      <c r="B359" s="199" t="s">
        <v>87</v>
      </c>
      <c r="C359" s="200">
        <v>1.4956578856867395E-2</v>
      </c>
      <c r="D359" s="201">
        <v>0</v>
      </c>
      <c r="E359" s="201">
        <v>-5.1973273543924458E-3</v>
      </c>
      <c r="F359" s="201">
        <v>0</v>
      </c>
      <c r="G359" s="201">
        <v>0.50561321454599228</v>
      </c>
      <c r="H359" s="201">
        <v>0</v>
      </c>
      <c r="I359" s="201">
        <v>0</v>
      </c>
      <c r="J359" s="202">
        <v>2.6372275596707365E-2</v>
      </c>
      <c r="K359" s="202">
        <v>0</v>
      </c>
      <c r="L359" s="201">
        <v>0</v>
      </c>
      <c r="M359" s="201">
        <v>0</v>
      </c>
      <c r="N359" s="201">
        <v>0</v>
      </c>
      <c r="O359" s="202">
        <v>0</v>
      </c>
      <c r="P359" s="202">
        <v>0</v>
      </c>
      <c r="Q359" s="201">
        <v>0</v>
      </c>
      <c r="R359" s="202">
        <v>0</v>
      </c>
      <c r="S359" s="202">
        <v>0</v>
      </c>
      <c r="T359" s="202">
        <v>0</v>
      </c>
      <c r="U359" s="202">
        <v>2.6372275596707365E-2</v>
      </c>
      <c r="V359" s="380"/>
    </row>
    <row r="360" spans="1:22">
      <c r="A360" s="166"/>
      <c r="B360" s="246" t="s">
        <v>88</v>
      </c>
      <c r="C360" s="297">
        <v>3.7334485528691974E-3</v>
      </c>
      <c r="D360" s="298">
        <v>0</v>
      </c>
      <c r="E360" s="298">
        <v>0</v>
      </c>
      <c r="F360" s="298">
        <v>0</v>
      </c>
      <c r="G360" s="298">
        <v>0</v>
      </c>
      <c r="H360" s="298">
        <v>0</v>
      </c>
      <c r="I360" s="298">
        <v>0</v>
      </c>
      <c r="J360" s="307">
        <v>2.3392550655385673E-3</v>
      </c>
      <c r="K360" s="307">
        <v>0</v>
      </c>
      <c r="L360" s="298">
        <v>0</v>
      </c>
      <c r="M360" s="298">
        <v>0</v>
      </c>
      <c r="N360" s="298">
        <v>0</v>
      </c>
      <c r="O360" s="307">
        <v>0</v>
      </c>
      <c r="P360" s="165">
        <v>0</v>
      </c>
      <c r="Q360" s="298">
        <v>0</v>
      </c>
      <c r="R360" s="307">
        <v>0</v>
      </c>
      <c r="S360" s="307">
        <v>0</v>
      </c>
      <c r="T360" s="307">
        <v>0</v>
      </c>
      <c r="U360" s="307">
        <v>2.3392550655385673E-3</v>
      </c>
      <c r="V360" s="380"/>
    </row>
    <row r="361" spans="1:22">
      <c r="A361" s="166"/>
      <c r="B361" s="167" t="s">
        <v>89</v>
      </c>
      <c r="C361" s="168">
        <v>2.4287561283605143E-3</v>
      </c>
      <c r="D361" s="169">
        <v>0</v>
      </c>
      <c r="E361" s="169">
        <v>0</v>
      </c>
      <c r="F361" s="169">
        <v>0</v>
      </c>
      <c r="G361" s="169">
        <v>0</v>
      </c>
      <c r="H361" s="169">
        <v>0</v>
      </c>
      <c r="I361" s="169">
        <v>0</v>
      </c>
      <c r="J361" s="170">
        <v>1.5224661524354064E-3</v>
      </c>
      <c r="K361" s="170">
        <v>0</v>
      </c>
      <c r="L361" s="169">
        <v>0</v>
      </c>
      <c r="M361" s="169">
        <v>0</v>
      </c>
      <c r="N361" s="169">
        <v>0</v>
      </c>
      <c r="O361" s="170">
        <v>0</v>
      </c>
      <c r="P361" s="170">
        <v>0</v>
      </c>
      <c r="Q361" s="169">
        <v>0</v>
      </c>
      <c r="R361" s="170">
        <v>0</v>
      </c>
      <c r="S361" s="170">
        <v>0</v>
      </c>
      <c r="T361" s="170">
        <v>0</v>
      </c>
      <c r="U361" s="170">
        <v>1.5224661524354064E-3</v>
      </c>
      <c r="V361" s="380"/>
    </row>
    <row r="362" spans="1:22">
      <c r="A362" s="166"/>
      <c r="B362" s="199" t="s">
        <v>90</v>
      </c>
      <c r="C362" s="200">
        <v>-0.1304692424508683</v>
      </c>
      <c r="D362" s="201">
        <v>0</v>
      </c>
      <c r="E362" s="201">
        <v>0</v>
      </c>
      <c r="F362" s="201">
        <v>0</v>
      </c>
      <c r="G362" s="201">
        <v>0</v>
      </c>
      <c r="H362" s="201">
        <v>0</v>
      </c>
      <c r="I362" s="201">
        <v>0</v>
      </c>
      <c r="J362" s="202">
        <v>-8.1678891310316096E-2</v>
      </c>
      <c r="K362" s="202">
        <v>0</v>
      </c>
      <c r="L362" s="201">
        <v>0</v>
      </c>
      <c r="M362" s="201">
        <v>0</v>
      </c>
      <c r="N362" s="201">
        <v>0</v>
      </c>
      <c r="O362" s="202">
        <v>0</v>
      </c>
      <c r="P362" s="202">
        <v>0</v>
      </c>
      <c r="Q362" s="201">
        <v>0</v>
      </c>
      <c r="R362" s="202">
        <v>0</v>
      </c>
      <c r="S362" s="202">
        <v>0</v>
      </c>
      <c r="T362" s="202">
        <v>0</v>
      </c>
      <c r="U362" s="202">
        <v>-8.1678891310316096E-2</v>
      </c>
      <c r="V362" s="380"/>
    </row>
    <row r="363" spans="1:22">
      <c r="A363" s="166"/>
      <c r="B363" s="246" t="s">
        <v>91</v>
      </c>
      <c r="C363" s="297">
        <v>0</v>
      </c>
      <c r="D363" s="298">
        <v>0</v>
      </c>
      <c r="E363" s="298">
        <v>0</v>
      </c>
      <c r="F363" s="298">
        <v>0</v>
      </c>
      <c r="G363" s="298">
        <v>0</v>
      </c>
      <c r="H363" s="298">
        <v>0</v>
      </c>
      <c r="I363" s="298">
        <v>0</v>
      </c>
      <c r="J363" s="307">
        <v>0</v>
      </c>
      <c r="K363" s="307">
        <v>0</v>
      </c>
      <c r="L363" s="298">
        <v>0</v>
      </c>
      <c r="M363" s="298">
        <v>0</v>
      </c>
      <c r="N363" s="298">
        <v>0</v>
      </c>
      <c r="O363" s="307">
        <v>0</v>
      </c>
      <c r="P363" s="165">
        <v>0</v>
      </c>
      <c r="Q363" s="298">
        <v>0</v>
      </c>
      <c r="R363" s="307">
        <v>0</v>
      </c>
      <c r="S363" s="307">
        <v>0</v>
      </c>
      <c r="T363" s="307">
        <v>0</v>
      </c>
      <c r="U363" s="307">
        <v>0</v>
      </c>
      <c r="V363" s="380"/>
    </row>
    <row r="364" spans="1:22">
      <c r="A364" s="166"/>
      <c r="B364" s="167" t="s">
        <v>92</v>
      </c>
      <c r="C364" s="168">
        <v>0</v>
      </c>
      <c r="D364" s="169">
        <v>0</v>
      </c>
      <c r="E364" s="169">
        <v>0</v>
      </c>
      <c r="F364" s="169">
        <v>0</v>
      </c>
      <c r="G364" s="169">
        <v>0</v>
      </c>
      <c r="H364" s="169">
        <v>0</v>
      </c>
      <c r="I364" s="169">
        <v>0</v>
      </c>
      <c r="J364" s="170">
        <v>0</v>
      </c>
      <c r="K364" s="170">
        <v>0</v>
      </c>
      <c r="L364" s="169">
        <v>0</v>
      </c>
      <c r="M364" s="169">
        <v>0</v>
      </c>
      <c r="N364" s="169">
        <v>0</v>
      </c>
      <c r="O364" s="170">
        <v>0</v>
      </c>
      <c r="P364" s="170">
        <v>0</v>
      </c>
      <c r="Q364" s="169">
        <v>0</v>
      </c>
      <c r="R364" s="170">
        <v>0</v>
      </c>
      <c r="S364" s="170">
        <v>0</v>
      </c>
      <c r="T364" s="170">
        <v>0</v>
      </c>
      <c r="U364" s="170">
        <v>0</v>
      </c>
      <c r="V364" s="380"/>
    </row>
    <row r="365" spans="1:22" ht="15.75" thickBot="1">
      <c r="A365" s="310"/>
      <c r="B365" s="311" t="s">
        <v>93</v>
      </c>
      <c r="C365" s="312">
        <v>0</v>
      </c>
      <c r="D365" s="313">
        <v>0</v>
      </c>
      <c r="E365" s="313">
        <v>0</v>
      </c>
      <c r="F365" s="313">
        <v>0</v>
      </c>
      <c r="G365" s="313">
        <v>0</v>
      </c>
      <c r="H365" s="313">
        <v>0</v>
      </c>
      <c r="I365" s="313">
        <v>0</v>
      </c>
      <c r="J365" s="314">
        <v>0</v>
      </c>
      <c r="K365" s="314">
        <v>0</v>
      </c>
      <c r="L365" s="313">
        <v>0</v>
      </c>
      <c r="M365" s="313">
        <v>0</v>
      </c>
      <c r="N365" s="313">
        <v>0</v>
      </c>
      <c r="O365" s="314">
        <v>0</v>
      </c>
      <c r="P365" s="314">
        <v>0</v>
      </c>
      <c r="Q365" s="313">
        <v>0</v>
      </c>
      <c r="R365" s="314">
        <v>0</v>
      </c>
      <c r="S365" s="314">
        <v>0</v>
      </c>
      <c r="T365" s="314">
        <v>0</v>
      </c>
      <c r="U365" s="314">
        <v>0</v>
      </c>
      <c r="V365" s="380"/>
    </row>
    <row r="366" spans="1:22">
      <c r="A366" s="296" t="s">
        <v>49</v>
      </c>
      <c r="B366" s="246" t="s">
        <v>59</v>
      </c>
      <c r="C366" s="297">
        <v>0.86921735959984958</v>
      </c>
      <c r="D366" s="298">
        <v>0</v>
      </c>
      <c r="E366" s="298">
        <v>0.83450515524488966</v>
      </c>
      <c r="F366" s="298">
        <v>0.66859759154254905</v>
      </c>
      <c r="G366" s="298">
        <v>0.81877996114582252</v>
      </c>
      <c r="H366" s="298">
        <v>0.76505151172388497</v>
      </c>
      <c r="I366" s="298">
        <v>0</v>
      </c>
      <c r="J366" s="307">
        <v>0.83927740059885081</v>
      </c>
      <c r="K366" s="307">
        <v>0.66137534299330858</v>
      </c>
      <c r="L366" s="298">
        <v>0.70284151167732734</v>
      </c>
      <c r="M366" s="298">
        <v>0.76038101001695757</v>
      </c>
      <c r="N366" s="298">
        <v>0.65176331755779904</v>
      </c>
      <c r="O366" s="307">
        <v>0.6909082227103428</v>
      </c>
      <c r="P366" s="165">
        <v>0</v>
      </c>
      <c r="Q366" s="298">
        <v>0</v>
      </c>
      <c r="R366" s="307">
        <v>0</v>
      </c>
      <c r="S366" s="307">
        <v>0</v>
      </c>
      <c r="T366" s="307">
        <v>0</v>
      </c>
      <c r="U366" s="307">
        <v>0.78508515828832004</v>
      </c>
      <c r="V366" s="380"/>
    </row>
    <row r="367" spans="1:22">
      <c r="A367" s="166"/>
      <c r="B367" s="167" t="s">
        <v>60</v>
      </c>
      <c r="C367" s="168">
        <v>0.86651818634405264</v>
      </c>
      <c r="D367" s="169">
        <v>0</v>
      </c>
      <c r="E367" s="169">
        <v>0.80775748343695108</v>
      </c>
      <c r="F367" s="169">
        <v>0.65403103815339791</v>
      </c>
      <c r="G367" s="169">
        <v>0.81626382397826713</v>
      </c>
      <c r="H367" s="169">
        <v>0.77180054040776225</v>
      </c>
      <c r="I367" s="169">
        <v>0</v>
      </c>
      <c r="J367" s="170">
        <v>0.83235597930951144</v>
      </c>
      <c r="K367" s="170">
        <v>0.64594439066605402</v>
      </c>
      <c r="L367" s="169">
        <v>0.6775993953639029</v>
      </c>
      <c r="M367" s="169">
        <v>0.7921764370778287</v>
      </c>
      <c r="N367" s="169">
        <v>0.64057296234988426</v>
      </c>
      <c r="O367" s="170">
        <v>0.67657572745287897</v>
      </c>
      <c r="P367" s="170">
        <v>0</v>
      </c>
      <c r="Q367" s="169">
        <v>0</v>
      </c>
      <c r="R367" s="170">
        <v>0</v>
      </c>
      <c r="S367" s="170">
        <v>0</v>
      </c>
      <c r="T367" s="170">
        <v>0</v>
      </c>
      <c r="U367" s="170">
        <v>0.77742605678852772</v>
      </c>
      <c r="V367" s="380"/>
    </row>
    <row r="368" spans="1:22">
      <c r="A368" s="166"/>
      <c r="B368" s="199" t="s">
        <v>236</v>
      </c>
      <c r="C368" s="200">
        <v>-0.26991732557969383</v>
      </c>
      <c r="D368" s="201">
        <v>0</v>
      </c>
      <c r="E368" s="201">
        <v>-2.6747671807938578</v>
      </c>
      <c r="F368" s="201">
        <v>-1.4566553389151138</v>
      </c>
      <c r="G368" s="201">
        <v>-0.25161371675553879</v>
      </c>
      <c r="H368" s="201">
        <v>0.67490286838772784</v>
      </c>
      <c r="I368" s="201">
        <v>0</v>
      </c>
      <c r="J368" s="202">
        <v>-0.6921421289339369</v>
      </c>
      <c r="K368" s="202">
        <v>-1.5430952327254555</v>
      </c>
      <c r="L368" s="201">
        <v>-2.5242116313424434</v>
      </c>
      <c r="M368" s="201">
        <v>3.1795427060871129</v>
      </c>
      <c r="N368" s="201">
        <v>-1.1190355207914782</v>
      </c>
      <c r="O368" s="202">
        <v>-1.4332495257463829</v>
      </c>
      <c r="P368" s="202">
        <v>0</v>
      </c>
      <c r="Q368" s="201">
        <v>0</v>
      </c>
      <c r="R368" s="202">
        <v>0</v>
      </c>
      <c r="S368" s="202">
        <v>0</v>
      </c>
      <c r="T368" s="202">
        <v>0</v>
      </c>
      <c r="U368" s="202">
        <v>-0.76591014997923201</v>
      </c>
      <c r="V368" s="380"/>
    </row>
    <row r="369" spans="1:22">
      <c r="A369" s="166"/>
      <c r="B369" s="246" t="s">
        <v>61</v>
      </c>
      <c r="C369" s="297">
        <v>9.5586420104747036E-3</v>
      </c>
      <c r="D369" s="298">
        <v>0</v>
      </c>
      <c r="E369" s="298">
        <v>7.6451809899565756E-3</v>
      </c>
      <c r="F369" s="298">
        <v>2.9855069234796753E-3</v>
      </c>
      <c r="G369" s="298">
        <v>8.122247000293948E-3</v>
      </c>
      <c r="H369" s="298">
        <v>1.9271804591727552E-2</v>
      </c>
      <c r="I369" s="298">
        <v>0</v>
      </c>
      <c r="J369" s="307">
        <v>9.2776598918941511E-3</v>
      </c>
      <c r="K369" s="307">
        <v>7.7737126718978158E-2</v>
      </c>
      <c r="L369" s="298">
        <v>5.2082243762801766E-2</v>
      </c>
      <c r="M369" s="298">
        <v>4.3125240337638926E-2</v>
      </c>
      <c r="N369" s="298">
        <v>9.3028284750454118E-2</v>
      </c>
      <c r="O369" s="307">
        <v>6.4342025796263594E-2</v>
      </c>
      <c r="P369" s="165">
        <v>0</v>
      </c>
      <c r="Q369" s="298">
        <v>0</v>
      </c>
      <c r="R369" s="307">
        <v>0</v>
      </c>
      <c r="S369" s="307">
        <v>0</v>
      </c>
      <c r="T369" s="307">
        <v>0</v>
      </c>
      <c r="U369" s="307">
        <v>2.9390068022966318E-2</v>
      </c>
      <c r="V369" s="380"/>
    </row>
    <row r="370" spans="1:22">
      <c r="A370" s="166"/>
      <c r="B370" s="167" t="s">
        <v>62</v>
      </c>
      <c r="C370" s="168">
        <v>1.1841991982062578E-2</v>
      </c>
      <c r="D370" s="169">
        <v>0</v>
      </c>
      <c r="E370" s="169">
        <v>5.329693957129217E-3</v>
      </c>
      <c r="F370" s="169">
        <v>6.3757073225390775E-3</v>
      </c>
      <c r="G370" s="169">
        <v>5.995587211530394E-3</v>
      </c>
      <c r="H370" s="169">
        <v>7.6281144814674658E-3</v>
      </c>
      <c r="I370" s="169">
        <v>0</v>
      </c>
      <c r="J370" s="170">
        <v>9.0062874449897291E-3</v>
      </c>
      <c r="K370" s="170">
        <v>7.0959223093085194E-2</v>
      </c>
      <c r="L370" s="169">
        <v>6.0492678753851649E-2</v>
      </c>
      <c r="M370" s="169">
        <v>4.065729864633915E-2</v>
      </c>
      <c r="N370" s="169">
        <v>9.2189694855341509E-2</v>
      </c>
      <c r="O370" s="170">
        <v>6.6958084372296139E-2</v>
      </c>
      <c r="P370" s="170">
        <v>0</v>
      </c>
      <c r="Q370" s="169">
        <v>0</v>
      </c>
      <c r="R370" s="170">
        <v>0</v>
      </c>
      <c r="S370" s="170">
        <v>0</v>
      </c>
      <c r="T370" s="170">
        <v>0</v>
      </c>
      <c r="U370" s="170">
        <v>2.9440762785922961E-2</v>
      </c>
      <c r="V370" s="380"/>
    </row>
    <row r="371" spans="1:22">
      <c r="A371" s="166"/>
      <c r="B371" s="199" t="s">
        <v>63</v>
      </c>
      <c r="C371" s="200">
        <v>0.22833499715878749</v>
      </c>
      <c r="D371" s="201">
        <v>0</v>
      </c>
      <c r="E371" s="201">
        <v>-0.23154870328273586</v>
      </c>
      <c r="F371" s="201">
        <v>0.33902003990594021</v>
      </c>
      <c r="G371" s="201">
        <v>-0.21266597887635541</v>
      </c>
      <c r="H371" s="201">
        <v>-1.1643690110260088</v>
      </c>
      <c r="I371" s="201">
        <v>0</v>
      </c>
      <c r="J371" s="202">
        <v>-2.7137244690442208E-2</v>
      </c>
      <c r="K371" s="202">
        <v>-0.67779036258929648</v>
      </c>
      <c r="L371" s="201">
        <v>0.84104349910498821</v>
      </c>
      <c r="M371" s="201">
        <v>-0.24679416912997756</v>
      </c>
      <c r="N371" s="201">
        <v>-8.3858989511260973E-2</v>
      </c>
      <c r="O371" s="202">
        <v>0.26160585760325455</v>
      </c>
      <c r="P371" s="202">
        <v>0</v>
      </c>
      <c r="Q371" s="201">
        <v>0</v>
      </c>
      <c r="R371" s="202">
        <v>0</v>
      </c>
      <c r="S371" s="202">
        <v>0</v>
      </c>
      <c r="T371" s="202">
        <v>0</v>
      </c>
      <c r="U371" s="202">
        <v>5.0694762956642742E-3</v>
      </c>
      <c r="V371" s="380"/>
    </row>
    <row r="372" spans="1:22">
      <c r="A372" s="166"/>
      <c r="B372" s="246" t="s">
        <v>64</v>
      </c>
      <c r="C372" s="297">
        <v>0.10082529120664183</v>
      </c>
      <c r="D372" s="298">
        <v>0</v>
      </c>
      <c r="E372" s="298">
        <v>0.14770297385789649</v>
      </c>
      <c r="F372" s="298">
        <v>0.28702084284870832</v>
      </c>
      <c r="G372" s="298">
        <v>0.11240084780787736</v>
      </c>
      <c r="H372" s="298">
        <v>0.20155299440555166</v>
      </c>
      <c r="I372" s="298">
        <v>0</v>
      </c>
      <c r="J372" s="307">
        <v>0.12588599852396468</v>
      </c>
      <c r="K372" s="307">
        <v>0.25004412779409169</v>
      </c>
      <c r="L372" s="298">
        <v>0.24185221914898969</v>
      </c>
      <c r="M372" s="298">
        <v>9.7402147121306681E-2</v>
      </c>
      <c r="N372" s="298">
        <v>0.21764058966723096</v>
      </c>
      <c r="O372" s="307">
        <v>0.22254355086684754</v>
      </c>
      <c r="P372" s="165">
        <v>0</v>
      </c>
      <c r="Q372" s="298">
        <v>0</v>
      </c>
      <c r="R372" s="307">
        <v>0</v>
      </c>
      <c r="S372" s="307">
        <v>0</v>
      </c>
      <c r="T372" s="307">
        <v>0</v>
      </c>
      <c r="U372" s="307">
        <v>0.16119043016032844</v>
      </c>
      <c r="V372" s="380"/>
    </row>
    <row r="373" spans="1:22">
      <c r="A373" s="166"/>
      <c r="B373" s="167" t="s">
        <v>65</v>
      </c>
      <c r="C373" s="168">
        <v>0.10279055665148175</v>
      </c>
      <c r="D373" s="169">
        <v>0</v>
      </c>
      <c r="E373" s="169">
        <v>0.17700232502204763</v>
      </c>
      <c r="F373" s="169">
        <v>0.29908678357330942</v>
      </c>
      <c r="G373" s="169">
        <v>0.12085960937978327</v>
      </c>
      <c r="H373" s="169">
        <v>0.20589270183964362</v>
      </c>
      <c r="I373" s="169">
        <v>0</v>
      </c>
      <c r="J373" s="170">
        <v>0.13465461930358652</v>
      </c>
      <c r="K373" s="170">
        <v>0.27453149604542959</v>
      </c>
      <c r="L373" s="169">
        <v>0.25859820768585501</v>
      </c>
      <c r="M373" s="169">
        <v>6.9215744784743516E-2</v>
      </c>
      <c r="N373" s="169">
        <v>0.22783628893446678</v>
      </c>
      <c r="O373" s="170">
        <v>0.23449320729088166</v>
      </c>
      <c r="P373" s="170">
        <v>0</v>
      </c>
      <c r="Q373" s="169">
        <v>0</v>
      </c>
      <c r="R373" s="170">
        <v>0</v>
      </c>
      <c r="S373" s="170">
        <v>0</v>
      </c>
      <c r="T373" s="170">
        <v>0</v>
      </c>
      <c r="U373" s="170">
        <v>0.16985886270019937</v>
      </c>
      <c r="V373" s="380"/>
    </row>
    <row r="374" spans="1:22">
      <c r="A374" s="166"/>
      <c r="B374" s="199" t="s">
        <v>66</v>
      </c>
      <c r="C374" s="200">
        <v>0.19652654448399226</v>
      </c>
      <c r="D374" s="201">
        <v>0</v>
      </c>
      <c r="E374" s="201">
        <v>2.9299351164151139</v>
      </c>
      <c r="F374" s="201">
        <v>1.2065940724601099</v>
      </c>
      <c r="G374" s="201">
        <v>0.84587615719059062</v>
      </c>
      <c r="H374" s="201">
        <v>0.4339707434091955</v>
      </c>
      <c r="I374" s="201">
        <v>0</v>
      </c>
      <c r="J374" s="202">
        <v>0.87686207796218441</v>
      </c>
      <c r="K374" s="202">
        <v>2.4487368251337904</v>
      </c>
      <c r="L374" s="201">
        <v>1.6745988536865319</v>
      </c>
      <c r="M374" s="201">
        <v>-2.8186402336563168</v>
      </c>
      <c r="N374" s="201">
        <v>1.019569926723582</v>
      </c>
      <c r="O374" s="202">
        <v>1.1949656424034116</v>
      </c>
      <c r="P374" s="202">
        <v>0</v>
      </c>
      <c r="Q374" s="201">
        <v>0</v>
      </c>
      <c r="R374" s="202">
        <v>0</v>
      </c>
      <c r="S374" s="202">
        <v>0</v>
      </c>
      <c r="T374" s="202">
        <v>0</v>
      </c>
      <c r="U374" s="202">
        <v>0.86684325398709294</v>
      </c>
      <c r="V374" s="380"/>
    </row>
    <row r="375" spans="1:22">
      <c r="A375" s="166"/>
      <c r="B375" s="246" t="s">
        <v>67</v>
      </c>
      <c r="C375" s="297">
        <v>1.6600012912977923E-2</v>
      </c>
      <c r="D375" s="298">
        <v>0</v>
      </c>
      <c r="E375" s="298">
        <v>3.7033014576408189E-3</v>
      </c>
      <c r="F375" s="298">
        <v>4.1396058685262957E-2</v>
      </c>
      <c r="G375" s="298">
        <v>5.1580136188533375E-2</v>
      </c>
      <c r="H375" s="298">
        <v>1.4123689278835866E-2</v>
      </c>
      <c r="I375" s="298">
        <v>0</v>
      </c>
      <c r="J375" s="307">
        <v>2.0626568094029719E-2</v>
      </c>
      <c r="K375" s="307">
        <v>1.0313868964521253E-2</v>
      </c>
      <c r="L375" s="298">
        <v>5.3623420591658317E-4</v>
      </c>
      <c r="M375" s="298">
        <v>9.9041171019535898E-2</v>
      </c>
      <c r="N375" s="298">
        <v>3.7005572923746094E-2</v>
      </c>
      <c r="O375" s="307">
        <v>2.062436696388819E-2</v>
      </c>
      <c r="P375" s="165">
        <v>0</v>
      </c>
      <c r="Q375" s="298">
        <v>0</v>
      </c>
      <c r="R375" s="307">
        <v>0</v>
      </c>
      <c r="S375" s="307">
        <v>0</v>
      </c>
      <c r="T375" s="307">
        <v>0</v>
      </c>
      <c r="U375" s="307">
        <v>2.0625764125310041E-2</v>
      </c>
      <c r="V375" s="380"/>
    </row>
    <row r="376" spans="1:22">
      <c r="A376" s="166"/>
      <c r="B376" s="167" t="s">
        <v>68</v>
      </c>
      <c r="C376" s="168">
        <v>1.5258786229510652E-2</v>
      </c>
      <c r="D376" s="169">
        <v>0</v>
      </c>
      <c r="E376" s="169">
        <v>1.8804253551307187E-3</v>
      </c>
      <c r="F376" s="169">
        <v>2.6410443162081909E-2</v>
      </c>
      <c r="G376" s="169">
        <v>4.8118895850482207E-2</v>
      </c>
      <c r="H376" s="169">
        <v>1.467864327112669E-2</v>
      </c>
      <c r="I376" s="169">
        <v>0</v>
      </c>
      <c r="J376" s="170">
        <v>1.8399254705838787E-2</v>
      </c>
      <c r="K376" s="170">
        <v>8.5648901954311664E-3</v>
      </c>
      <c r="L376" s="169">
        <v>7.1426791691236926E-4</v>
      </c>
      <c r="M376" s="169">
        <v>9.7950519491088628E-2</v>
      </c>
      <c r="N376" s="169">
        <v>3.8939412924627222E-2</v>
      </c>
      <c r="O376" s="170">
        <v>2.0530921264976128E-2</v>
      </c>
      <c r="P376" s="170">
        <v>0</v>
      </c>
      <c r="Q376" s="169">
        <v>0</v>
      </c>
      <c r="R376" s="170">
        <v>0</v>
      </c>
      <c r="S376" s="170">
        <v>0</v>
      </c>
      <c r="T376" s="170">
        <v>0</v>
      </c>
      <c r="U376" s="170">
        <v>1.9150905043660481E-2</v>
      </c>
      <c r="V376" s="380"/>
    </row>
    <row r="377" spans="1:22">
      <c r="A377" s="166"/>
      <c r="B377" s="199" t="s">
        <v>69</v>
      </c>
      <c r="C377" s="200">
        <v>-0.13412266834672715</v>
      </c>
      <c r="D377" s="201">
        <v>0</v>
      </c>
      <c r="E377" s="201">
        <v>-0.18228761025101001</v>
      </c>
      <c r="F377" s="201">
        <v>-1.4985615523181048</v>
      </c>
      <c r="G377" s="201">
        <v>-0.3461240338051168</v>
      </c>
      <c r="H377" s="201">
        <v>5.5495399229082455E-2</v>
      </c>
      <c r="I377" s="201">
        <v>0</v>
      </c>
      <c r="J377" s="202">
        <v>-0.22273133881909324</v>
      </c>
      <c r="K377" s="202">
        <v>-0.17489787690900868</v>
      </c>
      <c r="L377" s="201">
        <v>1.7803371099578608E-2</v>
      </c>
      <c r="M377" s="201">
        <v>-0.10906515284472701</v>
      </c>
      <c r="N377" s="201">
        <v>0.19338400008811277</v>
      </c>
      <c r="O377" s="202">
        <v>-9.3445698912061198E-3</v>
      </c>
      <c r="P377" s="202">
        <v>0</v>
      </c>
      <c r="Q377" s="201">
        <v>0</v>
      </c>
      <c r="R377" s="202">
        <v>0</v>
      </c>
      <c r="S377" s="202">
        <v>0</v>
      </c>
      <c r="T377" s="202">
        <v>0</v>
      </c>
      <c r="U377" s="202">
        <v>-0.14748590816495605</v>
      </c>
      <c r="V377" s="380"/>
    </row>
    <row r="378" spans="1:22">
      <c r="A378" s="166"/>
      <c r="B378" s="246" t="s">
        <v>70</v>
      </c>
      <c r="C378" s="297">
        <v>2.410928936844144E-3</v>
      </c>
      <c r="D378" s="298">
        <v>0</v>
      </c>
      <c r="E378" s="298">
        <v>6.4433884496164053E-3</v>
      </c>
      <c r="F378" s="298">
        <v>0</v>
      </c>
      <c r="G378" s="298">
        <v>9.1168078574727987E-3</v>
      </c>
      <c r="H378" s="298">
        <v>0</v>
      </c>
      <c r="I378" s="298">
        <v>0</v>
      </c>
      <c r="J378" s="307">
        <v>4.2253155925291094E-3</v>
      </c>
      <c r="K378" s="307">
        <v>0</v>
      </c>
      <c r="L378" s="298">
        <v>2.3435420851169188E-3</v>
      </c>
      <c r="M378" s="298">
        <v>5.0431504560899191E-5</v>
      </c>
      <c r="N378" s="298">
        <v>5.6223510076982956E-4</v>
      </c>
      <c r="O378" s="307">
        <v>1.3181947188815252E-3</v>
      </c>
      <c r="P378" s="165">
        <v>0</v>
      </c>
      <c r="Q378" s="298">
        <v>0</v>
      </c>
      <c r="R378" s="307">
        <v>0</v>
      </c>
      <c r="S378" s="307">
        <v>0</v>
      </c>
      <c r="T378" s="307">
        <v>0</v>
      </c>
      <c r="U378" s="307">
        <v>3.1634818541963544E-3</v>
      </c>
      <c r="V378" s="380"/>
    </row>
    <row r="379" spans="1:22">
      <c r="A379" s="166"/>
      <c r="B379" s="167" t="s">
        <v>71</v>
      </c>
      <c r="C379" s="168">
        <v>2.1665649763616831E-3</v>
      </c>
      <c r="D379" s="169">
        <v>0</v>
      </c>
      <c r="E379" s="169">
        <v>8.0300722287413532E-3</v>
      </c>
      <c r="F379" s="659">
        <v>1.4096027788671634E-2</v>
      </c>
      <c r="G379" s="169">
        <v>8.762083579937005E-3</v>
      </c>
      <c r="H379" s="169">
        <v>0</v>
      </c>
      <c r="I379" s="169">
        <v>0</v>
      </c>
      <c r="J379" s="170">
        <v>4.8424630568754557E-3</v>
      </c>
      <c r="K379" s="170">
        <v>0</v>
      </c>
      <c r="L379" s="169">
        <v>2.5954502794780861E-3</v>
      </c>
      <c r="M379" s="169">
        <v>0</v>
      </c>
      <c r="N379" s="169">
        <v>4.6164093568022794E-4</v>
      </c>
      <c r="O379" s="170">
        <v>1.4420596189670559E-3</v>
      </c>
      <c r="P379" s="170">
        <v>0</v>
      </c>
      <c r="Q379" s="169">
        <v>0</v>
      </c>
      <c r="R379" s="170">
        <v>0</v>
      </c>
      <c r="S379" s="170">
        <v>0</v>
      </c>
      <c r="T379" s="170">
        <v>0</v>
      </c>
      <c r="U379" s="170">
        <v>3.6434413891207012E-3</v>
      </c>
      <c r="V379" s="380"/>
    </row>
    <row r="380" spans="1:22">
      <c r="A380" s="166"/>
      <c r="B380" s="199" t="s">
        <v>72</v>
      </c>
      <c r="C380" s="200">
        <v>-2.4436396048246097E-2</v>
      </c>
      <c r="D380" s="201">
        <v>0</v>
      </c>
      <c r="E380" s="201">
        <v>0.1586683779124948</v>
      </c>
      <c r="F380" s="201">
        <v>0</v>
      </c>
      <c r="G380" s="201">
        <v>-3.5472427753579366E-2</v>
      </c>
      <c r="H380" s="201">
        <v>0</v>
      </c>
      <c r="I380" s="201">
        <v>0</v>
      </c>
      <c r="J380" s="202">
        <v>6.1714746434634628E-2</v>
      </c>
      <c r="K380" s="202">
        <v>0</v>
      </c>
      <c r="L380" s="201">
        <v>2.5190819436116726E-2</v>
      </c>
      <c r="M380" s="201">
        <v>-5.043150456089919E-3</v>
      </c>
      <c r="N380" s="201">
        <v>-1.0059416508960162E-2</v>
      </c>
      <c r="O380" s="202">
        <v>1.2386490008553065E-2</v>
      </c>
      <c r="P380" s="202">
        <v>0</v>
      </c>
      <c r="Q380" s="201">
        <v>0</v>
      </c>
      <c r="R380" s="202">
        <v>0</v>
      </c>
      <c r="S380" s="202">
        <v>0</v>
      </c>
      <c r="T380" s="202">
        <v>0</v>
      </c>
      <c r="U380" s="202">
        <v>4.7995953492434684E-2</v>
      </c>
      <c r="V380" s="380"/>
    </row>
    <row r="381" spans="1:22">
      <c r="A381" s="166"/>
      <c r="B381" s="246" t="s">
        <v>73</v>
      </c>
      <c r="C381" s="297">
        <v>1.3877653332117995E-3</v>
      </c>
      <c r="D381" s="298">
        <v>0</v>
      </c>
      <c r="E381" s="298">
        <v>0</v>
      </c>
      <c r="F381" s="298">
        <v>0</v>
      </c>
      <c r="G381" s="298">
        <v>0</v>
      </c>
      <c r="H381" s="298">
        <v>0</v>
      </c>
      <c r="I381" s="298">
        <v>0</v>
      </c>
      <c r="J381" s="307">
        <v>7.070572987315152E-4</v>
      </c>
      <c r="K381" s="307">
        <v>5.2953352910027444E-4</v>
      </c>
      <c r="L381" s="298">
        <v>3.4424911984768302E-4</v>
      </c>
      <c r="M381" s="298">
        <v>0</v>
      </c>
      <c r="N381" s="298">
        <v>0</v>
      </c>
      <c r="O381" s="307">
        <v>2.6363894377630506E-4</v>
      </c>
      <c r="P381" s="165">
        <v>0</v>
      </c>
      <c r="Q381" s="298">
        <v>0</v>
      </c>
      <c r="R381" s="307">
        <v>0</v>
      </c>
      <c r="S381" s="307">
        <v>0</v>
      </c>
      <c r="T381" s="307">
        <v>0</v>
      </c>
      <c r="U381" s="307">
        <v>5.4509754887884074E-4</v>
      </c>
      <c r="V381" s="380"/>
    </row>
    <row r="382" spans="1:22">
      <c r="A382" s="166"/>
      <c r="B382" s="167" t="s">
        <v>74</v>
      </c>
      <c r="C382" s="168">
        <v>1.423913816530726E-3</v>
      </c>
      <c r="D382" s="169">
        <v>0</v>
      </c>
      <c r="E382" s="169">
        <v>0</v>
      </c>
      <c r="F382" s="169">
        <v>0</v>
      </c>
      <c r="G382" s="169">
        <v>0</v>
      </c>
      <c r="H382" s="169">
        <v>0</v>
      </c>
      <c r="I382" s="169">
        <v>0</v>
      </c>
      <c r="J382" s="170">
        <v>7.4139617919802921E-4</v>
      </c>
      <c r="K382" s="170">
        <v>0</v>
      </c>
      <c r="L382" s="169">
        <v>0</v>
      </c>
      <c r="M382" s="169">
        <v>0</v>
      </c>
      <c r="N382" s="169">
        <v>0</v>
      </c>
      <c r="O382" s="170">
        <v>0</v>
      </c>
      <c r="P382" s="170">
        <v>0</v>
      </c>
      <c r="Q382" s="169">
        <v>0</v>
      </c>
      <c r="R382" s="170">
        <v>0</v>
      </c>
      <c r="S382" s="170">
        <v>0</v>
      </c>
      <c r="T382" s="170">
        <v>0</v>
      </c>
      <c r="U382" s="170">
        <v>4.7997129256874732E-4</v>
      </c>
      <c r="V382" s="380"/>
    </row>
    <row r="383" spans="1:22" ht="15.75" thickBot="1">
      <c r="A383" s="166"/>
      <c r="B383" s="303" t="s">
        <v>75</v>
      </c>
      <c r="C383" s="304">
        <v>3.61484833189265E-3</v>
      </c>
      <c r="D383" s="305">
        <v>0</v>
      </c>
      <c r="E383" s="305">
        <v>0</v>
      </c>
      <c r="F383" s="305">
        <v>0</v>
      </c>
      <c r="G383" s="305">
        <v>0</v>
      </c>
      <c r="H383" s="305">
        <v>0</v>
      </c>
      <c r="I383" s="305">
        <v>0</v>
      </c>
      <c r="J383" s="308">
        <v>3.433888046651401E-3</v>
      </c>
      <c r="K383" s="308">
        <v>-5.2953352910027444E-2</v>
      </c>
      <c r="L383" s="305">
        <v>-3.4424911984768304E-2</v>
      </c>
      <c r="M383" s="305">
        <v>0</v>
      </c>
      <c r="N383" s="305">
        <v>0</v>
      </c>
      <c r="O383" s="308">
        <v>-2.6363894377630506E-2</v>
      </c>
      <c r="P383" s="308">
        <v>0</v>
      </c>
      <c r="Q383" s="305">
        <v>0</v>
      </c>
      <c r="R383" s="308">
        <v>0</v>
      </c>
      <c r="S383" s="308">
        <v>0</v>
      </c>
      <c r="T383" s="308">
        <v>0</v>
      </c>
      <c r="U383" s="308">
        <v>-6.5126256310093413E-3</v>
      </c>
      <c r="V383" s="380"/>
    </row>
    <row r="384" spans="1:22" ht="15.75" thickTop="1">
      <c r="A384" s="166"/>
      <c r="B384" s="167" t="s">
        <v>76</v>
      </c>
      <c r="C384" s="168">
        <v>0.76424939438591122</v>
      </c>
      <c r="D384" s="169">
        <v>0</v>
      </c>
      <c r="E384" s="169">
        <v>0.85154268120812648</v>
      </c>
      <c r="F384" s="169">
        <v>0.47156398104265401</v>
      </c>
      <c r="G384" s="169">
        <v>0.50660083951369106</v>
      </c>
      <c r="H384" s="169">
        <v>0</v>
      </c>
      <c r="I384" s="169">
        <v>0</v>
      </c>
      <c r="J384" s="170">
        <v>0.74448635400133767</v>
      </c>
      <c r="K384" s="170">
        <v>0</v>
      </c>
      <c r="L384" s="169">
        <v>0</v>
      </c>
      <c r="M384" s="169">
        <v>0</v>
      </c>
      <c r="N384" s="169">
        <v>0</v>
      </c>
      <c r="O384" s="170">
        <v>0</v>
      </c>
      <c r="P384" s="170">
        <v>0</v>
      </c>
      <c r="Q384" s="169">
        <v>0</v>
      </c>
      <c r="R384" s="170">
        <v>0</v>
      </c>
      <c r="S384" s="170">
        <v>0</v>
      </c>
      <c r="T384" s="170">
        <v>0</v>
      </c>
      <c r="U384" s="170">
        <v>0.74448635400133767</v>
      </c>
      <c r="V384" s="380"/>
    </row>
    <row r="385" spans="1:22">
      <c r="A385" s="166"/>
      <c r="B385" s="167" t="s">
        <v>77</v>
      </c>
      <c r="C385" s="168">
        <v>0.61115939392714458</v>
      </c>
      <c r="D385" s="169">
        <v>0</v>
      </c>
      <c r="E385" s="169">
        <v>0.84150525733259551</v>
      </c>
      <c r="F385" s="169">
        <v>0.4355448607768993</v>
      </c>
      <c r="G385" s="169">
        <v>0.47066556307512536</v>
      </c>
      <c r="H385" s="169">
        <v>1</v>
      </c>
      <c r="I385" s="169">
        <v>0</v>
      </c>
      <c r="J385" s="170">
        <v>0.6262984408318335</v>
      </c>
      <c r="K385" s="170">
        <v>0</v>
      </c>
      <c r="L385" s="169">
        <v>0</v>
      </c>
      <c r="M385" s="169">
        <v>0</v>
      </c>
      <c r="N385" s="169">
        <v>0</v>
      </c>
      <c r="O385" s="170">
        <v>0</v>
      </c>
      <c r="P385" s="170">
        <v>0</v>
      </c>
      <c r="Q385" s="169">
        <v>0</v>
      </c>
      <c r="R385" s="170">
        <v>0</v>
      </c>
      <c r="S385" s="170">
        <v>0</v>
      </c>
      <c r="T385" s="170">
        <v>0</v>
      </c>
      <c r="U385" s="170">
        <v>0.6262984408318335</v>
      </c>
      <c r="V385" s="380"/>
    </row>
    <row r="386" spans="1:22">
      <c r="A386" s="166"/>
      <c r="B386" s="199" t="s">
        <v>78</v>
      </c>
      <c r="C386" s="658">
        <v>-15.309000045876664</v>
      </c>
      <c r="D386" s="201">
        <v>0</v>
      </c>
      <c r="E386" s="201">
        <v>-1.0037423875530971</v>
      </c>
      <c r="F386" s="201">
        <v>-3.6019120265754712</v>
      </c>
      <c r="G386" s="201">
        <v>-3.5935276438565698</v>
      </c>
      <c r="H386" s="201">
        <v>0</v>
      </c>
      <c r="I386" s="201">
        <v>0</v>
      </c>
      <c r="J386" s="202">
        <v>-11.818791316950417</v>
      </c>
      <c r="K386" s="202">
        <v>0</v>
      </c>
      <c r="L386" s="201">
        <v>0</v>
      </c>
      <c r="M386" s="201">
        <v>0</v>
      </c>
      <c r="N386" s="201">
        <v>0</v>
      </c>
      <c r="O386" s="202">
        <v>0</v>
      </c>
      <c r="P386" s="202">
        <v>0</v>
      </c>
      <c r="Q386" s="201">
        <v>0</v>
      </c>
      <c r="R386" s="202">
        <v>0</v>
      </c>
      <c r="S386" s="202">
        <v>0</v>
      </c>
      <c r="T386" s="202">
        <v>0</v>
      </c>
      <c r="U386" s="202">
        <v>-11.818791316950417</v>
      </c>
      <c r="V386" s="380"/>
    </row>
    <row r="387" spans="1:22">
      <c r="A387" s="166"/>
      <c r="B387" s="246" t="s">
        <v>79</v>
      </c>
      <c r="C387" s="297">
        <v>5.7901715225625844E-2</v>
      </c>
      <c r="D387" s="298">
        <v>0</v>
      </c>
      <c r="E387" s="298">
        <v>5.6373452440320031E-3</v>
      </c>
      <c r="F387" s="298">
        <v>2.4061246810061977E-2</v>
      </c>
      <c r="G387" s="298">
        <v>9.4390917592814105E-3</v>
      </c>
      <c r="H387" s="298">
        <v>0</v>
      </c>
      <c r="I387" s="298">
        <v>0</v>
      </c>
      <c r="J387" s="307">
        <v>4.7786679190612073E-2</v>
      </c>
      <c r="K387" s="307">
        <v>0</v>
      </c>
      <c r="L387" s="298">
        <v>0</v>
      </c>
      <c r="M387" s="298">
        <v>0</v>
      </c>
      <c r="N387" s="298">
        <v>0</v>
      </c>
      <c r="O387" s="307">
        <v>0</v>
      </c>
      <c r="P387" s="165">
        <v>0</v>
      </c>
      <c r="Q387" s="298">
        <v>0</v>
      </c>
      <c r="R387" s="307">
        <v>0</v>
      </c>
      <c r="S387" s="307">
        <v>0</v>
      </c>
      <c r="T387" s="307">
        <v>0</v>
      </c>
      <c r="U387" s="307">
        <v>4.7786679190612073E-2</v>
      </c>
      <c r="V387" s="380"/>
    </row>
    <row r="388" spans="1:22">
      <c r="A388" s="166"/>
      <c r="B388" s="167" t="s">
        <v>80</v>
      </c>
      <c r="C388" s="168">
        <v>0.10868349603519481</v>
      </c>
      <c r="D388" s="169">
        <v>0</v>
      </c>
      <c r="E388" s="169">
        <v>1.2174875484228002E-3</v>
      </c>
      <c r="F388" s="169">
        <v>7.5799243726366455E-2</v>
      </c>
      <c r="G388" s="169">
        <v>7.8144018696139055E-3</v>
      </c>
      <c r="H388" s="169">
        <v>0</v>
      </c>
      <c r="I388" s="169">
        <v>0</v>
      </c>
      <c r="J388" s="170">
        <v>7.0451456290501591E-2</v>
      </c>
      <c r="K388" s="170">
        <v>0</v>
      </c>
      <c r="L388" s="169">
        <v>0</v>
      </c>
      <c r="M388" s="169">
        <v>0</v>
      </c>
      <c r="N388" s="169">
        <v>0</v>
      </c>
      <c r="O388" s="170">
        <v>0</v>
      </c>
      <c r="P388" s="170">
        <v>0</v>
      </c>
      <c r="Q388" s="169">
        <v>0</v>
      </c>
      <c r="R388" s="170">
        <v>0</v>
      </c>
      <c r="S388" s="170">
        <v>0</v>
      </c>
      <c r="T388" s="170">
        <v>0</v>
      </c>
      <c r="U388" s="170">
        <v>7.0451456290501591E-2</v>
      </c>
      <c r="V388" s="380"/>
    </row>
    <row r="389" spans="1:22">
      <c r="A389" s="166"/>
      <c r="B389" s="199" t="s">
        <v>81</v>
      </c>
      <c r="C389" s="658">
        <v>5.0781780809568966</v>
      </c>
      <c r="D389" s="201">
        <v>0</v>
      </c>
      <c r="E389" s="201">
        <v>-0.44198576956092034</v>
      </c>
      <c r="F389" s="201">
        <v>5.1737996916304478</v>
      </c>
      <c r="G389" s="201">
        <v>-0.16246898896675049</v>
      </c>
      <c r="H389" s="201">
        <v>0</v>
      </c>
      <c r="I389" s="201">
        <v>0</v>
      </c>
      <c r="J389" s="202">
        <v>2.2664777099889517</v>
      </c>
      <c r="K389" s="202">
        <v>0</v>
      </c>
      <c r="L389" s="201">
        <v>0</v>
      </c>
      <c r="M389" s="201">
        <v>0</v>
      </c>
      <c r="N389" s="201">
        <v>0</v>
      </c>
      <c r="O389" s="202">
        <v>0</v>
      </c>
      <c r="P389" s="202">
        <v>0</v>
      </c>
      <c r="Q389" s="201">
        <v>0</v>
      </c>
      <c r="R389" s="202">
        <v>0</v>
      </c>
      <c r="S389" s="202">
        <v>0</v>
      </c>
      <c r="T389" s="202">
        <v>0</v>
      </c>
      <c r="U389" s="202">
        <v>2.2664777099889517</v>
      </c>
      <c r="V389" s="380"/>
    </row>
    <row r="390" spans="1:22">
      <c r="A390" s="166"/>
      <c r="B390" s="246" t="s">
        <v>82</v>
      </c>
      <c r="C390" s="297">
        <v>0.11378427749382523</v>
      </c>
      <c r="D390" s="298">
        <v>0</v>
      </c>
      <c r="E390" s="298">
        <v>9.1693588603889764E-2</v>
      </c>
      <c r="F390" s="298">
        <v>0.48359460444768504</v>
      </c>
      <c r="G390" s="298">
        <v>0.35638008656125625</v>
      </c>
      <c r="H390" s="298">
        <v>0</v>
      </c>
      <c r="I390" s="298">
        <v>0</v>
      </c>
      <c r="J390" s="307">
        <v>0.1392883575530503</v>
      </c>
      <c r="K390" s="307">
        <v>0</v>
      </c>
      <c r="L390" s="298">
        <v>0</v>
      </c>
      <c r="M390" s="298">
        <v>0</v>
      </c>
      <c r="N390" s="298">
        <v>0</v>
      </c>
      <c r="O390" s="307">
        <v>0</v>
      </c>
      <c r="P390" s="165">
        <v>0</v>
      </c>
      <c r="Q390" s="298">
        <v>0</v>
      </c>
      <c r="R390" s="307">
        <v>0</v>
      </c>
      <c r="S390" s="307">
        <v>0</v>
      </c>
      <c r="T390" s="307">
        <v>0</v>
      </c>
      <c r="U390" s="307">
        <v>0.1392883575530503</v>
      </c>
      <c r="V390" s="380"/>
    </row>
    <row r="391" spans="1:22">
      <c r="A391" s="166"/>
      <c r="B391" s="167" t="s">
        <v>83</v>
      </c>
      <c r="C391" s="168">
        <v>0.25539813111816267</v>
      </c>
      <c r="D391" s="169">
        <v>0</v>
      </c>
      <c r="E391" s="169">
        <v>0.10893193137797455</v>
      </c>
      <c r="F391" s="169">
        <v>0.47679614987968372</v>
      </c>
      <c r="G391" s="169">
        <v>0.3980476167291494</v>
      </c>
      <c r="H391" s="169">
        <v>0</v>
      </c>
      <c r="I391" s="169">
        <v>0</v>
      </c>
      <c r="J391" s="170">
        <v>0.25752669623446961</v>
      </c>
      <c r="K391" s="170">
        <v>0</v>
      </c>
      <c r="L391" s="169">
        <v>0</v>
      </c>
      <c r="M391" s="169">
        <v>0</v>
      </c>
      <c r="N391" s="169">
        <v>0</v>
      </c>
      <c r="O391" s="170">
        <v>0</v>
      </c>
      <c r="P391" s="170">
        <v>0</v>
      </c>
      <c r="Q391" s="169">
        <v>0</v>
      </c>
      <c r="R391" s="170">
        <v>0</v>
      </c>
      <c r="S391" s="170">
        <v>0</v>
      </c>
      <c r="T391" s="170">
        <v>0</v>
      </c>
      <c r="U391" s="170">
        <v>0.25752669623446961</v>
      </c>
      <c r="V391" s="380"/>
    </row>
    <row r="392" spans="1:22">
      <c r="A392" s="166"/>
      <c r="B392" s="199" t="s">
        <v>84</v>
      </c>
      <c r="C392" s="658">
        <v>14.161385362433743</v>
      </c>
      <c r="D392" s="201">
        <v>0</v>
      </c>
      <c r="E392" s="201">
        <v>1.7238342774084785</v>
      </c>
      <c r="F392" s="201">
        <v>-0.6798454568001322</v>
      </c>
      <c r="G392" s="656">
        <v>4.1667530167893148</v>
      </c>
      <c r="H392" s="201">
        <v>0</v>
      </c>
      <c r="I392" s="201">
        <v>0</v>
      </c>
      <c r="J392" s="202">
        <v>11.82383386814193</v>
      </c>
      <c r="K392" s="202">
        <v>0</v>
      </c>
      <c r="L392" s="201">
        <v>0</v>
      </c>
      <c r="M392" s="201">
        <v>0</v>
      </c>
      <c r="N392" s="201">
        <v>0</v>
      </c>
      <c r="O392" s="202">
        <v>0</v>
      </c>
      <c r="P392" s="202">
        <v>0</v>
      </c>
      <c r="Q392" s="201">
        <v>0</v>
      </c>
      <c r="R392" s="202">
        <v>0</v>
      </c>
      <c r="S392" s="202">
        <v>0</v>
      </c>
      <c r="T392" s="202">
        <v>0</v>
      </c>
      <c r="U392" s="202">
        <v>11.82383386814193</v>
      </c>
      <c r="V392" s="380"/>
    </row>
    <row r="393" spans="1:22">
      <c r="A393" s="166"/>
      <c r="B393" s="246" t="s">
        <v>85</v>
      </c>
      <c r="C393" s="297">
        <v>4.9838283245511601E-2</v>
      </c>
      <c r="D393" s="298">
        <v>0</v>
      </c>
      <c r="E393" s="298">
        <v>1.4765508119945361E-2</v>
      </c>
      <c r="F393" s="298">
        <v>2.0780167699598978E-2</v>
      </c>
      <c r="G393" s="298">
        <v>0.11111594423541182</v>
      </c>
      <c r="H393" s="298">
        <v>0</v>
      </c>
      <c r="I393" s="298">
        <v>0</v>
      </c>
      <c r="J393" s="307">
        <v>5.2019800693150056E-2</v>
      </c>
      <c r="K393" s="307">
        <v>0</v>
      </c>
      <c r="L393" s="298">
        <v>0</v>
      </c>
      <c r="M393" s="298">
        <v>0</v>
      </c>
      <c r="N393" s="298">
        <v>0</v>
      </c>
      <c r="O393" s="307">
        <v>0</v>
      </c>
      <c r="P393" s="165">
        <v>0</v>
      </c>
      <c r="Q393" s="298">
        <v>0</v>
      </c>
      <c r="R393" s="307">
        <v>0</v>
      </c>
      <c r="S393" s="307">
        <v>0</v>
      </c>
      <c r="T393" s="307">
        <v>0</v>
      </c>
      <c r="U393" s="307">
        <v>5.2019800693150056E-2</v>
      </c>
      <c r="V393" s="380"/>
    </row>
    <row r="394" spans="1:22">
      <c r="A394" s="166"/>
      <c r="B394" s="167" t="s">
        <v>86</v>
      </c>
      <c r="C394" s="168">
        <v>4.1770250149901298E-3</v>
      </c>
      <c r="D394" s="169">
        <v>0</v>
      </c>
      <c r="E394" s="169">
        <v>1.4034311012728279E-2</v>
      </c>
      <c r="F394" s="169">
        <v>7.2189755929872807E-3</v>
      </c>
      <c r="G394" s="169">
        <v>0.10375383416914163</v>
      </c>
      <c r="H394" s="169">
        <v>0</v>
      </c>
      <c r="I394" s="169">
        <v>0</v>
      </c>
      <c r="J394" s="170">
        <v>2.3102790374807235E-2</v>
      </c>
      <c r="K394" s="170">
        <v>0</v>
      </c>
      <c r="L394" s="169">
        <v>0</v>
      </c>
      <c r="M394" s="169">
        <v>0</v>
      </c>
      <c r="N394" s="169">
        <v>0</v>
      </c>
      <c r="O394" s="170">
        <v>0</v>
      </c>
      <c r="P394" s="170">
        <v>0</v>
      </c>
      <c r="Q394" s="169">
        <v>0</v>
      </c>
      <c r="R394" s="170">
        <v>0</v>
      </c>
      <c r="S394" s="170">
        <v>0</v>
      </c>
      <c r="T394" s="170">
        <v>0</v>
      </c>
      <c r="U394" s="170">
        <v>2.3102790374807235E-2</v>
      </c>
      <c r="V394" s="380"/>
    </row>
    <row r="395" spans="1:22">
      <c r="A395" s="166"/>
      <c r="B395" s="199" t="s">
        <v>87</v>
      </c>
      <c r="C395" s="658">
        <v>-4.5661258230521469</v>
      </c>
      <c r="D395" s="201">
        <v>0</v>
      </c>
      <c r="E395" s="201">
        <v>-7.3119710721708184E-2</v>
      </c>
      <c r="F395" s="201">
        <v>-1.3561192106611699</v>
      </c>
      <c r="G395" s="201">
        <v>-0.73621100662701888</v>
      </c>
      <c r="H395" s="201">
        <v>0</v>
      </c>
      <c r="I395" s="201">
        <v>0</v>
      </c>
      <c r="J395" s="202">
        <v>-2.8917010318342822</v>
      </c>
      <c r="K395" s="202">
        <v>0</v>
      </c>
      <c r="L395" s="201">
        <v>0</v>
      </c>
      <c r="M395" s="201">
        <v>0</v>
      </c>
      <c r="N395" s="201">
        <v>0</v>
      </c>
      <c r="O395" s="202">
        <v>0</v>
      </c>
      <c r="P395" s="202">
        <v>0</v>
      </c>
      <c r="Q395" s="201">
        <v>0</v>
      </c>
      <c r="R395" s="202">
        <v>0</v>
      </c>
      <c r="S395" s="202">
        <v>0</v>
      </c>
      <c r="T395" s="202">
        <v>0</v>
      </c>
      <c r="U395" s="202">
        <v>-2.8917010318342822</v>
      </c>
      <c r="V395" s="380"/>
    </row>
    <row r="396" spans="1:22">
      <c r="A396" s="166"/>
      <c r="B396" s="246" t="s">
        <v>88</v>
      </c>
      <c r="C396" s="297">
        <v>1.0317186260270398E-2</v>
      </c>
      <c r="D396" s="298">
        <v>0</v>
      </c>
      <c r="E396" s="298">
        <v>3.6360876824006419E-2</v>
      </c>
      <c r="F396" s="298">
        <v>0</v>
      </c>
      <c r="G396" s="298">
        <v>1.6464037930359512E-2</v>
      </c>
      <c r="H396" s="298">
        <v>0</v>
      </c>
      <c r="I396" s="298">
        <v>0</v>
      </c>
      <c r="J396" s="307">
        <v>1.3309487517638005E-2</v>
      </c>
      <c r="K396" s="307">
        <v>0</v>
      </c>
      <c r="L396" s="298">
        <v>0</v>
      </c>
      <c r="M396" s="298">
        <v>0</v>
      </c>
      <c r="N396" s="298">
        <v>0</v>
      </c>
      <c r="O396" s="307">
        <v>0</v>
      </c>
      <c r="P396" s="165">
        <v>0</v>
      </c>
      <c r="Q396" s="298">
        <v>0</v>
      </c>
      <c r="R396" s="307">
        <v>0</v>
      </c>
      <c r="S396" s="307">
        <v>0</v>
      </c>
      <c r="T396" s="307">
        <v>0</v>
      </c>
      <c r="U396" s="307">
        <v>1.3309487517638005E-2</v>
      </c>
      <c r="V396" s="380"/>
    </row>
    <row r="397" spans="1:22">
      <c r="A397" s="166"/>
      <c r="B397" s="167" t="s">
        <v>89</v>
      </c>
      <c r="C397" s="168">
        <v>1.8210481637932777E-2</v>
      </c>
      <c r="D397" s="169">
        <v>0</v>
      </c>
      <c r="E397" s="169">
        <v>3.4311012728278918E-2</v>
      </c>
      <c r="F397" s="169">
        <v>4.640770024063252E-3</v>
      </c>
      <c r="G397" s="169">
        <v>1.9718584156969667E-2</v>
      </c>
      <c r="H397" s="169">
        <v>0</v>
      </c>
      <c r="I397" s="169">
        <v>0</v>
      </c>
      <c r="J397" s="170">
        <v>2.1157467255805834E-2</v>
      </c>
      <c r="K397" s="170">
        <v>0</v>
      </c>
      <c r="L397" s="169">
        <v>0</v>
      </c>
      <c r="M397" s="169">
        <v>0</v>
      </c>
      <c r="N397" s="169">
        <v>0</v>
      </c>
      <c r="O397" s="170">
        <v>0</v>
      </c>
      <c r="P397" s="170">
        <v>0</v>
      </c>
      <c r="Q397" s="169">
        <v>0</v>
      </c>
      <c r="R397" s="170">
        <v>0</v>
      </c>
      <c r="S397" s="170">
        <v>0</v>
      </c>
      <c r="T397" s="170">
        <v>0</v>
      </c>
      <c r="U397" s="170">
        <v>2.1157467255805834E-2</v>
      </c>
      <c r="V397" s="380"/>
    </row>
    <row r="398" spans="1:22">
      <c r="A398" s="166"/>
      <c r="B398" s="199" t="s">
        <v>90</v>
      </c>
      <c r="C398" s="200">
        <v>0.78932953776623782</v>
      </c>
      <c r="D398" s="201">
        <v>0</v>
      </c>
      <c r="E398" s="201">
        <v>-0.20498640957275008</v>
      </c>
      <c r="F398" s="201">
        <v>0</v>
      </c>
      <c r="G398" s="201">
        <v>0.32545462266101549</v>
      </c>
      <c r="H398" s="201">
        <v>0</v>
      </c>
      <c r="I398" s="201">
        <v>0</v>
      </c>
      <c r="J398" s="202">
        <v>0.78479797381678285</v>
      </c>
      <c r="K398" s="202">
        <v>0</v>
      </c>
      <c r="L398" s="201">
        <v>0</v>
      </c>
      <c r="M398" s="201">
        <v>0</v>
      </c>
      <c r="N398" s="201">
        <v>0</v>
      </c>
      <c r="O398" s="202">
        <v>0</v>
      </c>
      <c r="P398" s="202">
        <v>0</v>
      </c>
      <c r="Q398" s="201">
        <v>0</v>
      </c>
      <c r="R398" s="202">
        <v>0</v>
      </c>
      <c r="S398" s="202">
        <v>0</v>
      </c>
      <c r="T398" s="202">
        <v>0</v>
      </c>
      <c r="U398" s="202">
        <v>0.78479797381678285</v>
      </c>
      <c r="V398" s="380"/>
    </row>
    <row r="399" spans="1:22">
      <c r="A399" s="166"/>
      <c r="B399" s="246" t="s">
        <v>91</v>
      </c>
      <c r="C399" s="297">
        <v>3.9091433888556468E-3</v>
      </c>
      <c r="D399" s="298">
        <v>0</v>
      </c>
      <c r="E399" s="298">
        <v>0</v>
      </c>
      <c r="F399" s="298">
        <v>0</v>
      </c>
      <c r="G399" s="298">
        <v>0</v>
      </c>
      <c r="H399" s="298">
        <v>0</v>
      </c>
      <c r="I399" s="298">
        <v>0</v>
      </c>
      <c r="J399" s="307">
        <v>3.1093210442119036E-3</v>
      </c>
      <c r="K399" s="307">
        <v>0</v>
      </c>
      <c r="L399" s="298">
        <v>0</v>
      </c>
      <c r="M399" s="298">
        <v>0</v>
      </c>
      <c r="N399" s="298">
        <v>0</v>
      </c>
      <c r="O399" s="307">
        <v>0</v>
      </c>
      <c r="P399" s="165">
        <v>0</v>
      </c>
      <c r="Q399" s="298">
        <v>0</v>
      </c>
      <c r="R399" s="307">
        <v>0</v>
      </c>
      <c r="S399" s="307">
        <v>0</v>
      </c>
      <c r="T399" s="307">
        <v>0</v>
      </c>
      <c r="U399" s="307">
        <v>3.1093210442119036E-3</v>
      </c>
      <c r="V399" s="380"/>
    </row>
    <row r="400" spans="1:22">
      <c r="A400" s="166"/>
      <c r="B400" s="167" t="s">
        <v>92</v>
      </c>
      <c r="C400" s="168">
        <v>2.3714722665750415E-3</v>
      </c>
      <c r="D400" s="169">
        <v>0</v>
      </c>
      <c r="E400" s="169">
        <v>0</v>
      </c>
      <c r="F400" s="169">
        <v>0</v>
      </c>
      <c r="G400" s="169">
        <v>0</v>
      </c>
      <c r="H400" s="169">
        <v>0</v>
      </c>
      <c r="I400" s="169">
        <v>0</v>
      </c>
      <c r="J400" s="170">
        <v>1.4631490125822501E-3</v>
      </c>
      <c r="K400" s="170">
        <v>0</v>
      </c>
      <c r="L400" s="169">
        <v>0</v>
      </c>
      <c r="M400" s="169">
        <v>0</v>
      </c>
      <c r="N400" s="169">
        <v>0</v>
      </c>
      <c r="O400" s="170">
        <v>0</v>
      </c>
      <c r="P400" s="170">
        <v>0</v>
      </c>
      <c r="Q400" s="169">
        <v>0</v>
      </c>
      <c r="R400" s="170">
        <v>0</v>
      </c>
      <c r="S400" s="170">
        <v>0</v>
      </c>
      <c r="T400" s="170">
        <v>0</v>
      </c>
      <c r="U400" s="170">
        <v>1.4631490125822501E-3</v>
      </c>
      <c r="V400" s="380"/>
    </row>
    <row r="401" spans="1:22" ht="15.75" thickBot="1">
      <c r="A401" s="310"/>
      <c r="B401" s="311" t="s">
        <v>93</v>
      </c>
      <c r="C401" s="312">
        <v>-0.15376711222806053</v>
      </c>
      <c r="D401" s="313">
        <v>0</v>
      </c>
      <c r="E401" s="313">
        <v>0</v>
      </c>
      <c r="F401" s="313">
        <v>0</v>
      </c>
      <c r="G401" s="313">
        <v>0</v>
      </c>
      <c r="H401" s="313">
        <v>0</v>
      </c>
      <c r="I401" s="313">
        <v>0</v>
      </c>
      <c r="J401" s="314">
        <v>-0.16461720316296535</v>
      </c>
      <c r="K401" s="314">
        <v>0</v>
      </c>
      <c r="L401" s="313">
        <v>0</v>
      </c>
      <c r="M401" s="313">
        <v>0</v>
      </c>
      <c r="N401" s="313">
        <v>0</v>
      </c>
      <c r="O401" s="314">
        <v>0</v>
      </c>
      <c r="P401" s="314">
        <v>0</v>
      </c>
      <c r="Q401" s="313">
        <v>0</v>
      </c>
      <c r="R401" s="314">
        <v>0</v>
      </c>
      <c r="S401" s="314">
        <v>0</v>
      </c>
      <c r="T401" s="314">
        <v>0</v>
      </c>
      <c r="U401" s="314">
        <v>-0.16461720316296535</v>
      </c>
      <c r="V401" s="380"/>
    </row>
    <row r="402" spans="1:22">
      <c r="A402" s="296" t="s">
        <v>50</v>
      </c>
      <c r="B402" s="246" t="s">
        <v>59</v>
      </c>
      <c r="C402" s="297">
        <v>0.92551853699967301</v>
      </c>
      <c r="D402" s="298">
        <v>0</v>
      </c>
      <c r="E402" s="298">
        <v>0.97375313781691497</v>
      </c>
      <c r="F402" s="298">
        <v>0</v>
      </c>
      <c r="G402" s="298">
        <v>0.94306458550558836</v>
      </c>
      <c r="H402" s="298">
        <v>0.87371758458063065</v>
      </c>
      <c r="I402" s="298">
        <v>0</v>
      </c>
      <c r="J402" s="307">
        <v>0.93114989580090046</v>
      </c>
      <c r="K402" s="307">
        <v>0</v>
      </c>
      <c r="L402" s="298">
        <v>0.73103188288997178</v>
      </c>
      <c r="M402" s="298">
        <v>0.76692541928969249</v>
      </c>
      <c r="N402" s="298">
        <v>0.86117462803445577</v>
      </c>
      <c r="O402" s="307">
        <v>0.75165144664681871</v>
      </c>
      <c r="P402" s="165">
        <v>0</v>
      </c>
      <c r="Q402" s="298">
        <v>0</v>
      </c>
      <c r="R402" s="307">
        <v>0</v>
      </c>
      <c r="S402" s="307">
        <v>0</v>
      </c>
      <c r="T402" s="307">
        <v>0</v>
      </c>
      <c r="U402" s="307">
        <v>0.84355923145657385</v>
      </c>
      <c r="V402" s="380"/>
    </row>
    <row r="403" spans="1:22">
      <c r="A403" s="166"/>
      <c r="B403" s="167" t="s">
        <v>60</v>
      </c>
      <c r="C403" s="168">
        <v>0.87812861082693527</v>
      </c>
      <c r="D403" s="169">
        <v>0</v>
      </c>
      <c r="E403" s="169">
        <v>0.94826051191084726</v>
      </c>
      <c r="F403" s="169">
        <v>0</v>
      </c>
      <c r="G403" s="169">
        <v>0.91540879768881833</v>
      </c>
      <c r="H403" s="169">
        <v>0.85543716549035898</v>
      </c>
      <c r="I403" s="169">
        <v>0</v>
      </c>
      <c r="J403" s="170">
        <v>0.8953840697410036</v>
      </c>
      <c r="K403" s="170">
        <v>0</v>
      </c>
      <c r="L403" s="169">
        <v>0.67637056613223079</v>
      </c>
      <c r="M403" s="169">
        <v>0.7234296874460211</v>
      </c>
      <c r="N403" s="169">
        <v>0.81932346451295013</v>
      </c>
      <c r="O403" s="170">
        <v>0.70135606224566283</v>
      </c>
      <c r="P403" s="170">
        <v>0</v>
      </c>
      <c r="Q403" s="169">
        <v>0</v>
      </c>
      <c r="R403" s="170">
        <v>0</v>
      </c>
      <c r="S403" s="170">
        <v>0</v>
      </c>
      <c r="T403" s="170">
        <v>0</v>
      </c>
      <c r="U403" s="170">
        <v>0.81332509150278265</v>
      </c>
      <c r="V403" s="380"/>
    </row>
    <row r="404" spans="1:22">
      <c r="A404" s="166"/>
      <c r="B404" s="199" t="s">
        <v>236</v>
      </c>
      <c r="C404" s="658">
        <v>-4.738992617273774</v>
      </c>
      <c r="D404" s="201">
        <v>0</v>
      </c>
      <c r="E404" s="201">
        <v>-2.5492625906067712</v>
      </c>
      <c r="F404" s="201">
        <v>0</v>
      </c>
      <c r="G404" s="201">
        <v>-2.7655787816770028</v>
      </c>
      <c r="H404" s="201">
        <v>-1.8280419090271671</v>
      </c>
      <c r="I404" s="201">
        <v>0</v>
      </c>
      <c r="J404" s="202">
        <v>-3.5765826059896866</v>
      </c>
      <c r="K404" s="202">
        <v>0</v>
      </c>
      <c r="L404" s="656">
        <v>-5.4661316757740996</v>
      </c>
      <c r="M404" s="656">
        <v>-4.3495731843671397</v>
      </c>
      <c r="N404" s="656">
        <v>-4.1851163521505637</v>
      </c>
      <c r="O404" s="202">
        <v>-5.0295384401155889</v>
      </c>
      <c r="P404" s="202">
        <v>0</v>
      </c>
      <c r="Q404" s="201">
        <v>0</v>
      </c>
      <c r="R404" s="202">
        <v>0</v>
      </c>
      <c r="S404" s="202">
        <v>0</v>
      </c>
      <c r="T404" s="202">
        <v>0</v>
      </c>
      <c r="U404" s="202">
        <v>-3.0234139953791206</v>
      </c>
      <c r="V404" s="380"/>
    </row>
    <row r="405" spans="1:22">
      <c r="A405" s="166"/>
      <c r="B405" s="246" t="s">
        <v>61</v>
      </c>
      <c r="C405" s="297">
        <v>2.141483683149446E-2</v>
      </c>
      <c r="D405" s="298">
        <v>0</v>
      </c>
      <c r="E405" s="298">
        <v>8.876706954237824E-3</v>
      </c>
      <c r="F405" s="298">
        <v>0</v>
      </c>
      <c r="G405" s="298">
        <v>4.7697653626755723E-3</v>
      </c>
      <c r="H405" s="298">
        <v>4.7478764019710157E-2</v>
      </c>
      <c r="I405" s="298">
        <v>0</v>
      </c>
      <c r="J405" s="307">
        <v>1.9722759719359637E-2</v>
      </c>
      <c r="K405" s="307">
        <v>0</v>
      </c>
      <c r="L405" s="298">
        <v>5.0141930731337277E-2</v>
      </c>
      <c r="M405" s="298">
        <v>5.8876082737728971E-2</v>
      </c>
      <c r="N405" s="298">
        <v>3.0219263899765075E-2</v>
      </c>
      <c r="O405" s="307">
        <v>4.9877516955413446E-2</v>
      </c>
      <c r="P405" s="165">
        <v>0</v>
      </c>
      <c r="Q405" s="298">
        <v>0</v>
      </c>
      <c r="R405" s="307">
        <v>0</v>
      </c>
      <c r="S405" s="307">
        <v>0</v>
      </c>
      <c r="T405" s="307">
        <v>0</v>
      </c>
      <c r="U405" s="307">
        <v>3.4437512030008124E-2</v>
      </c>
      <c r="V405" s="380"/>
    </row>
    <row r="406" spans="1:22">
      <c r="A406" s="166"/>
      <c r="B406" s="167" t="s">
        <v>62</v>
      </c>
      <c r="C406" s="168">
        <v>4.1145797121601893E-2</v>
      </c>
      <c r="D406" s="169">
        <v>0</v>
      </c>
      <c r="E406" s="169">
        <v>2.1770259611446057E-2</v>
      </c>
      <c r="F406" s="169">
        <v>0</v>
      </c>
      <c r="G406" s="169">
        <v>9.6009136045136813E-3</v>
      </c>
      <c r="H406" s="169">
        <v>4.3292859602989335E-2</v>
      </c>
      <c r="I406" s="169">
        <v>0</v>
      </c>
      <c r="J406" s="170">
        <v>3.2458620891531391E-2</v>
      </c>
      <c r="K406" s="170">
        <v>0</v>
      </c>
      <c r="L406" s="169">
        <v>5.8720181158005702E-2</v>
      </c>
      <c r="M406" s="169">
        <v>7.335380023353455E-2</v>
      </c>
      <c r="N406" s="169">
        <v>4.3060048415775834E-2</v>
      </c>
      <c r="O406" s="170">
        <v>5.9973638573510575E-2</v>
      </c>
      <c r="P406" s="170">
        <v>0</v>
      </c>
      <c r="Q406" s="169">
        <v>0</v>
      </c>
      <c r="R406" s="170">
        <v>0</v>
      </c>
      <c r="S406" s="170">
        <v>0</v>
      </c>
      <c r="T406" s="170">
        <v>0</v>
      </c>
      <c r="U406" s="170">
        <v>4.4095364814926118E-2</v>
      </c>
      <c r="V406" s="380"/>
    </row>
    <row r="407" spans="1:22">
      <c r="A407" s="166"/>
      <c r="B407" s="199" t="s">
        <v>63</v>
      </c>
      <c r="C407" s="200">
        <v>1.9730960290107433</v>
      </c>
      <c r="D407" s="201">
        <v>0</v>
      </c>
      <c r="E407" s="201">
        <v>1.2893552657208234</v>
      </c>
      <c r="F407" s="201">
        <v>0</v>
      </c>
      <c r="G407" s="201">
        <v>0.48311482418381091</v>
      </c>
      <c r="H407" s="201">
        <v>-0.41859044167208215</v>
      </c>
      <c r="I407" s="201">
        <v>0</v>
      </c>
      <c r="J407" s="202">
        <v>1.2735861172171754</v>
      </c>
      <c r="K407" s="202">
        <v>0</v>
      </c>
      <c r="L407" s="201">
        <v>0.85782504266684256</v>
      </c>
      <c r="M407" s="201">
        <v>1.4477717495805578</v>
      </c>
      <c r="N407" s="201">
        <v>1.2840784516010759</v>
      </c>
      <c r="O407" s="202">
        <v>1.0096121618097129</v>
      </c>
      <c r="P407" s="202">
        <v>0</v>
      </c>
      <c r="Q407" s="201">
        <v>0</v>
      </c>
      <c r="R407" s="202">
        <v>0</v>
      </c>
      <c r="S407" s="202">
        <v>0</v>
      </c>
      <c r="T407" s="202">
        <v>0</v>
      </c>
      <c r="U407" s="202">
        <v>0.96578527849179929</v>
      </c>
      <c r="V407" s="380"/>
    </row>
    <row r="408" spans="1:22">
      <c r="A408" s="166"/>
      <c r="B408" s="246" t="s">
        <v>64</v>
      </c>
      <c r="C408" s="297">
        <v>5.1032895651384358E-2</v>
      </c>
      <c r="D408" s="298">
        <v>0</v>
      </c>
      <c r="E408" s="298">
        <v>1.7190332436035762E-2</v>
      </c>
      <c r="F408" s="298">
        <v>0</v>
      </c>
      <c r="G408" s="298">
        <v>5.2165649131736054E-2</v>
      </c>
      <c r="H408" s="298">
        <v>7.5395326102751764E-2</v>
      </c>
      <c r="I408" s="298">
        <v>0</v>
      </c>
      <c r="J408" s="307">
        <v>4.7629780885816507E-2</v>
      </c>
      <c r="K408" s="307">
        <v>0</v>
      </c>
      <c r="L408" s="298">
        <v>0.2111566733999814</v>
      </c>
      <c r="M408" s="298">
        <v>0.1706406494059734</v>
      </c>
      <c r="N408" s="298">
        <v>7.9698512137823016E-2</v>
      </c>
      <c r="O408" s="307">
        <v>0.18946289050364562</v>
      </c>
      <c r="P408" s="165">
        <v>0</v>
      </c>
      <c r="Q408" s="298">
        <v>0</v>
      </c>
      <c r="R408" s="307">
        <v>0</v>
      </c>
      <c r="S408" s="307">
        <v>0</v>
      </c>
      <c r="T408" s="307">
        <v>0</v>
      </c>
      <c r="U408" s="307">
        <v>0.11684072034514974</v>
      </c>
      <c r="V408" s="380"/>
    </row>
    <row r="409" spans="1:22">
      <c r="A409" s="166"/>
      <c r="B409" s="167" t="s">
        <v>65</v>
      </c>
      <c r="C409" s="168">
        <v>6.9097446390083528E-2</v>
      </c>
      <c r="D409" s="169">
        <v>0</v>
      </c>
      <c r="E409" s="169">
        <v>2.988290572539886E-2</v>
      </c>
      <c r="F409" s="169">
        <v>0</v>
      </c>
      <c r="G409" s="169">
        <v>7.499028870666799E-2</v>
      </c>
      <c r="H409" s="169">
        <v>9.9400274441413319E-2</v>
      </c>
      <c r="I409" s="169">
        <v>0</v>
      </c>
      <c r="J409" s="170">
        <v>6.5929850549157301E-2</v>
      </c>
      <c r="K409" s="170">
        <v>0</v>
      </c>
      <c r="L409" s="169">
        <v>0.25629495797527385</v>
      </c>
      <c r="M409" s="169">
        <v>0.19901565418462128</v>
      </c>
      <c r="N409" s="169">
        <v>9.4303648321515027E-2</v>
      </c>
      <c r="O409" s="170">
        <v>0.22718477985236488</v>
      </c>
      <c r="P409" s="170">
        <v>0</v>
      </c>
      <c r="Q409" s="169">
        <v>0</v>
      </c>
      <c r="R409" s="170">
        <v>0</v>
      </c>
      <c r="S409" s="170">
        <v>0</v>
      </c>
      <c r="T409" s="170">
        <v>0</v>
      </c>
      <c r="U409" s="170">
        <v>0.1341283282087061</v>
      </c>
      <c r="V409" s="380"/>
    </row>
    <row r="410" spans="1:22">
      <c r="A410" s="166"/>
      <c r="B410" s="199" t="s">
        <v>66</v>
      </c>
      <c r="C410" s="200">
        <v>1.806455073869917</v>
      </c>
      <c r="D410" s="201">
        <v>0</v>
      </c>
      <c r="E410" s="201">
        <v>1.2692573289363098</v>
      </c>
      <c r="F410" s="201">
        <v>0</v>
      </c>
      <c r="G410" s="201">
        <v>2.2824639574931935</v>
      </c>
      <c r="H410" s="201">
        <v>2.4004948338661554</v>
      </c>
      <c r="I410" s="201">
        <v>0</v>
      </c>
      <c r="J410" s="202">
        <v>1.8300069663340794</v>
      </c>
      <c r="K410" s="202">
        <v>0</v>
      </c>
      <c r="L410" s="656">
        <v>4.5138284575292449</v>
      </c>
      <c r="M410" s="201">
        <v>2.8375004778647877</v>
      </c>
      <c r="N410" s="201">
        <v>1.4605136183692011</v>
      </c>
      <c r="O410" s="202">
        <v>3.7721889348719255</v>
      </c>
      <c r="P410" s="202">
        <v>0</v>
      </c>
      <c r="Q410" s="201">
        <v>0</v>
      </c>
      <c r="R410" s="202">
        <v>0</v>
      </c>
      <c r="S410" s="202">
        <v>0</v>
      </c>
      <c r="T410" s="202">
        <v>0</v>
      </c>
      <c r="U410" s="202">
        <v>1.7287607863556362</v>
      </c>
      <c r="V410" s="380"/>
    </row>
    <row r="411" spans="1:22">
      <c r="A411" s="166"/>
      <c r="B411" s="246" t="s">
        <v>67</v>
      </c>
      <c r="C411" s="297">
        <v>1.2768067136409401E-3</v>
      </c>
      <c r="D411" s="298">
        <v>0</v>
      </c>
      <c r="E411" s="298">
        <v>1.7982279281144762E-4</v>
      </c>
      <c r="F411" s="298">
        <v>0</v>
      </c>
      <c r="G411" s="298">
        <v>0</v>
      </c>
      <c r="H411" s="298">
        <v>2.5839861553298019E-3</v>
      </c>
      <c r="I411" s="298">
        <v>0</v>
      </c>
      <c r="J411" s="307">
        <v>1.0184960564795413E-3</v>
      </c>
      <c r="K411" s="307">
        <v>0</v>
      </c>
      <c r="L411" s="298">
        <v>7.6695129787095247E-3</v>
      </c>
      <c r="M411" s="298">
        <v>3.5578485666051341E-3</v>
      </c>
      <c r="N411" s="298">
        <v>1.5516836335160532E-2</v>
      </c>
      <c r="O411" s="307">
        <v>7.6372016542727164E-3</v>
      </c>
      <c r="P411" s="165">
        <v>0</v>
      </c>
      <c r="Q411" s="298">
        <v>0</v>
      </c>
      <c r="R411" s="307">
        <v>0</v>
      </c>
      <c r="S411" s="307">
        <v>0</v>
      </c>
      <c r="T411" s="307">
        <v>0</v>
      </c>
      <c r="U411" s="307">
        <v>4.2482555510174064E-3</v>
      </c>
      <c r="V411" s="380"/>
    </row>
    <row r="412" spans="1:22">
      <c r="A412" s="166"/>
      <c r="B412" s="167" t="s">
        <v>68</v>
      </c>
      <c r="C412" s="168">
        <v>8.575600162890714E-3</v>
      </c>
      <c r="D412" s="169">
        <v>0</v>
      </c>
      <c r="E412" s="169">
        <v>8.6322752307864176E-5</v>
      </c>
      <c r="F412" s="169">
        <v>0</v>
      </c>
      <c r="G412" s="169">
        <v>0</v>
      </c>
      <c r="H412" s="169">
        <v>1.5416828397579231E-3</v>
      </c>
      <c r="I412" s="169">
        <v>0</v>
      </c>
      <c r="J412" s="170">
        <v>4.6174959733910241E-3</v>
      </c>
      <c r="K412" s="170">
        <v>0</v>
      </c>
      <c r="L412" s="169">
        <v>8.6142947344896251E-3</v>
      </c>
      <c r="M412" s="169">
        <v>4.1985550337749911E-3</v>
      </c>
      <c r="N412" s="169">
        <v>1.7943829130872554E-2</v>
      </c>
      <c r="O412" s="170">
        <v>8.7351252539307599E-3</v>
      </c>
      <c r="P412" s="170">
        <v>0</v>
      </c>
      <c r="Q412" s="169">
        <v>0</v>
      </c>
      <c r="R412" s="170">
        <v>0</v>
      </c>
      <c r="S412" s="170">
        <v>0</v>
      </c>
      <c r="T412" s="170">
        <v>0</v>
      </c>
      <c r="U412" s="170">
        <v>6.3589376131140173E-3</v>
      </c>
      <c r="V412" s="380"/>
    </row>
    <row r="413" spans="1:22">
      <c r="A413" s="166"/>
      <c r="B413" s="199" t="s">
        <v>69</v>
      </c>
      <c r="C413" s="200">
        <v>0.72987934492497741</v>
      </c>
      <c r="D413" s="201">
        <v>0</v>
      </c>
      <c r="E413" s="201">
        <v>-9.3500040503583445E-3</v>
      </c>
      <c r="F413" s="201">
        <v>0</v>
      </c>
      <c r="G413" s="201">
        <v>0</v>
      </c>
      <c r="H413" s="201">
        <v>-0.10423033155718787</v>
      </c>
      <c r="I413" s="201">
        <v>0</v>
      </c>
      <c r="J413" s="202">
        <v>0.35989999169114828</v>
      </c>
      <c r="K413" s="202">
        <v>0</v>
      </c>
      <c r="L413" s="201">
        <v>9.447817557801004E-2</v>
      </c>
      <c r="M413" s="201">
        <v>6.4070646716985702E-2</v>
      </c>
      <c r="N413" s="201">
        <v>0.24269927957120216</v>
      </c>
      <c r="O413" s="202">
        <v>0.10979235996580435</v>
      </c>
      <c r="P413" s="202">
        <v>0</v>
      </c>
      <c r="Q413" s="201">
        <v>0</v>
      </c>
      <c r="R413" s="202">
        <v>0</v>
      </c>
      <c r="S413" s="202">
        <v>0</v>
      </c>
      <c r="T413" s="202">
        <v>0</v>
      </c>
      <c r="U413" s="202">
        <v>0.21106820620966107</v>
      </c>
      <c r="V413" s="380"/>
    </row>
    <row r="414" spans="1:22">
      <c r="A414" s="166"/>
      <c r="B414" s="246" t="s">
        <v>70</v>
      </c>
      <c r="C414" s="297">
        <v>7.569238038072785E-4</v>
      </c>
      <c r="D414" s="298">
        <v>0</v>
      </c>
      <c r="E414" s="298">
        <v>0</v>
      </c>
      <c r="F414" s="298">
        <v>0</v>
      </c>
      <c r="G414" s="298">
        <v>0</v>
      </c>
      <c r="H414" s="298">
        <v>8.2433914157760543E-4</v>
      </c>
      <c r="I414" s="298">
        <v>0</v>
      </c>
      <c r="J414" s="307">
        <v>4.7906753744386525E-4</v>
      </c>
      <c r="K414" s="307">
        <v>0</v>
      </c>
      <c r="L414" s="298">
        <v>0</v>
      </c>
      <c r="M414" s="298">
        <v>0</v>
      </c>
      <c r="N414" s="298">
        <v>1.3390759592795615E-2</v>
      </c>
      <c r="O414" s="307">
        <v>1.3709442398495007E-3</v>
      </c>
      <c r="P414" s="165">
        <v>0</v>
      </c>
      <c r="Q414" s="298">
        <v>0</v>
      </c>
      <c r="R414" s="307">
        <v>0</v>
      </c>
      <c r="S414" s="307">
        <v>0</v>
      </c>
      <c r="T414" s="307">
        <v>0</v>
      </c>
      <c r="U414" s="307">
        <v>9.1428061725091429E-4</v>
      </c>
      <c r="V414" s="380"/>
    </row>
    <row r="415" spans="1:22">
      <c r="A415" s="166"/>
      <c r="B415" s="167" t="s">
        <v>71</v>
      </c>
      <c r="C415" s="168">
        <v>3.0525454984886256E-3</v>
      </c>
      <c r="D415" s="169">
        <v>0</v>
      </c>
      <c r="E415" s="169">
        <v>0</v>
      </c>
      <c r="F415" s="169">
        <v>0</v>
      </c>
      <c r="G415" s="169">
        <v>0</v>
      </c>
      <c r="H415" s="169">
        <v>3.2801762548040917E-4</v>
      </c>
      <c r="I415" s="169">
        <v>0</v>
      </c>
      <c r="J415" s="170">
        <v>1.60996284491667E-3</v>
      </c>
      <c r="K415" s="170">
        <v>0</v>
      </c>
      <c r="L415" s="169">
        <v>0</v>
      </c>
      <c r="M415" s="169">
        <v>2.3031020481486516E-6</v>
      </c>
      <c r="N415" s="169">
        <v>2.5369009618886437E-2</v>
      </c>
      <c r="O415" s="170">
        <v>2.7503940745309424E-3</v>
      </c>
      <c r="P415" s="170">
        <v>0</v>
      </c>
      <c r="Q415" s="169">
        <v>0</v>
      </c>
      <c r="R415" s="170">
        <v>0</v>
      </c>
      <c r="S415" s="170">
        <v>0</v>
      </c>
      <c r="T415" s="170">
        <v>0</v>
      </c>
      <c r="U415" s="170">
        <v>2.0922778604710729E-3</v>
      </c>
      <c r="V415" s="380"/>
    </row>
    <row r="416" spans="1:22">
      <c r="A416" s="166"/>
      <c r="B416" s="199" t="s">
        <v>72</v>
      </c>
      <c r="C416" s="200">
        <v>0.22956216946813471</v>
      </c>
      <c r="D416" s="201">
        <v>0</v>
      </c>
      <c r="E416" s="201">
        <v>0</v>
      </c>
      <c r="F416" s="201">
        <v>0</v>
      </c>
      <c r="G416" s="201">
        <v>0</v>
      </c>
      <c r="H416" s="201">
        <v>-4.9632151609719635E-2</v>
      </c>
      <c r="I416" s="201">
        <v>0</v>
      </c>
      <c r="J416" s="202">
        <v>0.11308953074728048</v>
      </c>
      <c r="K416" s="202">
        <v>0</v>
      </c>
      <c r="L416" s="201">
        <v>0</v>
      </c>
      <c r="M416" s="201">
        <v>0</v>
      </c>
      <c r="N416" s="201">
        <v>1.1978250026090822</v>
      </c>
      <c r="O416" s="202">
        <v>0.13794498346814416</v>
      </c>
      <c r="P416" s="202">
        <v>0</v>
      </c>
      <c r="Q416" s="201">
        <v>0</v>
      </c>
      <c r="R416" s="202">
        <v>0</v>
      </c>
      <c r="S416" s="202">
        <v>0</v>
      </c>
      <c r="T416" s="202">
        <v>0</v>
      </c>
      <c r="U416" s="202">
        <v>0.11779972432201585</v>
      </c>
      <c r="V416" s="380"/>
    </row>
    <row r="417" spans="1:22">
      <c r="A417" s="166"/>
      <c r="B417" s="246" t="s">
        <v>73</v>
      </c>
      <c r="C417" s="297">
        <v>0</v>
      </c>
      <c r="D417" s="298">
        <v>0</v>
      </c>
      <c r="E417" s="298">
        <v>0</v>
      </c>
      <c r="F417" s="298">
        <v>0</v>
      </c>
      <c r="G417" s="298">
        <v>0</v>
      </c>
      <c r="H417" s="298">
        <v>0</v>
      </c>
      <c r="I417" s="298">
        <v>0</v>
      </c>
      <c r="J417" s="307">
        <v>0</v>
      </c>
      <c r="K417" s="307">
        <v>0</v>
      </c>
      <c r="L417" s="298">
        <v>0</v>
      </c>
      <c r="M417" s="298">
        <v>0</v>
      </c>
      <c r="N417" s="298">
        <v>0</v>
      </c>
      <c r="O417" s="307">
        <v>0</v>
      </c>
      <c r="P417" s="165">
        <v>0</v>
      </c>
      <c r="Q417" s="298">
        <v>0</v>
      </c>
      <c r="R417" s="307">
        <v>0</v>
      </c>
      <c r="S417" s="307">
        <v>0</v>
      </c>
      <c r="T417" s="307">
        <v>0</v>
      </c>
      <c r="U417" s="307">
        <v>0</v>
      </c>
      <c r="V417" s="380"/>
    </row>
    <row r="418" spans="1:22">
      <c r="A418" s="166"/>
      <c r="B418" s="167" t="s">
        <v>74</v>
      </c>
      <c r="C418" s="168">
        <v>0</v>
      </c>
      <c r="D418" s="169">
        <v>0</v>
      </c>
      <c r="E418" s="169">
        <v>0</v>
      </c>
      <c r="F418" s="169">
        <v>0</v>
      </c>
      <c r="G418" s="169">
        <v>0</v>
      </c>
      <c r="H418" s="169">
        <v>0</v>
      </c>
      <c r="I418" s="169">
        <v>0</v>
      </c>
      <c r="J418" s="170">
        <v>0</v>
      </c>
      <c r="K418" s="170">
        <v>0</v>
      </c>
      <c r="L418" s="169">
        <v>0</v>
      </c>
      <c r="M418" s="169">
        <v>0</v>
      </c>
      <c r="N418" s="169">
        <v>0</v>
      </c>
      <c r="O418" s="170">
        <v>0</v>
      </c>
      <c r="P418" s="170">
        <v>0</v>
      </c>
      <c r="Q418" s="169">
        <v>0</v>
      </c>
      <c r="R418" s="170">
        <v>0</v>
      </c>
      <c r="S418" s="170">
        <v>0</v>
      </c>
      <c r="T418" s="170">
        <v>0</v>
      </c>
      <c r="U418" s="170">
        <v>0</v>
      </c>
      <c r="V418" s="380"/>
    </row>
    <row r="419" spans="1:22" ht="15.75" thickBot="1">
      <c r="A419" s="166"/>
      <c r="B419" s="303" t="s">
        <v>75</v>
      </c>
      <c r="C419" s="304">
        <v>0</v>
      </c>
      <c r="D419" s="305">
        <v>0</v>
      </c>
      <c r="E419" s="305">
        <v>0</v>
      </c>
      <c r="F419" s="305">
        <v>0</v>
      </c>
      <c r="G419" s="305">
        <v>0</v>
      </c>
      <c r="H419" s="305">
        <v>0</v>
      </c>
      <c r="I419" s="305">
        <v>0</v>
      </c>
      <c r="J419" s="308">
        <v>0</v>
      </c>
      <c r="K419" s="308">
        <v>0</v>
      </c>
      <c r="L419" s="305">
        <v>0</v>
      </c>
      <c r="M419" s="305">
        <v>0</v>
      </c>
      <c r="N419" s="305">
        <v>0</v>
      </c>
      <c r="O419" s="308">
        <v>0</v>
      </c>
      <c r="P419" s="308">
        <v>0</v>
      </c>
      <c r="Q419" s="305">
        <v>0</v>
      </c>
      <c r="R419" s="308">
        <v>0</v>
      </c>
      <c r="S419" s="308">
        <v>0</v>
      </c>
      <c r="T419" s="308">
        <v>0</v>
      </c>
      <c r="U419" s="308">
        <v>0</v>
      </c>
      <c r="V419" s="380"/>
    </row>
    <row r="420" spans="1:22" ht="15.75" thickTop="1">
      <c r="A420" s="166"/>
      <c r="B420" s="167" t="s">
        <v>76</v>
      </c>
      <c r="C420" s="168">
        <v>0.68349828632649767</v>
      </c>
      <c r="D420" s="169">
        <v>0</v>
      </c>
      <c r="E420" s="169">
        <v>0.68580128336126212</v>
      </c>
      <c r="F420" s="169">
        <v>0</v>
      </c>
      <c r="G420" s="169">
        <v>0.63467281593770086</v>
      </c>
      <c r="H420" s="169">
        <v>0.51289453425712084</v>
      </c>
      <c r="I420" s="169">
        <v>0</v>
      </c>
      <c r="J420" s="170">
        <v>0.67592904786337316</v>
      </c>
      <c r="K420" s="170">
        <v>0</v>
      </c>
      <c r="L420" s="169">
        <v>0</v>
      </c>
      <c r="M420" s="169">
        <v>0</v>
      </c>
      <c r="N420" s="169">
        <v>0</v>
      </c>
      <c r="O420" s="170">
        <v>0</v>
      </c>
      <c r="P420" s="170">
        <v>0</v>
      </c>
      <c r="Q420" s="169">
        <v>0</v>
      </c>
      <c r="R420" s="170">
        <v>0</v>
      </c>
      <c r="S420" s="170">
        <v>0</v>
      </c>
      <c r="T420" s="170">
        <v>0</v>
      </c>
      <c r="U420" s="170">
        <v>0.67592904786337316</v>
      </c>
      <c r="V420" s="380"/>
    </row>
    <row r="421" spans="1:22">
      <c r="A421" s="166"/>
      <c r="B421" s="167" t="s">
        <v>77</v>
      </c>
      <c r="C421" s="168">
        <v>0.69849002406645444</v>
      </c>
      <c r="D421" s="169">
        <v>0</v>
      </c>
      <c r="E421" s="169">
        <v>0.74912007706272465</v>
      </c>
      <c r="F421" s="169">
        <v>0</v>
      </c>
      <c r="G421" s="169">
        <v>0.65631577004024666</v>
      </c>
      <c r="H421" s="169">
        <v>0.66459165660131936</v>
      </c>
      <c r="I421" s="169">
        <v>0</v>
      </c>
      <c r="J421" s="170">
        <v>0.70199858061857556</v>
      </c>
      <c r="K421" s="170">
        <v>0</v>
      </c>
      <c r="L421" s="169">
        <v>0</v>
      </c>
      <c r="M421" s="169">
        <v>0</v>
      </c>
      <c r="N421" s="169">
        <v>0</v>
      </c>
      <c r="O421" s="170">
        <v>0</v>
      </c>
      <c r="P421" s="170">
        <v>0</v>
      </c>
      <c r="Q421" s="169">
        <v>0</v>
      </c>
      <c r="R421" s="170">
        <v>0</v>
      </c>
      <c r="S421" s="170">
        <v>0</v>
      </c>
      <c r="T421" s="170">
        <v>0</v>
      </c>
      <c r="U421" s="170">
        <v>0.70199858061857556</v>
      </c>
      <c r="V421" s="380"/>
    </row>
    <row r="422" spans="1:22">
      <c r="A422" s="166"/>
      <c r="B422" s="199" t="s">
        <v>78</v>
      </c>
      <c r="C422" s="200">
        <v>1.4991737739956768</v>
      </c>
      <c r="D422" s="201">
        <v>0</v>
      </c>
      <c r="E422" s="656">
        <v>6.3318793701462539</v>
      </c>
      <c r="F422" s="201">
        <v>0</v>
      </c>
      <c r="G422" s="201">
        <v>2.1642954102545797</v>
      </c>
      <c r="H422" s="656">
        <v>15.169712234419851</v>
      </c>
      <c r="I422" s="201">
        <v>0</v>
      </c>
      <c r="J422" s="202">
        <v>2.6069532755202407</v>
      </c>
      <c r="K422" s="202">
        <v>0</v>
      </c>
      <c r="L422" s="201">
        <v>0</v>
      </c>
      <c r="M422" s="201">
        <v>0</v>
      </c>
      <c r="N422" s="201">
        <v>0</v>
      </c>
      <c r="O422" s="202">
        <v>0</v>
      </c>
      <c r="P422" s="202">
        <v>0</v>
      </c>
      <c r="Q422" s="201">
        <v>0</v>
      </c>
      <c r="R422" s="202">
        <v>0</v>
      </c>
      <c r="S422" s="202">
        <v>0</v>
      </c>
      <c r="T422" s="202">
        <v>0</v>
      </c>
      <c r="U422" s="202">
        <v>2.6069532755202407</v>
      </c>
      <c r="V422" s="380"/>
    </row>
    <row r="423" spans="1:22">
      <c r="A423" s="166"/>
      <c r="B423" s="246" t="s">
        <v>79</v>
      </c>
      <c r="C423" s="297">
        <v>0.12404499758161402</v>
      </c>
      <c r="D423" s="298">
        <v>0</v>
      </c>
      <c r="E423" s="298">
        <v>0.21040585278129725</v>
      </c>
      <c r="F423" s="298">
        <v>0</v>
      </c>
      <c r="G423" s="298">
        <v>0.12418251238044835</v>
      </c>
      <c r="H423" s="298">
        <v>5.6389530408006157E-2</v>
      </c>
      <c r="I423" s="298">
        <v>0</v>
      </c>
      <c r="J423" s="307">
        <v>0.13825771457890493</v>
      </c>
      <c r="K423" s="307">
        <v>0</v>
      </c>
      <c r="L423" s="298">
        <v>0</v>
      </c>
      <c r="M423" s="298">
        <v>0</v>
      </c>
      <c r="N423" s="298">
        <v>0</v>
      </c>
      <c r="O423" s="307">
        <v>0</v>
      </c>
      <c r="P423" s="165">
        <v>0</v>
      </c>
      <c r="Q423" s="298">
        <v>0</v>
      </c>
      <c r="R423" s="307">
        <v>0</v>
      </c>
      <c r="S423" s="307">
        <v>0</v>
      </c>
      <c r="T423" s="307">
        <v>0</v>
      </c>
      <c r="U423" s="307">
        <v>0.13825771457890493</v>
      </c>
      <c r="V423" s="380"/>
    </row>
    <row r="424" spans="1:22">
      <c r="A424" s="166"/>
      <c r="B424" s="167" t="s">
        <v>80</v>
      </c>
      <c r="C424" s="168">
        <v>0.12020805838056052</v>
      </c>
      <c r="D424" s="169">
        <v>0</v>
      </c>
      <c r="E424" s="169">
        <v>0.15147641806528103</v>
      </c>
      <c r="F424" s="169">
        <v>0</v>
      </c>
      <c r="G424" s="169">
        <v>8.1084074880921606E-2</v>
      </c>
      <c r="H424" s="169">
        <v>7.0612282820774874E-3</v>
      </c>
      <c r="I424" s="169">
        <v>0</v>
      </c>
      <c r="J424" s="170">
        <v>0.11852121059499554</v>
      </c>
      <c r="K424" s="170">
        <v>0</v>
      </c>
      <c r="L424" s="169">
        <v>0</v>
      </c>
      <c r="M424" s="169">
        <v>0</v>
      </c>
      <c r="N424" s="169">
        <v>0</v>
      </c>
      <c r="O424" s="170">
        <v>0</v>
      </c>
      <c r="P424" s="170">
        <v>0</v>
      </c>
      <c r="Q424" s="169">
        <v>0</v>
      </c>
      <c r="R424" s="170">
        <v>0</v>
      </c>
      <c r="S424" s="170">
        <v>0</v>
      </c>
      <c r="T424" s="170">
        <v>0</v>
      </c>
      <c r="U424" s="170">
        <v>0.11852121059499554</v>
      </c>
      <c r="V424" s="380"/>
    </row>
    <row r="425" spans="1:22">
      <c r="A425" s="166"/>
      <c r="B425" s="199" t="s">
        <v>81</v>
      </c>
      <c r="C425" s="200">
        <v>-0.38369392010535047</v>
      </c>
      <c r="D425" s="201">
        <v>0</v>
      </c>
      <c r="E425" s="656">
        <v>-5.8929434716016225</v>
      </c>
      <c r="F425" s="201">
        <v>0</v>
      </c>
      <c r="G425" s="656">
        <v>-4.3098437499526741</v>
      </c>
      <c r="H425" s="656">
        <v>-4.9328302125928669</v>
      </c>
      <c r="I425" s="201">
        <v>0</v>
      </c>
      <c r="J425" s="202">
        <v>-1.9736503983909386</v>
      </c>
      <c r="K425" s="202">
        <v>0</v>
      </c>
      <c r="L425" s="201">
        <v>0</v>
      </c>
      <c r="M425" s="201">
        <v>0</v>
      </c>
      <c r="N425" s="201">
        <v>0</v>
      </c>
      <c r="O425" s="202">
        <v>0</v>
      </c>
      <c r="P425" s="202">
        <v>0</v>
      </c>
      <c r="Q425" s="201">
        <v>0</v>
      </c>
      <c r="R425" s="202">
        <v>0</v>
      </c>
      <c r="S425" s="202">
        <v>0</v>
      </c>
      <c r="T425" s="202">
        <v>0</v>
      </c>
      <c r="U425" s="202">
        <v>-1.9736503983909386</v>
      </c>
      <c r="V425" s="380"/>
    </row>
    <row r="426" spans="1:22">
      <c r="A426" s="166"/>
      <c r="B426" s="246" t="s">
        <v>82</v>
      </c>
      <c r="C426" s="297">
        <v>0.16440343878883071</v>
      </c>
      <c r="D426" s="298">
        <v>0</v>
      </c>
      <c r="E426" s="298">
        <v>0.10379286385744063</v>
      </c>
      <c r="F426" s="298">
        <v>0</v>
      </c>
      <c r="G426" s="298">
        <v>0.24114467168185083</v>
      </c>
      <c r="H426" s="298">
        <v>0.43071593533487296</v>
      </c>
      <c r="I426" s="298">
        <v>0</v>
      </c>
      <c r="J426" s="307">
        <v>0.1660448581690244</v>
      </c>
      <c r="K426" s="307">
        <v>0</v>
      </c>
      <c r="L426" s="298">
        <v>0</v>
      </c>
      <c r="M426" s="298">
        <v>0</v>
      </c>
      <c r="N426" s="298">
        <v>0</v>
      </c>
      <c r="O426" s="307">
        <v>0</v>
      </c>
      <c r="P426" s="165">
        <v>0</v>
      </c>
      <c r="Q426" s="298">
        <v>0</v>
      </c>
      <c r="R426" s="307">
        <v>0</v>
      </c>
      <c r="S426" s="307">
        <v>0</v>
      </c>
      <c r="T426" s="307">
        <v>0</v>
      </c>
      <c r="U426" s="307">
        <v>0.1660448581690244</v>
      </c>
      <c r="V426" s="380"/>
    </row>
    <row r="427" spans="1:22">
      <c r="A427" s="166"/>
      <c r="B427" s="167" t="s">
        <v>83</v>
      </c>
      <c r="C427" s="168">
        <v>0.15269777191211861</v>
      </c>
      <c r="D427" s="169">
        <v>0</v>
      </c>
      <c r="E427" s="169">
        <v>9.9403504871994369E-2</v>
      </c>
      <c r="F427" s="169">
        <v>0</v>
      </c>
      <c r="G427" s="169">
        <v>0.26260015507883172</v>
      </c>
      <c r="H427" s="169">
        <v>0.32277246120969988</v>
      </c>
      <c r="I427" s="169">
        <v>0</v>
      </c>
      <c r="J427" s="170">
        <v>0.15822096563723359</v>
      </c>
      <c r="K427" s="170">
        <v>0</v>
      </c>
      <c r="L427" s="169">
        <v>0</v>
      </c>
      <c r="M427" s="169">
        <v>0</v>
      </c>
      <c r="N427" s="169">
        <v>0</v>
      </c>
      <c r="O427" s="170">
        <v>0</v>
      </c>
      <c r="P427" s="170">
        <v>0</v>
      </c>
      <c r="Q427" s="169">
        <v>0</v>
      </c>
      <c r="R427" s="170">
        <v>0</v>
      </c>
      <c r="S427" s="170">
        <v>0</v>
      </c>
      <c r="T427" s="170">
        <v>0</v>
      </c>
      <c r="U427" s="170">
        <v>0.15822096563723359</v>
      </c>
      <c r="V427" s="380"/>
    </row>
    <row r="428" spans="1:22">
      <c r="A428" s="166"/>
      <c r="B428" s="199" t="s">
        <v>84</v>
      </c>
      <c r="C428" s="200">
        <v>-1.1705666876712095</v>
      </c>
      <c r="D428" s="201">
        <v>0</v>
      </c>
      <c r="E428" s="201">
        <v>-0.43893589854462622</v>
      </c>
      <c r="F428" s="201">
        <v>0</v>
      </c>
      <c r="G428" s="201">
        <v>2.145548339698089</v>
      </c>
      <c r="H428" s="656">
        <v>-10.794347412517308</v>
      </c>
      <c r="I428" s="201">
        <v>0</v>
      </c>
      <c r="J428" s="202">
        <v>-0.78238925317908048</v>
      </c>
      <c r="K428" s="202">
        <v>0</v>
      </c>
      <c r="L428" s="201">
        <v>0</v>
      </c>
      <c r="M428" s="201">
        <v>0</v>
      </c>
      <c r="N428" s="201">
        <v>0</v>
      </c>
      <c r="O428" s="202">
        <v>0</v>
      </c>
      <c r="P428" s="202">
        <v>0</v>
      </c>
      <c r="Q428" s="201">
        <v>0</v>
      </c>
      <c r="R428" s="202">
        <v>0</v>
      </c>
      <c r="S428" s="202">
        <v>0</v>
      </c>
      <c r="T428" s="202">
        <v>0</v>
      </c>
      <c r="U428" s="202">
        <v>-0.78238925317908048</v>
      </c>
      <c r="V428" s="380"/>
    </row>
    <row r="429" spans="1:22">
      <c r="A429" s="166"/>
      <c r="B429" s="246" t="s">
        <v>85</v>
      </c>
      <c r="C429" s="297">
        <v>9.8763762696526362E-3</v>
      </c>
      <c r="D429" s="298">
        <v>0</v>
      </c>
      <c r="E429" s="298">
        <v>0</v>
      </c>
      <c r="F429" s="298">
        <v>0</v>
      </c>
      <c r="G429" s="298">
        <v>0</v>
      </c>
      <c r="H429" s="298">
        <v>0</v>
      </c>
      <c r="I429" s="298">
        <v>0</v>
      </c>
      <c r="J429" s="307">
        <v>6.9596129883456714E-3</v>
      </c>
      <c r="K429" s="307">
        <v>0</v>
      </c>
      <c r="L429" s="298">
        <v>0</v>
      </c>
      <c r="M429" s="298">
        <v>0</v>
      </c>
      <c r="N429" s="298">
        <v>0</v>
      </c>
      <c r="O429" s="307">
        <v>0</v>
      </c>
      <c r="P429" s="165">
        <v>0</v>
      </c>
      <c r="Q429" s="298">
        <v>0</v>
      </c>
      <c r="R429" s="307">
        <v>0</v>
      </c>
      <c r="S429" s="307">
        <v>0</v>
      </c>
      <c r="T429" s="307">
        <v>0</v>
      </c>
      <c r="U429" s="307">
        <v>6.9596129883456714E-3</v>
      </c>
      <c r="V429" s="380"/>
    </row>
    <row r="430" spans="1:22">
      <c r="A430" s="166"/>
      <c r="B430" s="167" t="s">
        <v>86</v>
      </c>
      <c r="C430" s="168">
        <v>1.3209378153870041E-2</v>
      </c>
      <c r="D430" s="169">
        <v>0</v>
      </c>
      <c r="E430" s="169">
        <v>0</v>
      </c>
      <c r="F430" s="169">
        <v>0</v>
      </c>
      <c r="G430" s="169">
        <v>0</v>
      </c>
      <c r="H430" s="169">
        <v>5.5746539069032796E-3</v>
      </c>
      <c r="I430" s="169">
        <v>0</v>
      </c>
      <c r="J430" s="170">
        <v>9.9099150660470221E-3</v>
      </c>
      <c r="K430" s="170">
        <v>0</v>
      </c>
      <c r="L430" s="169">
        <v>0</v>
      </c>
      <c r="M430" s="169">
        <v>0</v>
      </c>
      <c r="N430" s="169">
        <v>0</v>
      </c>
      <c r="O430" s="170">
        <v>0</v>
      </c>
      <c r="P430" s="170">
        <v>0</v>
      </c>
      <c r="Q430" s="169">
        <v>0</v>
      </c>
      <c r="R430" s="170">
        <v>0</v>
      </c>
      <c r="S430" s="170">
        <v>0</v>
      </c>
      <c r="T430" s="170">
        <v>0</v>
      </c>
      <c r="U430" s="170">
        <v>9.9099150660470221E-3</v>
      </c>
      <c r="V430" s="380"/>
    </row>
    <row r="431" spans="1:22">
      <c r="A431" s="166"/>
      <c r="B431" s="199" t="s">
        <v>87</v>
      </c>
      <c r="C431" s="200">
        <v>0.33330018842174047</v>
      </c>
      <c r="D431" s="201">
        <v>0</v>
      </c>
      <c r="E431" s="201">
        <v>0</v>
      </c>
      <c r="F431" s="201">
        <v>0</v>
      </c>
      <c r="G431" s="201">
        <v>0</v>
      </c>
      <c r="H431" s="201">
        <v>0</v>
      </c>
      <c r="I431" s="201">
        <v>0</v>
      </c>
      <c r="J431" s="202">
        <v>0.29503020777013506</v>
      </c>
      <c r="K431" s="202">
        <v>0</v>
      </c>
      <c r="L431" s="201">
        <v>0</v>
      </c>
      <c r="M431" s="201">
        <v>0</v>
      </c>
      <c r="N431" s="201">
        <v>0</v>
      </c>
      <c r="O431" s="202">
        <v>0</v>
      </c>
      <c r="P431" s="202">
        <v>0</v>
      </c>
      <c r="Q431" s="201">
        <v>0</v>
      </c>
      <c r="R431" s="202">
        <v>0</v>
      </c>
      <c r="S431" s="202">
        <v>0</v>
      </c>
      <c r="T431" s="202">
        <v>0</v>
      </c>
      <c r="U431" s="202">
        <v>0.29503020777013506</v>
      </c>
      <c r="V431" s="380"/>
    </row>
    <row r="432" spans="1:22">
      <c r="A432" s="166"/>
      <c r="B432" s="246" t="s">
        <v>88</v>
      </c>
      <c r="C432" s="297">
        <v>1.817690103340493E-2</v>
      </c>
      <c r="D432" s="298">
        <v>0</v>
      </c>
      <c r="E432" s="298">
        <v>0</v>
      </c>
      <c r="F432" s="298">
        <v>0</v>
      </c>
      <c r="G432" s="298">
        <v>0</v>
      </c>
      <c r="H432" s="298">
        <v>0</v>
      </c>
      <c r="I432" s="298">
        <v>0</v>
      </c>
      <c r="J432" s="307">
        <v>1.2808766400351829E-2</v>
      </c>
      <c r="K432" s="307">
        <v>0</v>
      </c>
      <c r="L432" s="298">
        <v>0</v>
      </c>
      <c r="M432" s="298">
        <v>0</v>
      </c>
      <c r="N432" s="298">
        <v>0</v>
      </c>
      <c r="O432" s="307">
        <v>0</v>
      </c>
      <c r="P432" s="165">
        <v>0</v>
      </c>
      <c r="Q432" s="298">
        <v>0</v>
      </c>
      <c r="R432" s="307">
        <v>0</v>
      </c>
      <c r="S432" s="307">
        <v>0</v>
      </c>
      <c r="T432" s="307">
        <v>0</v>
      </c>
      <c r="U432" s="307">
        <v>1.2808766400351829E-2</v>
      </c>
      <c r="V432" s="380"/>
    </row>
    <row r="433" spans="1:22">
      <c r="A433" s="166"/>
      <c r="B433" s="167" t="s">
        <v>89</v>
      </c>
      <c r="C433" s="168">
        <v>1.5394767486996351E-2</v>
      </c>
      <c r="D433" s="169">
        <v>0</v>
      </c>
      <c r="E433" s="169">
        <v>0</v>
      </c>
      <c r="F433" s="169">
        <v>0</v>
      </c>
      <c r="G433" s="169">
        <v>0</v>
      </c>
      <c r="H433" s="169">
        <v>0</v>
      </c>
      <c r="I433" s="169">
        <v>0</v>
      </c>
      <c r="J433" s="170">
        <v>1.1349328083148279E-2</v>
      </c>
      <c r="K433" s="170">
        <v>0</v>
      </c>
      <c r="L433" s="169">
        <v>0</v>
      </c>
      <c r="M433" s="169">
        <v>0</v>
      </c>
      <c r="N433" s="169">
        <v>0</v>
      </c>
      <c r="O433" s="170">
        <v>0</v>
      </c>
      <c r="P433" s="170">
        <v>0</v>
      </c>
      <c r="Q433" s="169">
        <v>0</v>
      </c>
      <c r="R433" s="170">
        <v>0</v>
      </c>
      <c r="S433" s="170">
        <v>0</v>
      </c>
      <c r="T433" s="170">
        <v>0</v>
      </c>
      <c r="U433" s="170">
        <v>1.1349328083148279E-2</v>
      </c>
      <c r="V433" s="380"/>
    </row>
    <row r="434" spans="1:22">
      <c r="A434" s="166"/>
      <c r="B434" s="199" t="s">
        <v>90</v>
      </c>
      <c r="C434" s="200">
        <v>-0.27821335464085789</v>
      </c>
      <c r="D434" s="201">
        <v>0</v>
      </c>
      <c r="E434" s="201">
        <v>0</v>
      </c>
      <c r="F434" s="201">
        <v>0</v>
      </c>
      <c r="G434" s="201">
        <v>0</v>
      </c>
      <c r="H434" s="201">
        <v>0</v>
      </c>
      <c r="I434" s="201">
        <v>0</v>
      </c>
      <c r="J434" s="202">
        <v>-0.14594383172035502</v>
      </c>
      <c r="K434" s="202">
        <v>0</v>
      </c>
      <c r="L434" s="201">
        <v>0</v>
      </c>
      <c r="M434" s="201">
        <v>0</v>
      </c>
      <c r="N434" s="201">
        <v>0</v>
      </c>
      <c r="O434" s="202">
        <v>0</v>
      </c>
      <c r="P434" s="202">
        <v>0</v>
      </c>
      <c r="Q434" s="201">
        <v>0</v>
      </c>
      <c r="R434" s="202">
        <v>0</v>
      </c>
      <c r="S434" s="202">
        <v>0</v>
      </c>
      <c r="T434" s="202">
        <v>0</v>
      </c>
      <c r="U434" s="202">
        <v>-0.14594383172035502</v>
      </c>
      <c r="V434" s="380"/>
    </row>
    <row r="435" spans="1:22">
      <c r="A435" s="166"/>
      <c r="B435" s="246" t="s">
        <v>91</v>
      </c>
      <c r="C435" s="297">
        <v>0</v>
      </c>
      <c r="D435" s="298">
        <v>0</v>
      </c>
      <c r="E435" s="298">
        <v>0</v>
      </c>
      <c r="F435" s="298">
        <v>0</v>
      </c>
      <c r="G435" s="298">
        <v>0</v>
      </c>
      <c r="H435" s="298">
        <v>0</v>
      </c>
      <c r="I435" s="298">
        <v>0</v>
      </c>
      <c r="J435" s="307">
        <v>0</v>
      </c>
      <c r="K435" s="307">
        <v>0</v>
      </c>
      <c r="L435" s="298">
        <v>0</v>
      </c>
      <c r="M435" s="298">
        <v>0</v>
      </c>
      <c r="N435" s="298">
        <v>0</v>
      </c>
      <c r="O435" s="307">
        <v>0</v>
      </c>
      <c r="P435" s="165">
        <v>0</v>
      </c>
      <c r="Q435" s="298">
        <v>0</v>
      </c>
      <c r="R435" s="307">
        <v>0</v>
      </c>
      <c r="S435" s="307">
        <v>0</v>
      </c>
      <c r="T435" s="307">
        <v>0</v>
      </c>
      <c r="U435" s="307">
        <v>0</v>
      </c>
      <c r="V435" s="380"/>
    </row>
    <row r="436" spans="1:22">
      <c r="A436" s="166"/>
      <c r="B436" s="167" t="s">
        <v>92</v>
      </c>
      <c r="C436" s="168">
        <v>0</v>
      </c>
      <c r="D436" s="169">
        <v>0</v>
      </c>
      <c r="E436" s="169">
        <v>0</v>
      </c>
      <c r="F436" s="169">
        <v>0</v>
      </c>
      <c r="G436" s="169">
        <v>0</v>
      </c>
      <c r="H436" s="169">
        <v>0</v>
      </c>
      <c r="I436" s="169">
        <v>0</v>
      </c>
      <c r="J436" s="170">
        <v>0</v>
      </c>
      <c r="K436" s="170">
        <v>0</v>
      </c>
      <c r="L436" s="169">
        <v>0</v>
      </c>
      <c r="M436" s="169">
        <v>0</v>
      </c>
      <c r="N436" s="169">
        <v>0</v>
      </c>
      <c r="O436" s="170">
        <v>0</v>
      </c>
      <c r="P436" s="170">
        <v>0</v>
      </c>
      <c r="Q436" s="169">
        <v>0</v>
      </c>
      <c r="R436" s="170">
        <v>0</v>
      </c>
      <c r="S436" s="170">
        <v>0</v>
      </c>
      <c r="T436" s="170">
        <v>0</v>
      </c>
      <c r="U436" s="170">
        <v>0</v>
      </c>
      <c r="V436" s="380"/>
    </row>
    <row r="437" spans="1:22" ht="15.75" thickBot="1">
      <c r="A437" s="310"/>
      <c r="B437" s="311" t="s">
        <v>93</v>
      </c>
      <c r="C437" s="312">
        <v>0</v>
      </c>
      <c r="D437" s="313">
        <v>0</v>
      </c>
      <c r="E437" s="313">
        <v>0</v>
      </c>
      <c r="F437" s="313">
        <v>0</v>
      </c>
      <c r="G437" s="313">
        <v>0</v>
      </c>
      <c r="H437" s="313">
        <v>0</v>
      </c>
      <c r="I437" s="313">
        <v>0</v>
      </c>
      <c r="J437" s="314">
        <v>0</v>
      </c>
      <c r="K437" s="314">
        <v>0</v>
      </c>
      <c r="L437" s="313">
        <v>0</v>
      </c>
      <c r="M437" s="313">
        <v>0</v>
      </c>
      <c r="N437" s="313">
        <v>0</v>
      </c>
      <c r="O437" s="314">
        <v>0</v>
      </c>
      <c r="P437" s="314">
        <v>0</v>
      </c>
      <c r="Q437" s="313">
        <v>0</v>
      </c>
      <c r="R437" s="314">
        <v>0</v>
      </c>
      <c r="S437" s="314">
        <v>0</v>
      </c>
      <c r="T437" s="314">
        <v>0</v>
      </c>
      <c r="U437" s="314">
        <v>0</v>
      </c>
      <c r="V437" s="380"/>
    </row>
    <row r="438" spans="1:22">
      <c r="A438" s="296" t="s">
        <v>51</v>
      </c>
      <c r="B438" s="246" t="s">
        <v>59</v>
      </c>
      <c r="C438" s="297">
        <v>0.88222595322577091</v>
      </c>
      <c r="D438" s="298">
        <v>0.78645310274784819</v>
      </c>
      <c r="E438" s="298">
        <v>0.76430815910330396</v>
      </c>
      <c r="F438" s="298">
        <v>0</v>
      </c>
      <c r="G438" s="298">
        <v>0.83271783868538596</v>
      </c>
      <c r="H438" s="298">
        <v>0</v>
      </c>
      <c r="I438" s="298">
        <v>0</v>
      </c>
      <c r="J438" s="307">
        <v>0.80904419942095207</v>
      </c>
      <c r="K438" s="307">
        <v>0</v>
      </c>
      <c r="L438" s="298">
        <v>0.4745588059001023</v>
      </c>
      <c r="M438" s="298">
        <v>0.41150723291220404</v>
      </c>
      <c r="N438" s="298">
        <v>0</v>
      </c>
      <c r="O438" s="307">
        <v>0.4469356371292173</v>
      </c>
      <c r="P438" s="165">
        <v>0</v>
      </c>
      <c r="Q438" s="298">
        <v>0</v>
      </c>
      <c r="R438" s="307">
        <v>0</v>
      </c>
      <c r="S438" s="307">
        <v>0</v>
      </c>
      <c r="T438" s="307">
        <v>0</v>
      </c>
      <c r="U438" s="307">
        <v>0.67632547656790631</v>
      </c>
      <c r="V438" s="380"/>
    </row>
    <row r="439" spans="1:22">
      <c r="A439" s="166"/>
      <c r="B439" s="167" t="s">
        <v>60</v>
      </c>
      <c r="C439" s="168">
        <v>0.87317172311810998</v>
      </c>
      <c r="D439" s="169">
        <v>0.7946049509046178</v>
      </c>
      <c r="E439" s="169">
        <v>0.75757954508188863</v>
      </c>
      <c r="F439" s="169">
        <v>0</v>
      </c>
      <c r="G439" s="169">
        <v>0.8173711613840734</v>
      </c>
      <c r="H439" s="169">
        <v>0</v>
      </c>
      <c r="I439" s="169">
        <v>0</v>
      </c>
      <c r="J439" s="170">
        <v>0.80226979842884849</v>
      </c>
      <c r="K439" s="170">
        <v>0</v>
      </c>
      <c r="L439" s="169">
        <v>0.48483002161543159</v>
      </c>
      <c r="M439" s="169">
        <v>0.40679267306562089</v>
      </c>
      <c r="N439" s="169">
        <v>0</v>
      </c>
      <c r="O439" s="170">
        <v>0.4500594358741144</v>
      </c>
      <c r="P439" s="170">
        <v>0</v>
      </c>
      <c r="Q439" s="169">
        <v>0</v>
      </c>
      <c r="R439" s="170">
        <v>0</v>
      </c>
      <c r="S439" s="170">
        <v>0</v>
      </c>
      <c r="T439" s="170">
        <v>0</v>
      </c>
      <c r="U439" s="170">
        <v>0.67709408831462048</v>
      </c>
      <c r="V439" s="380"/>
    </row>
    <row r="440" spans="1:22">
      <c r="A440" s="166"/>
      <c r="B440" s="199" t="s">
        <v>236</v>
      </c>
      <c r="C440" s="200">
        <v>-0.90542301076609322</v>
      </c>
      <c r="D440" s="201">
        <v>0.81518481567696144</v>
      </c>
      <c r="E440" s="201">
        <v>-0.67286140214153356</v>
      </c>
      <c r="F440" s="201">
        <v>0</v>
      </c>
      <c r="G440" s="201">
        <v>-1.5346677301312561</v>
      </c>
      <c r="H440" s="201">
        <v>0</v>
      </c>
      <c r="I440" s="201">
        <v>0</v>
      </c>
      <c r="J440" s="202">
        <v>-0.67744009921035797</v>
      </c>
      <c r="K440" s="202">
        <v>0</v>
      </c>
      <c r="L440" s="201">
        <v>1.0271215715329296</v>
      </c>
      <c r="M440" s="201">
        <v>-0.4714559846583144</v>
      </c>
      <c r="N440" s="201">
        <v>0</v>
      </c>
      <c r="O440" s="202">
        <v>0.31237987448970994</v>
      </c>
      <c r="P440" s="202">
        <v>0</v>
      </c>
      <c r="Q440" s="201">
        <v>0</v>
      </c>
      <c r="R440" s="202">
        <v>0</v>
      </c>
      <c r="S440" s="202">
        <v>0</v>
      </c>
      <c r="T440" s="202">
        <v>0</v>
      </c>
      <c r="U440" s="202">
        <v>7.686117467141651E-2</v>
      </c>
      <c r="V440" s="380"/>
    </row>
    <row r="441" spans="1:22">
      <c r="A441" s="166"/>
      <c r="B441" s="246" t="s">
        <v>61</v>
      </c>
      <c r="C441" s="297">
        <v>2.0160442057136446E-2</v>
      </c>
      <c r="D441" s="298">
        <v>0.12817239442373488</v>
      </c>
      <c r="E441" s="298">
        <v>1.7675445681892991E-2</v>
      </c>
      <c r="F441" s="298">
        <v>0</v>
      </c>
      <c r="G441" s="298">
        <v>7.9904271670397459E-2</v>
      </c>
      <c r="H441" s="298">
        <v>0</v>
      </c>
      <c r="I441" s="298">
        <v>0</v>
      </c>
      <c r="J441" s="307">
        <v>2.8959362164998479E-2</v>
      </c>
      <c r="K441" s="307">
        <v>0</v>
      </c>
      <c r="L441" s="298">
        <v>0.28295851921002091</v>
      </c>
      <c r="M441" s="298">
        <v>0.31797988785878317</v>
      </c>
      <c r="N441" s="298">
        <v>0</v>
      </c>
      <c r="O441" s="307">
        <v>0.29830153336381238</v>
      </c>
      <c r="P441" s="165">
        <v>0</v>
      </c>
      <c r="Q441" s="298">
        <v>0</v>
      </c>
      <c r="R441" s="307">
        <v>0</v>
      </c>
      <c r="S441" s="307">
        <v>0</v>
      </c>
      <c r="T441" s="307">
        <v>0</v>
      </c>
      <c r="U441" s="307">
        <v>0.12767768228904297</v>
      </c>
      <c r="V441" s="380"/>
    </row>
    <row r="442" spans="1:22">
      <c r="A442" s="166"/>
      <c r="B442" s="167" t="s">
        <v>62</v>
      </c>
      <c r="C442" s="168">
        <v>1.8827159566810137E-2</v>
      </c>
      <c r="D442" s="169">
        <v>0.11881409070126929</v>
      </c>
      <c r="E442" s="169">
        <v>1.4609329898852774E-2</v>
      </c>
      <c r="F442" s="169">
        <v>0</v>
      </c>
      <c r="G442" s="169">
        <v>7.9868949504807149E-2</v>
      </c>
      <c r="H442" s="169">
        <v>0</v>
      </c>
      <c r="I442" s="169">
        <v>0</v>
      </c>
      <c r="J442" s="170">
        <v>2.6510795427708504E-2</v>
      </c>
      <c r="K442" s="170">
        <v>0</v>
      </c>
      <c r="L442" s="169">
        <v>0.26554872786746919</v>
      </c>
      <c r="M442" s="169">
        <v>0.31790729925315231</v>
      </c>
      <c r="N442" s="169">
        <v>0</v>
      </c>
      <c r="O442" s="170">
        <v>0.28887779054694673</v>
      </c>
      <c r="P442" s="170">
        <v>0</v>
      </c>
      <c r="Q442" s="169">
        <v>0</v>
      </c>
      <c r="R442" s="170">
        <v>0</v>
      </c>
      <c r="S442" s="170">
        <v>0</v>
      </c>
      <c r="T442" s="170">
        <v>0</v>
      </c>
      <c r="U442" s="170">
        <v>0.11975613519105273</v>
      </c>
      <c r="V442" s="380"/>
    </row>
    <row r="443" spans="1:22">
      <c r="A443" s="166"/>
      <c r="B443" s="199" t="s">
        <v>63</v>
      </c>
      <c r="C443" s="200">
        <v>-0.13332824903263091</v>
      </c>
      <c r="D443" s="201">
        <v>-0.93583037224655863</v>
      </c>
      <c r="E443" s="201">
        <v>-0.30661157830402175</v>
      </c>
      <c r="F443" s="201">
        <v>0</v>
      </c>
      <c r="G443" s="201">
        <v>-3.5322165590309651E-3</v>
      </c>
      <c r="H443" s="201">
        <v>0</v>
      </c>
      <c r="I443" s="201">
        <v>0</v>
      </c>
      <c r="J443" s="202">
        <v>-0.2448566737289975</v>
      </c>
      <c r="K443" s="202">
        <v>0</v>
      </c>
      <c r="L443" s="201">
        <v>-1.7409791342551717</v>
      </c>
      <c r="M443" s="201">
        <v>-7.2588605630863334E-3</v>
      </c>
      <c r="N443" s="201">
        <v>0</v>
      </c>
      <c r="O443" s="202">
        <v>-0.94237428168656434</v>
      </c>
      <c r="P443" s="202">
        <v>0</v>
      </c>
      <c r="Q443" s="201">
        <v>0</v>
      </c>
      <c r="R443" s="202">
        <v>0</v>
      </c>
      <c r="S443" s="202">
        <v>0</v>
      </c>
      <c r="T443" s="202">
        <v>0</v>
      </c>
      <c r="U443" s="202">
        <v>-0.79215470979902425</v>
      </c>
      <c r="V443" s="380"/>
    </row>
    <row r="444" spans="1:22">
      <c r="A444" s="166"/>
      <c r="B444" s="246" t="s">
        <v>64</v>
      </c>
      <c r="C444" s="297">
        <v>6.9411024581213773E-2</v>
      </c>
      <c r="D444" s="298">
        <v>7.6841024244384298E-2</v>
      </c>
      <c r="E444" s="298">
        <v>0.13972857647800468</v>
      </c>
      <c r="F444" s="298">
        <v>0</v>
      </c>
      <c r="G444" s="298">
        <v>7.7614218957922865E-2</v>
      </c>
      <c r="H444" s="298">
        <v>0</v>
      </c>
      <c r="I444" s="298">
        <v>0</v>
      </c>
      <c r="J444" s="307">
        <v>0.10877596934475509</v>
      </c>
      <c r="K444" s="307">
        <v>0</v>
      </c>
      <c r="L444" s="298">
        <v>0.19196910684816904</v>
      </c>
      <c r="M444" s="298">
        <v>0.18076588394627166</v>
      </c>
      <c r="N444" s="298">
        <v>0</v>
      </c>
      <c r="O444" s="307">
        <v>0.18706092609498859</v>
      </c>
      <c r="P444" s="165">
        <v>0</v>
      </c>
      <c r="Q444" s="298">
        <v>0</v>
      </c>
      <c r="R444" s="307">
        <v>0</v>
      </c>
      <c r="S444" s="307">
        <v>0</v>
      </c>
      <c r="T444" s="307">
        <v>0</v>
      </c>
      <c r="U444" s="307">
        <v>0.13746868904389947</v>
      </c>
      <c r="V444" s="380"/>
    </row>
    <row r="445" spans="1:22">
      <c r="A445" s="166"/>
      <c r="B445" s="167" t="s">
        <v>65</v>
      </c>
      <c r="C445" s="168">
        <v>7.7124775861188613E-2</v>
      </c>
      <c r="D445" s="169">
        <v>7.7039472251856048E-2</v>
      </c>
      <c r="E445" s="169">
        <v>0.14594356124613977</v>
      </c>
      <c r="F445" s="169">
        <v>0</v>
      </c>
      <c r="G445" s="169">
        <v>8.7188259076748195E-2</v>
      </c>
      <c r="H445" s="169">
        <v>0</v>
      </c>
      <c r="I445" s="169">
        <v>0</v>
      </c>
      <c r="J445" s="170">
        <v>0.11500606827216545</v>
      </c>
      <c r="K445" s="170">
        <v>0</v>
      </c>
      <c r="L445" s="169">
        <v>0.19897155474950481</v>
      </c>
      <c r="M445" s="169">
        <v>0.18086613604163912</v>
      </c>
      <c r="N445" s="169">
        <v>0</v>
      </c>
      <c r="O445" s="170">
        <v>0.19090444297209141</v>
      </c>
      <c r="P445" s="170">
        <v>0</v>
      </c>
      <c r="Q445" s="169">
        <v>0</v>
      </c>
      <c r="R445" s="170">
        <v>0</v>
      </c>
      <c r="S445" s="170">
        <v>0</v>
      </c>
      <c r="T445" s="170">
        <v>0</v>
      </c>
      <c r="U445" s="170">
        <v>0.14198038237430255</v>
      </c>
      <c r="V445" s="380"/>
    </row>
    <row r="446" spans="1:22">
      <c r="A446" s="166"/>
      <c r="B446" s="199" t="s">
        <v>66</v>
      </c>
      <c r="C446" s="200">
        <v>0.77137512799748398</v>
      </c>
      <c r="D446" s="201">
        <v>1.9844800747174929E-2</v>
      </c>
      <c r="E446" s="201">
        <v>0.621498476813509</v>
      </c>
      <c r="F446" s="201">
        <v>0</v>
      </c>
      <c r="G446" s="201">
        <v>0.9574040118825331</v>
      </c>
      <c r="H446" s="201">
        <v>0</v>
      </c>
      <c r="I446" s="201">
        <v>0</v>
      </c>
      <c r="J446" s="202">
        <v>0.62300989274103602</v>
      </c>
      <c r="K446" s="202">
        <v>0</v>
      </c>
      <c r="L446" s="201">
        <v>0.70024479013357788</v>
      </c>
      <c r="M446" s="201">
        <v>1.0025209536745905E-2</v>
      </c>
      <c r="N446" s="201">
        <v>0</v>
      </c>
      <c r="O446" s="202">
        <v>0.38435168771028261</v>
      </c>
      <c r="P446" s="202">
        <v>0</v>
      </c>
      <c r="Q446" s="201">
        <v>0</v>
      </c>
      <c r="R446" s="202">
        <v>0</v>
      </c>
      <c r="S446" s="202">
        <v>0</v>
      </c>
      <c r="T446" s="202">
        <v>0</v>
      </c>
      <c r="U446" s="202">
        <v>0.45116933304030771</v>
      </c>
      <c r="V446" s="380"/>
    </row>
    <row r="447" spans="1:22">
      <c r="A447" s="166"/>
      <c r="B447" s="246" t="s">
        <v>67</v>
      </c>
      <c r="C447" s="297">
        <v>3.0052832880203396E-6</v>
      </c>
      <c r="D447" s="298">
        <v>0</v>
      </c>
      <c r="E447" s="298">
        <v>4.8518806883123666E-3</v>
      </c>
      <c r="F447" s="298">
        <v>0</v>
      </c>
      <c r="G447" s="298">
        <v>8.6238021064358739E-3</v>
      </c>
      <c r="H447" s="298">
        <v>0</v>
      </c>
      <c r="I447" s="298">
        <v>0</v>
      </c>
      <c r="J447" s="307">
        <v>3.2053610193737937E-3</v>
      </c>
      <c r="K447" s="307">
        <v>0</v>
      </c>
      <c r="L447" s="298">
        <v>1.6426015339449729E-3</v>
      </c>
      <c r="M447" s="298">
        <v>4.3216895768860855E-2</v>
      </c>
      <c r="N447" s="298">
        <v>0</v>
      </c>
      <c r="O447" s="307">
        <v>1.9856480930767167E-2</v>
      </c>
      <c r="P447" s="165">
        <v>0</v>
      </c>
      <c r="Q447" s="298">
        <v>0</v>
      </c>
      <c r="R447" s="307">
        <v>0</v>
      </c>
      <c r="S447" s="307">
        <v>0</v>
      </c>
      <c r="T447" s="307">
        <v>0</v>
      </c>
      <c r="U447" s="307">
        <v>9.3082693701921279E-3</v>
      </c>
      <c r="V447" s="380"/>
    </row>
    <row r="448" spans="1:22">
      <c r="A448" s="166"/>
      <c r="B448" s="167" t="s">
        <v>68</v>
      </c>
      <c r="C448" s="168">
        <v>3.003535160884361E-6</v>
      </c>
      <c r="D448" s="169">
        <v>0</v>
      </c>
      <c r="E448" s="169">
        <v>4.7198326402290861E-3</v>
      </c>
      <c r="F448" s="169">
        <v>0</v>
      </c>
      <c r="G448" s="169">
        <v>1.3705608253392889E-2</v>
      </c>
      <c r="H448" s="169">
        <v>0</v>
      </c>
      <c r="I448" s="169">
        <v>0</v>
      </c>
      <c r="J448" s="170">
        <v>3.4125028180700852E-3</v>
      </c>
      <c r="K448" s="170">
        <v>0</v>
      </c>
      <c r="L448" s="169">
        <v>9.128341967634384E-4</v>
      </c>
      <c r="M448" s="169">
        <v>4.549130086766328E-2</v>
      </c>
      <c r="N448" s="169">
        <v>0</v>
      </c>
      <c r="O448" s="170">
        <v>2.0775367027534925E-2</v>
      </c>
      <c r="P448" s="170">
        <v>0</v>
      </c>
      <c r="Q448" s="169">
        <v>0</v>
      </c>
      <c r="R448" s="170">
        <v>0</v>
      </c>
      <c r="S448" s="170">
        <v>0</v>
      </c>
      <c r="T448" s="170">
        <v>0</v>
      </c>
      <c r="U448" s="170">
        <v>9.5832720176813654E-3</v>
      </c>
      <c r="V448" s="380"/>
    </row>
    <row r="449" spans="1:22">
      <c r="A449" s="166"/>
      <c r="B449" s="199" t="s">
        <v>69</v>
      </c>
      <c r="C449" s="200">
        <v>-1.7481271359785476E-7</v>
      </c>
      <c r="D449" s="201">
        <v>0</v>
      </c>
      <c r="E449" s="201">
        <v>-1.3204804808328047E-2</v>
      </c>
      <c r="F449" s="201">
        <v>0</v>
      </c>
      <c r="G449" s="201">
        <v>0.50818061469570153</v>
      </c>
      <c r="H449" s="201">
        <v>0</v>
      </c>
      <c r="I449" s="201">
        <v>0</v>
      </c>
      <c r="J449" s="202">
        <v>2.0714179869629149E-2</v>
      </c>
      <c r="K449" s="202">
        <v>0</v>
      </c>
      <c r="L449" s="201">
        <v>-7.2976733718153455E-2</v>
      </c>
      <c r="M449" s="201">
        <v>0.22744050988024248</v>
      </c>
      <c r="N449" s="201">
        <v>0</v>
      </c>
      <c r="O449" s="202">
        <v>9.188860967677577E-2</v>
      </c>
      <c r="P449" s="202">
        <v>0</v>
      </c>
      <c r="Q449" s="201">
        <v>0</v>
      </c>
      <c r="R449" s="202">
        <v>0</v>
      </c>
      <c r="S449" s="202">
        <v>0</v>
      </c>
      <c r="T449" s="202">
        <v>0</v>
      </c>
      <c r="U449" s="202">
        <v>2.7500264748923746E-2</v>
      </c>
      <c r="V449" s="380"/>
    </row>
    <row r="450" spans="1:22">
      <c r="A450" s="166"/>
      <c r="B450" s="246" t="s">
        <v>70</v>
      </c>
      <c r="C450" s="297">
        <v>2.1334506061656391E-2</v>
      </c>
      <c r="D450" s="298">
        <v>6.5703246012698089E-3</v>
      </c>
      <c r="E450" s="298">
        <v>6.6086756898245932E-2</v>
      </c>
      <c r="F450" s="298">
        <v>0</v>
      </c>
      <c r="G450" s="298">
        <v>0</v>
      </c>
      <c r="H450" s="298">
        <v>0</v>
      </c>
      <c r="I450" s="298">
        <v>0</v>
      </c>
      <c r="J450" s="307">
        <v>4.3540371661344855E-2</v>
      </c>
      <c r="K450" s="307">
        <v>0</v>
      </c>
      <c r="L450" s="298">
        <v>4.7742570671400621E-2</v>
      </c>
      <c r="M450" s="298">
        <v>4.4132868368194814E-2</v>
      </c>
      <c r="N450" s="298">
        <v>0</v>
      </c>
      <c r="O450" s="307">
        <v>4.6161144368947485E-2</v>
      </c>
      <c r="P450" s="165">
        <v>0</v>
      </c>
      <c r="Q450" s="298">
        <v>0</v>
      </c>
      <c r="R450" s="307">
        <v>0</v>
      </c>
      <c r="S450" s="307">
        <v>0</v>
      </c>
      <c r="T450" s="307">
        <v>0</v>
      </c>
      <c r="U450" s="307">
        <v>4.4500927811798187E-2</v>
      </c>
      <c r="V450" s="380"/>
    </row>
    <row r="451" spans="1:22">
      <c r="A451" s="166"/>
      <c r="B451" s="167" t="s">
        <v>71</v>
      </c>
      <c r="C451" s="168">
        <v>2.4825219283096205E-2</v>
      </c>
      <c r="D451" s="169">
        <v>7.6799982582569509E-3</v>
      </c>
      <c r="E451" s="169">
        <v>6.9569268865253969E-2</v>
      </c>
      <c r="F451" s="169">
        <v>0</v>
      </c>
      <c r="G451" s="169">
        <v>1.9303673596328012E-4</v>
      </c>
      <c r="H451" s="169">
        <v>0</v>
      </c>
      <c r="I451" s="169">
        <v>0</v>
      </c>
      <c r="J451" s="170">
        <v>4.6455194444323479E-2</v>
      </c>
      <c r="K451" s="170">
        <v>0</v>
      </c>
      <c r="L451" s="169">
        <v>4.8833889928414295E-2</v>
      </c>
      <c r="M451" s="169">
        <v>4.6612186012389735E-2</v>
      </c>
      <c r="N451" s="169">
        <v>0</v>
      </c>
      <c r="O451" s="170">
        <v>4.7843979995036125E-2</v>
      </c>
      <c r="P451" s="170">
        <v>0</v>
      </c>
      <c r="Q451" s="169">
        <v>0</v>
      </c>
      <c r="R451" s="170">
        <v>0</v>
      </c>
      <c r="S451" s="170">
        <v>0</v>
      </c>
      <c r="T451" s="170">
        <v>0</v>
      </c>
      <c r="U451" s="170">
        <v>4.6948769409710302E-2</v>
      </c>
      <c r="V451" s="380"/>
    </row>
    <row r="452" spans="1:22">
      <c r="A452" s="166"/>
      <c r="B452" s="199" t="s">
        <v>72</v>
      </c>
      <c r="C452" s="200">
        <v>0.3490713221439814</v>
      </c>
      <c r="D452" s="201">
        <v>0.11096736569871421</v>
      </c>
      <c r="E452" s="201">
        <v>0.34825119670080368</v>
      </c>
      <c r="F452" s="201">
        <v>0</v>
      </c>
      <c r="G452" s="201">
        <v>0</v>
      </c>
      <c r="H452" s="201">
        <v>0</v>
      </c>
      <c r="I452" s="201">
        <v>0</v>
      </c>
      <c r="J452" s="202">
        <v>0.29148227829786238</v>
      </c>
      <c r="K452" s="202">
        <v>0</v>
      </c>
      <c r="L452" s="201">
        <v>0.10913192570136745</v>
      </c>
      <c r="M452" s="201">
        <v>0.24793176441949213</v>
      </c>
      <c r="N452" s="201">
        <v>0</v>
      </c>
      <c r="O452" s="202">
        <v>0.16828356260886398</v>
      </c>
      <c r="P452" s="202">
        <v>0</v>
      </c>
      <c r="Q452" s="201">
        <v>0</v>
      </c>
      <c r="R452" s="202">
        <v>0</v>
      </c>
      <c r="S452" s="202">
        <v>0</v>
      </c>
      <c r="T452" s="202">
        <v>0</v>
      </c>
      <c r="U452" s="202">
        <v>0.24478415979121149</v>
      </c>
      <c r="V452" s="380"/>
    </row>
    <row r="453" spans="1:22">
      <c r="A453" s="166"/>
      <c r="B453" s="246" t="s">
        <v>73</v>
      </c>
      <c r="C453" s="297">
        <v>6.8650687909344631E-3</v>
      </c>
      <c r="D453" s="298">
        <v>1.9631539827628273E-3</v>
      </c>
      <c r="E453" s="298">
        <v>7.3491811502400736E-3</v>
      </c>
      <c r="F453" s="298">
        <v>0</v>
      </c>
      <c r="G453" s="298">
        <v>1.1398685798578517E-3</v>
      </c>
      <c r="H453" s="298">
        <v>0</v>
      </c>
      <c r="I453" s="298">
        <v>0</v>
      </c>
      <c r="J453" s="307">
        <v>6.4747363885757272E-3</v>
      </c>
      <c r="K453" s="307">
        <v>0</v>
      </c>
      <c r="L453" s="298">
        <v>1.1283958363621988E-3</v>
      </c>
      <c r="M453" s="298">
        <v>2.3972311456854421E-3</v>
      </c>
      <c r="N453" s="298">
        <v>0</v>
      </c>
      <c r="O453" s="307">
        <v>1.6842781122670537E-3</v>
      </c>
      <c r="P453" s="165">
        <v>0</v>
      </c>
      <c r="Q453" s="298">
        <v>0</v>
      </c>
      <c r="R453" s="307">
        <v>0</v>
      </c>
      <c r="S453" s="307">
        <v>0</v>
      </c>
      <c r="T453" s="307">
        <v>0</v>
      </c>
      <c r="U453" s="307">
        <v>4.7189549171608993E-3</v>
      </c>
      <c r="V453" s="380"/>
    </row>
    <row r="454" spans="1:22">
      <c r="A454" s="166"/>
      <c r="B454" s="167" t="s">
        <v>74</v>
      </c>
      <c r="C454" s="168">
        <v>6.0481186356341416E-3</v>
      </c>
      <c r="D454" s="169">
        <v>1.861487883999913E-3</v>
      </c>
      <c r="E454" s="169">
        <v>7.5784622676357957E-3</v>
      </c>
      <c r="F454" s="169">
        <v>0</v>
      </c>
      <c r="G454" s="169">
        <v>1.6729850450150944E-3</v>
      </c>
      <c r="H454" s="169">
        <v>0</v>
      </c>
      <c r="I454" s="169">
        <v>0</v>
      </c>
      <c r="J454" s="170">
        <v>6.3456406088840305E-3</v>
      </c>
      <c r="K454" s="170">
        <v>0</v>
      </c>
      <c r="L454" s="169">
        <v>9.0297164241665462E-4</v>
      </c>
      <c r="M454" s="169">
        <v>2.3304047595346829E-3</v>
      </c>
      <c r="N454" s="169">
        <v>0</v>
      </c>
      <c r="O454" s="170">
        <v>1.5389835842763632E-3</v>
      </c>
      <c r="P454" s="170">
        <v>0</v>
      </c>
      <c r="Q454" s="169">
        <v>0</v>
      </c>
      <c r="R454" s="170">
        <v>0</v>
      </c>
      <c r="S454" s="170">
        <v>0</v>
      </c>
      <c r="T454" s="170">
        <v>0</v>
      </c>
      <c r="U454" s="170">
        <v>4.637352692632545E-3</v>
      </c>
      <c r="V454" s="380"/>
    </row>
    <row r="455" spans="1:22" ht="15.75" thickBot="1">
      <c r="A455" s="166"/>
      <c r="B455" s="303" t="s">
        <v>75</v>
      </c>
      <c r="C455" s="304">
        <v>-8.1695015530032153E-2</v>
      </c>
      <c r="D455" s="305">
        <v>-1.0166609876291434E-2</v>
      </c>
      <c r="E455" s="305">
        <v>2.2928111739572207E-2</v>
      </c>
      <c r="F455" s="305">
        <v>0</v>
      </c>
      <c r="G455" s="305">
        <v>5.3311646515724273E-2</v>
      </c>
      <c r="H455" s="305">
        <v>0</v>
      </c>
      <c r="I455" s="305">
        <v>0</v>
      </c>
      <c r="J455" s="308">
        <v>-1.290957796916967E-2</v>
      </c>
      <c r="K455" s="308">
        <v>0</v>
      </c>
      <c r="L455" s="305">
        <v>-2.2542419394554418E-2</v>
      </c>
      <c r="M455" s="305">
        <v>-6.6826386150759236E-3</v>
      </c>
      <c r="N455" s="305">
        <v>0</v>
      </c>
      <c r="O455" s="308">
        <v>-1.4529452799069047E-2</v>
      </c>
      <c r="P455" s="308">
        <v>0</v>
      </c>
      <c r="Q455" s="305">
        <v>0</v>
      </c>
      <c r="R455" s="308">
        <v>0</v>
      </c>
      <c r="S455" s="308">
        <v>0</v>
      </c>
      <c r="T455" s="308">
        <v>0</v>
      </c>
      <c r="U455" s="308">
        <v>-8.1602224528354306E-3</v>
      </c>
      <c r="V455" s="380"/>
    </row>
    <row r="456" spans="1:22" ht="15.75" thickTop="1">
      <c r="A456" s="166"/>
      <c r="B456" s="167" t="s">
        <v>76</v>
      </c>
      <c r="C456" s="168">
        <v>0.71146677684013848</v>
      </c>
      <c r="D456" s="169">
        <v>0.466005845723726</v>
      </c>
      <c r="E456" s="169">
        <v>0.52294069520768627</v>
      </c>
      <c r="F456" s="169">
        <v>0</v>
      </c>
      <c r="G456" s="169">
        <v>0.20975392825378003</v>
      </c>
      <c r="H456" s="169">
        <v>0</v>
      </c>
      <c r="I456" s="169">
        <v>0</v>
      </c>
      <c r="J456" s="170">
        <v>0.60172226612408886</v>
      </c>
      <c r="K456" s="170">
        <v>0</v>
      </c>
      <c r="L456" s="169">
        <v>0</v>
      </c>
      <c r="M456" s="169">
        <v>0</v>
      </c>
      <c r="N456" s="169">
        <v>0</v>
      </c>
      <c r="O456" s="170">
        <v>0</v>
      </c>
      <c r="P456" s="170">
        <v>0</v>
      </c>
      <c r="Q456" s="169">
        <v>0</v>
      </c>
      <c r="R456" s="170">
        <v>0</v>
      </c>
      <c r="S456" s="170">
        <v>0</v>
      </c>
      <c r="T456" s="170">
        <v>0</v>
      </c>
      <c r="U456" s="170">
        <v>0.60172226612408886</v>
      </c>
      <c r="V456" s="380"/>
    </row>
    <row r="457" spans="1:22">
      <c r="A457" s="166"/>
      <c r="B457" s="167" t="s">
        <v>77</v>
      </c>
      <c r="C457" s="168">
        <v>0.71110061099796329</v>
      </c>
      <c r="D457" s="169">
        <v>0.48585122447639684</v>
      </c>
      <c r="E457" s="169">
        <v>0.50441655740775426</v>
      </c>
      <c r="F457" s="169">
        <v>0</v>
      </c>
      <c r="G457" s="169">
        <v>0.15557847687811588</v>
      </c>
      <c r="H457" s="169">
        <v>0</v>
      </c>
      <c r="I457" s="169">
        <v>0</v>
      </c>
      <c r="J457" s="170">
        <v>0.59451285074019578</v>
      </c>
      <c r="K457" s="170">
        <v>0</v>
      </c>
      <c r="L457" s="169">
        <v>0</v>
      </c>
      <c r="M457" s="169">
        <v>0</v>
      </c>
      <c r="N457" s="169">
        <v>0</v>
      </c>
      <c r="O457" s="170">
        <v>0</v>
      </c>
      <c r="P457" s="170">
        <v>0</v>
      </c>
      <c r="Q457" s="169">
        <v>0</v>
      </c>
      <c r="R457" s="170">
        <v>0</v>
      </c>
      <c r="S457" s="170">
        <v>0</v>
      </c>
      <c r="T457" s="170">
        <v>0</v>
      </c>
      <c r="U457" s="170">
        <v>0.59451285074019578</v>
      </c>
      <c r="V457" s="380"/>
    </row>
    <row r="458" spans="1:22">
      <c r="A458" s="166"/>
      <c r="B458" s="199" t="s">
        <v>78</v>
      </c>
      <c r="C458" s="200">
        <v>-3.6616584217519232E-2</v>
      </c>
      <c r="D458" s="201">
        <v>1.9845378752670839</v>
      </c>
      <c r="E458" s="201">
        <v>-1.8524137799932006</v>
      </c>
      <c r="F458" s="201">
        <v>0</v>
      </c>
      <c r="G458" s="656">
        <v>-5.4175451375664156</v>
      </c>
      <c r="H458" s="201">
        <v>0</v>
      </c>
      <c r="I458" s="201">
        <v>0</v>
      </c>
      <c r="J458" s="202">
        <v>-0.72094153838930808</v>
      </c>
      <c r="K458" s="202">
        <v>0</v>
      </c>
      <c r="L458" s="201">
        <v>0</v>
      </c>
      <c r="M458" s="201">
        <v>0</v>
      </c>
      <c r="N458" s="201">
        <v>0</v>
      </c>
      <c r="O458" s="202">
        <v>0</v>
      </c>
      <c r="P458" s="202">
        <v>0</v>
      </c>
      <c r="Q458" s="201">
        <v>0</v>
      </c>
      <c r="R458" s="202">
        <v>0</v>
      </c>
      <c r="S458" s="202">
        <v>0</v>
      </c>
      <c r="T458" s="202">
        <v>0</v>
      </c>
      <c r="U458" s="202">
        <v>-0.72094153838930808</v>
      </c>
      <c r="V458" s="380"/>
    </row>
    <row r="459" spans="1:22">
      <c r="A459" s="166"/>
      <c r="B459" s="246" t="s">
        <v>79</v>
      </c>
      <c r="C459" s="297">
        <v>2.0503365326805145E-2</v>
      </c>
      <c r="D459" s="298">
        <v>0.22432964798576693</v>
      </c>
      <c r="E459" s="298">
        <v>1.8151277540056618E-2</v>
      </c>
      <c r="F459" s="298">
        <v>0</v>
      </c>
      <c r="G459" s="298">
        <v>0</v>
      </c>
      <c r="H459" s="298">
        <v>0</v>
      </c>
      <c r="I459" s="298">
        <v>0</v>
      </c>
      <c r="J459" s="307">
        <v>3.8087782397731217E-2</v>
      </c>
      <c r="K459" s="307">
        <v>0</v>
      </c>
      <c r="L459" s="298">
        <v>0</v>
      </c>
      <c r="M459" s="298">
        <v>0</v>
      </c>
      <c r="N459" s="298">
        <v>0</v>
      </c>
      <c r="O459" s="307">
        <v>0</v>
      </c>
      <c r="P459" s="165">
        <v>0</v>
      </c>
      <c r="Q459" s="298">
        <v>0</v>
      </c>
      <c r="R459" s="307">
        <v>0</v>
      </c>
      <c r="S459" s="307">
        <v>0</v>
      </c>
      <c r="T459" s="307">
        <v>0</v>
      </c>
      <c r="U459" s="307">
        <v>3.8087782397731217E-2</v>
      </c>
      <c r="V459" s="380"/>
    </row>
    <row r="460" spans="1:22">
      <c r="A460" s="166"/>
      <c r="B460" s="167" t="s">
        <v>80</v>
      </c>
      <c r="C460" s="168">
        <v>2.1435437881873728E-2</v>
      </c>
      <c r="D460" s="169">
        <v>0.23222375418554264</v>
      </c>
      <c r="E460" s="169">
        <v>1.492414309795842E-2</v>
      </c>
      <c r="F460" s="169">
        <v>0</v>
      </c>
      <c r="G460" s="169">
        <v>0</v>
      </c>
      <c r="H460" s="169">
        <v>0</v>
      </c>
      <c r="I460" s="169">
        <v>0</v>
      </c>
      <c r="J460" s="170">
        <v>3.8228109340746892E-2</v>
      </c>
      <c r="K460" s="170">
        <v>0</v>
      </c>
      <c r="L460" s="169">
        <v>0</v>
      </c>
      <c r="M460" s="169">
        <v>0</v>
      </c>
      <c r="N460" s="169">
        <v>0</v>
      </c>
      <c r="O460" s="170">
        <v>0</v>
      </c>
      <c r="P460" s="170">
        <v>0</v>
      </c>
      <c r="Q460" s="169">
        <v>0</v>
      </c>
      <c r="R460" s="170">
        <v>0</v>
      </c>
      <c r="S460" s="170">
        <v>0</v>
      </c>
      <c r="T460" s="170">
        <v>0</v>
      </c>
      <c r="U460" s="170">
        <v>3.8228109340746892E-2</v>
      </c>
      <c r="V460" s="380"/>
    </row>
    <row r="461" spans="1:22">
      <c r="A461" s="166"/>
      <c r="B461" s="199" t="s">
        <v>81</v>
      </c>
      <c r="C461" s="200">
        <v>9.3207255506858391E-2</v>
      </c>
      <c r="D461" s="201">
        <v>0.78941061997757078</v>
      </c>
      <c r="E461" s="201">
        <v>-0.32271344420981979</v>
      </c>
      <c r="F461" s="201">
        <v>0</v>
      </c>
      <c r="G461" s="201">
        <v>0</v>
      </c>
      <c r="H461" s="201">
        <v>0</v>
      </c>
      <c r="I461" s="201">
        <v>0</v>
      </c>
      <c r="J461" s="202">
        <v>1.4032694301567561E-2</v>
      </c>
      <c r="K461" s="202">
        <v>0</v>
      </c>
      <c r="L461" s="201">
        <v>0</v>
      </c>
      <c r="M461" s="201">
        <v>0</v>
      </c>
      <c r="N461" s="201">
        <v>0</v>
      </c>
      <c r="O461" s="202">
        <v>0</v>
      </c>
      <c r="P461" s="202">
        <v>0</v>
      </c>
      <c r="Q461" s="201">
        <v>0</v>
      </c>
      <c r="R461" s="202">
        <v>0</v>
      </c>
      <c r="S461" s="202">
        <v>0</v>
      </c>
      <c r="T461" s="202">
        <v>0</v>
      </c>
      <c r="U461" s="202">
        <v>1.4032694301567561E-2</v>
      </c>
      <c r="V461" s="380"/>
    </row>
    <row r="462" spans="1:22">
      <c r="A462" s="166"/>
      <c r="B462" s="246" t="s">
        <v>82</v>
      </c>
      <c r="C462" s="297">
        <v>0.18638021563990539</v>
      </c>
      <c r="D462" s="298">
        <v>0.24336002033295209</v>
      </c>
      <c r="E462" s="298">
        <v>0.3650890187304966</v>
      </c>
      <c r="F462" s="298">
        <v>0</v>
      </c>
      <c r="G462" s="298">
        <v>0.78935665579602732</v>
      </c>
      <c r="H462" s="298">
        <v>0</v>
      </c>
      <c r="I462" s="298">
        <v>0</v>
      </c>
      <c r="J462" s="307">
        <v>0.27661130107900123</v>
      </c>
      <c r="K462" s="307">
        <v>0</v>
      </c>
      <c r="L462" s="298">
        <v>0</v>
      </c>
      <c r="M462" s="298">
        <v>0</v>
      </c>
      <c r="N462" s="298">
        <v>0</v>
      </c>
      <c r="O462" s="307">
        <v>0</v>
      </c>
      <c r="P462" s="165">
        <v>0</v>
      </c>
      <c r="Q462" s="298">
        <v>0</v>
      </c>
      <c r="R462" s="307">
        <v>0</v>
      </c>
      <c r="S462" s="307">
        <v>0</v>
      </c>
      <c r="T462" s="307">
        <v>0</v>
      </c>
      <c r="U462" s="307">
        <v>0.27661130107900123</v>
      </c>
      <c r="V462" s="380"/>
    </row>
    <row r="463" spans="1:22">
      <c r="A463" s="166"/>
      <c r="B463" s="167" t="s">
        <v>83</v>
      </c>
      <c r="C463" s="168">
        <v>0.19248879837067209</v>
      </c>
      <c r="D463" s="169">
        <v>0.21731993959687479</v>
      </c>
      <c r="E463" s="169">
        <v>0.39241056377598799</v>
      </c>
      <c r="F463" s="169">
        <v>0</v>
      </c>
      <c r="G463" s="169">
        <v>0.84390579336427707</v>
      </c>
      <c r="H463" s="169">
        <v>0</v>
      </c>
      <c r="I463" s="169">
        <v>0</v>
      </c>
      <c r="J463" s="170">
        <v>0.28911960865307412</v>
      </c>
      <c r="K463" s="170">
        <v>0</v>
      </c>
      <c r="L463" s="169">
        <v>0</v>
      </c>
      <c r="M463" s="169">
        <v>0</v>
      </c>
      <c r="N463" s="169">
        <v>0</v>
      </c>
      <c r="O463" s="170">
        <v>0</v>
      </c>
      <c r="P463" s="170">
        <v>0</v>
      </c>
      <c r="Q463" s="169">
        <v>0</v>
      </c>
      <c r="R463" s="170">
        <v>0</v>
      </c>
      <c r="S463" s="170">
        <v>0</v>
      </c>
      <c r="T463" s="170">
        <v>0</v>
      </c>
      <c r="U463" s="170">
        <v>0.28911960865307412</v>
      </c>
      <c r="V463" s="380"/>
    </row>
    <row r="464" spans="1:22">
      <c r="A464" s="166"/>
      <c r="B464" s="199" t="s">
        <v>84</v>
      </c>
      <c r="C464" s="200">
        <v>0.61085827307666984</v>
      </c>
      <c r="D464" s="201">
        <v>-2.6040080736077305</v>
      </c>
      <c r="E464" s="201">
        <v>2.7321545045491389</v>
      </c>
      <c r="F464" s="201">
        <v>0</v>
      </c>
      <c r="G464" s="656">
        <v>5.4549137568249755</v>
      </c>
      <c r="H464" s="201">
        <v>0</v>
      </c>
      <c r="I464" s="201">
        <v>0</v>
      </c>
      <c r="J464" s="202">
        <v>1.2508307574072897</v>
      </c>
      <c r="K464" s="202">
        <v>0</v>
      </c>
      <c r="L464" s="201">
        <v>0</v>
      </c>
      <c r="M464" s="201">
        <v>0</v>
      </c>
      <c r="N464" s="201">
        <v>0</v>
      </c>
      <c r="O464" s="202">
        <v>0</v>
      </c>
      <c r="P464" s="202">
        <v>0</v>
      </c>
      <c r="Q464" s="201">
        <v>0</v>
      </c>
      <c r="R464" s="202">
        <v>0</v>
      </c>
      <c r="S464" s="202">
        <v>0</v>
      </c>
      <c r="T464" s="202">
        <v>0</v>
      </c>
      <c r="U464" s="202">
        <v>1.2508307574072897</v>
      </c>
      <c r="V464" s="380"/>
    </row>
    <row r="465" spans="1:22">
      <c r="A465" s="166"/>
      <c r="B465" s="246" t="s">
        <v>85</v>
      </c>
      <c r="C465" s="297">
        <v>1.7327656110773671E-3</v>
      </c>
      <c r="D465" s="298">
        <v>0</v>
      </c>
      <c r="E465" s="298">
        <v>8.4710788679163325E-3</v>
      </c>
      <c r="F465" s="298">
        <v>0</v>
      </c>
      <c r="G465" s="298">
        <v>4.447079750963534E-4</v>
      </c>
      <c r="H465" s="298">
        <v>0</v>
      </c>
      <c r="I465" s="298">
        <v>0</v>
      </c>
      <c r="J465" s="307">
        <v>4.2953258051889546E-3</v>
      </c>
      <c r="K465" s="307">
        <v>0</v>
      </c>
      <c r="L465" s="298">
        <v>0</v>
      </c>
      <c r="M465" s="298">
        <v>0</v>
      </c>
      <c r="N465" s="298">
        <v>0</v>
      </c>
      <c r="O465" s="307">
        <v>0</v>
      </c>
      <c r="P465" s="165">
        <v>0</v>
      </c>
      <c r="Q465" s="298">
        <v>0</v>
      </c>
      <c r="R465" s="307">
        <v>0</v>
      </c>
      <c r="S465" s="307">
        <v>0</v>
      </c>
      <c r="T465" s="307">
        <v>0</v>
      </c>
      <c r="U465" s="307">
        <v>4.2953258051889546E-3</v>
      </c>
      <c r="V465" s="380"/>
    </row>
    <row r="466" spans="1:22">
      <c r="A466" s="166"/>
      <c r="B466" s="167" t="s">
        <v>86</v>
      </c>
      <c r="C466" s="168">
        <v>2.4114052953156822E-3</v>
      </c>
      <c r="D466" s="169">
        <v>0</v>
      </c>
      <c r="E466" s="169">
        <v>3.2890054317287884E-3</v>
      </c>
      <c r="F466" s="169">
        <v>0</v>
      </c>
      <c r="G466" s="169">
        <v>0</v>
      </c>
      <c r="H466" s="169">
        <v>0</v>
      </c>
      <c r="I466" s="169">
        <v>0</v>
      </c>
      <c r="J466" s="170">
        <v>2.5031598912718931E-3</v>
      </c>
      <c r="K466" s="170">
        <v>0</v>
      </c>
      <c r="L466" s="169">
        <v>0</v>
      </c>
      <c r="M466" s="169">
        <v>0</v>
      </c>
      <c r="N466" s="169">
        <v>0</v>
      </c>
      <c r="O466" s="170">
        <v>0</v>
      </c>
      <c r="P466" s="170">
        <v>0</v>
      </c>
      <c r="Q466" s="169">
        <v>0</v>
      </c>
      <c r="R466" s="170">
        <v>0</v>
      </c>
      <c r="S466" s="170">
        <v>0</v>
      </c>
      <c r="T466" s="170">
        <v>0</v>
      </c>
      <c r="U466" s="170">
        <v>2.5031598912718931E-3</v>
      </c>
      <c r="V466" s="380"/>
    </row>
    <row r="467" spans="1:22">
      <c r="A467" s="166"/>
      <c r="B467" s="199" t="s">
        <v>87</v>
      </c>
      <c r="C467" s="200">
        <v>6.7863968423831508E-2</v>
      </c>
      <c r="D467" s="201">
        <v>0</v>
      </c>
      <c r="E467" s="201">
        <v>-0.51820734361875442</v>
      </c>
      <c r="F467" s="201">
        <v>0</v>
      </c>
      <c r="G467" s="201">
        <v>-4.447079750963534E-2</v>
      </c>
      <c r="H467" s="201">
        <v>0</v>
      </c>
      <c r="I467" s="201">
        <v>0</v>
      </c>
      <c r="J467" s="202">
        <v>-0.17921659139170615</v>
      </c>
      <c r="K467" s="202">
        <v>0</v>
      </c>
      <c r="L467" s="201">
        <v>0</v>
      </c>
      <c r="M467" s="201">
        <v>0</v>
      </c>
      <c r="N467" s="201">
        <v>0</v>
      </c>
      <c r="O467" s="202">
        <v>0</v>
      </c>
      <c r="P467" s="202">
        <v>0</v>
      </c>
      <c r="Q467" s="201">
        <v>0</v>
      </c>
      <c r="R467" s="202">
        <v>0</v>
      </c>
      <c r="S467" s="202">
        <v>0</v>
      </c>
      <c r="T467" s="202">
        <v>0</v>
      </c>
      <c r="U467" s="202">
        <v>-0.17921659139170615</v>
      </c>
      <c r="V467" s="380"/>
    </row>
    <row r="468" spans="1:22">
      <c r="A468" s="166"/>
      <c r="B468" s="246" t="s">
        <v>88</v>
      </c>
      <c r="C468" s="297">
        <v>2.7243268575586503E-2</v>
      </c>
      <c r="D468" s="298">
        <v>1.5853348583047402E-2</v>
      </c>
      <c r="E468" s="298">
        <v>4.7981059536479943E-2</v>
      </c>
      <c r="F468" s="298">
        <v>0</v>
      </c>
      <c r="G468" s="298">
        <v>0</v>
      </c>
      <c r="H468" s="298">
        <v>0</v>
      </c>
      <c r="I468" s="298">
        <v>0</v>
      </c>
      <c r="J468" s="307">
        <v>3.4102641743535965E-2</v>
      </c>
      <c r="K468" s="307">
        <v>0</v>
      </c>
      <c r="L468" s="298">
        <v>0</v>
      </c>
      <c r="M468" s="298">
        <v>0</v>
      </c>
      <c r="N468" s="298">
        <v>0</v>
      </c>
      <c r="O468" s="307">
        <v>0</v>
      </c>
      <c r="P468" s="165">
        <v>0</v>
      </c>
      <c r="Q468" s="298">
        <v>0</v>
      </c>
      <c r="R468" s="307">
        <v>0</v>
      </c>
      <c r="S468" s="307">
        <v>0</v>
      </c>
      <c r="T468" s="307">
        <v>0</v>
      </c>
      <c r="U468" s="307">
        <v>3.4102641743535965E-2</v>
      </c>
      <c r="V468" s="380"/>
    </row>
    <row r="469" spans="1:22">
      <c r="A469" s="166"/>
      <c r="B469" s="167" t="s">
        <v>89</v>
      </c>
      <c r="C469" s="168">
        <v>2.7020773930753562E-2</v>
      </c>
      <c r="D469" s="169">
        <v>2.271682752281531E-2</v>
      </c>
      <c r="E469" s="169">
        <v>4.5738902416182808E-2</v>
      </c>
      <c r="F469" s="169">
        <v>0</v>
      </c>
      <c r="G469" s="169">
        <v>0</v>
      </c>
      <c r="H469" s="169">
        <v>0</v>
      </c>
      <c r="I469" s="169">
        <v>0</v>
      </c>
      <c r="J469" s="170">
        <v>3.3859182558947251E-2</v>
      </c>
      <c r="K469" s="170">
        <v>0</v>
      </c>
      <c r="L469" s="169">
        <v>0</v>
      </c>
      <c r="M469" s="169">
        <v>0</v>
      </c>
      <c r="N469" s="169">
        <v>0</v>
      </c>
      <c r="O469" s="170">
        <v>0</v>
      </c>
      <c r="P469" s="170">
        <v>0</v>
      </c>
      <c r="Q469" s="169">
        <v>0</v>
      </c>
      <c r="R469" s="170">
        <v>0</v>
      </c>
      <c r="S469" s="170">
        <v>0</v>
      </c>
      <c r="T469" s="170">
        <v>0</v>
      </c>
      <c r="U469" s="170">
        <v>3.3859182558947251E-2</v>
      </c>
      <c r="V469" s="380"/>
    </row>
    <row r="470" spans="1:22">
      <c r="A470" s="166"/>
      <c r="B470" s="199" t="s">
        <v>90</v>
      </c>
      <c r="C470" s="200">
        <v>-2.2249464483294068E-2</v>
      </c>
      <c r="D470" s="201">
        <v>0.68634789397679086</v>
      </c>
      <c r="E470" s="201">
        <v>-0.22421571202971349</v>
      </c>
      <c r="F470" s="201">
        <v>0</v>
      </c>
      <c r="G470" s="201">
        <v>0</v>
      </c>
      <c r="H470" s="201">
        <v>0</v>
      </c>
      <c r="I470" s="201">
        <v>0</v>
      </c>
      <c r="J470" s="202">
        <v>-2.434591845887138E-2</v>
      </c>
      <c r="K470" s="202">
        <v>0</v>
      </c>
      <c r="L470" s="201">
        <v>0</v>
      </c>
      <c r="M470" s="201">
        <v>0</v>
      </c>
      <c r="N470" s="201">
        <v>0</v>
      </c>
      <c r="O470" s="202">
        <v>0</v>
      </c>
      <c r="P470" s="202">
        <v>0</v>
      </c>
      <c r="Q470" s="201">
        <v>0</v>
      </c>
      <c r="R470" s="202">
        <v>0</v>
      </c>
      <c r="S470" s="202">
        <v>0</v>
      </c>
      <c r="T470" s="202">
        <v>0</v>
      </c>
      <c r="U470" s="202">
        <v>-2.434591845887138E-2</v>
      </c>
      <c r="V470" s="380"/>
    </row>
    <row r="471" spans="1:22">
      <c r="A471" s="166"/>
      <c r="B471" s="246" t="s">
        <v>91</v>
      </c>
      <c r="C471" s="297">
        <v>5.2673608006487078E-2</v>
      </c>
      <c r="D471" s="298">
        <v>5.0451137374507564E-2</v>
      </c>
      <c r="E471" s="298">
        <v>3.7366870117364261E-2</v>
      </c>
      <c r="F471" s="298">
        <v>0</v>
      </c>
      <c r="G471" s="298">
        <v>4.447079750963534E-4</v>
      </c>
      <c r="H471" s="298">
        <v>0</v>
      </c>
      <c r="I471" s="298">
        <v>0</v>
      </c>
      <c r="J471" s="307">
        <v>4.5180682850453832E-2</v>
      </c>
      <c r="K471" s="307">
        <v>0</v>
      </c>
      <c r="L471" s="298">
        <v>0</v>
      </c>
      <c r="M471" s="298">
        <v>0</v>
      </c>
      <c r="N471" s="298">
        <v>0</v>
      </c>
      <c r="O471" s="307">
        <v>0</v>
      </c>
      <c r="P471" s="165">
        <v>0</v>
      </c>
      <c r="Q471" s="298">
        <v>0</v>
      </c>
      <c r="R471" s="307">
        <v>0</v>
      </c>
      <c r="S471" s="307">
        <v>0</v>
      </c>
      <c r="T471" s="307">
        <v>0</v>
      </c>
      <c r="U471" s="307">
        <v>4.5180682850453832E-2</v>
      </c>
      <c r="V471" s="380"/>
    </row>
    <row r="472" spans="1:22">
      <c r="A472" s="166"/>
      <c r="B472" s="167" t="s">
        <v>92</v>
      </c>
      <c r="C472" s="168">
        <v>4.5542973523421591E-2</v>
      </c>
      <c r="D472" s="169">
        <v>4.1888254218370426E-2</v>
      </c>
      <c r="E472" s="169">
        <v>3.9220827870387713E-2</v>
      </c>
      <c r="F472" s="169">
        <v>0</v>
      </c>
      <c r="G472" s="169">
        <v>5.1572975760701394E-4</v>
      </c>
      <c r="H472" s="169">
        <v>0</v>
      </c>
      <c r="I472" s="169">
        <v>0</v>
      </c>
      <c r="J472" s="170">
        <v>4.177708881576403E-2</v>
      </c>
      <c r="K472" s="170">
        <v>0</v>
      </c>
      <c r="L472" s="169">
        <v>0</v>
      </c>
      <c r="M472" s="169">
        <v>0</v>
      </c>
      <c r="N472" s="169">
        <v>0</v>
      </c>
      <c r="O472" s="170">
        <v>0</v>
      </c>
      <c r="P472" s="170">
        <v>0</v>
      </c>
      <c r="Q472" s="169">
        <v>0</v>
      </c>
      <c r="R472" s="170">
        <v>0</v>
      </c>
      <c r="S472" s="170">
        <v>0</v>
      </c>
      <c r="T472" s="170">
        <v>0</v>
      </c>
      <c r="U472" s="170">
        <v>4.177708881576403E-2</v>
      </c>
      <c r="V472" s="380"/>
    </row>
    <row r="473" spans="1:22" ht="15.75" thickBot="1">
      <c r="A473" s="310"/>
      <c r="B473" s="311" t="s">
        <v>93</v>
      </c>
      <c r="C473" s="312">
        <v>-0.71306344830654877</v>
      </c>
      <c r="D473" s="313">
        <v>-0.85628831561371377</v>
      </c>
      <c r="E473" s="313">
        <v>0.18539577530234524</v>
      </c>
      <c r="F473" s="313">
        <v>0</v>
      </c>
      <c r="G473" s="313">
        <v>7.102178251066054E-3</v>
      </c>
      <c r="H473" s="313">
        <v>0</v>
      </c>
      <c r="I473" s="313">
        <v>0</v>
      </c>
      <c r="J473" s="314">
        <v>-0.34035940346898025</v>
      </c>
      <c r="K473" s="314">
        <v>0</v>
      </c>
      <c r="L473" s="313">
        <v>0</v>
      </c>
      <c r="M473" s="313">
        <v>0</v>
      </c>
      <c r="N473" s="313">
        <v>0</v>
      </c>
      <c r="O473" s="314">
        <v>0</v>
      </c>
      <c r="P473" s="314">
        <v>0</v>
      </c>
      <c r="Q473" s="313">
        <v>0</v>
      </c>
      <c r="R473" s="314">
        <v>0</v>
      </c>
      <c r="S473" s="314">
        <v>0</v>
      </c>
      <c r="T473" s="314">
        <v>0</v>
      </c>
      <c r="U473" s="314">
        <v>-0.34035940346898025</v>
      </c>
      <c r="V473" s="380"/>
    </row>
    <row r="474" spans="1:22">
      <c r="A474" s="296" t="s">
        <v>52</v>
      </c>
      <c r="B474" s="246" t="s">
        <v>59</v>
      </c>
      <c r="C474" s="297">
        <v>0.8889824230090736</v>
      </c>
      <c r="D474" s="298">
        <v>0.8770917983731934</v>
      </c>
      <c r="E474" s="298">
        <v>0.84813413189786302</v>
      </c>
      <c r="F474" s="298">
        <v>0.39723329141350627</v>
      </c>
      <c r="G474" s="298">
        <v>0.6005395698760011</v>
      </c>
      <c r="H474" s="298">
        <v>0.9962017378840814</v>
      </c>
      <c r="I474" s="298">
        <v>0</v>
      </c>
      <c r="J474" s="307">
        <v>0.85844343779832732</v>
      </c>
      <c r="K474" s="307">
        <v>0.78413973373970836</v>
      </c>
      <c r="L474" s="298">
        <v>0.65780804953324024</v>
      </c>
      <c r="M474" s="298">
        <v>0.56487451368794461</v>
      </c>
      <c r="N474" s="298">
        <v>0.54148203171025333</v>
      </c>
      <c r="O474" s="307">
        <v>0.64535492717824727</v>
      </c>
      <c r="P474" s="165">
        <v>0</v>
      </c>
      <c r="Q474" s="298">
        <v>0</v>
      </c>
      <c r="R474" s="307">
        <v>0</v>
      </c>
      <c r="S474" s="307">
        <v>0</v>
      </c>
      <c r="T474" s="307">
        <v>0</v>
      </c>
      <c r="U474" s="307">
        <v>0.74227400232616481</v>
      </c>
      <c r="V474" s="380"/>
    </row>
    <row r="475" spans="1:22">
      <c r="A475" s="166"/>
      <c r="B475" s="167" t="s">
        <v>60</v>
      </c>
      <c r="C475" s="168">
        <v>0.87652971277046343</v>
      </c>
      <c r="D475" s="169">
        <v>0.86361089319735518</v>
      </c>
      <c r="E475" s="169">
        <v>0.84249251797093705</v>
      </c>
      <c r="F475" s="169">
        <v>0.44338227177392647</v>
      </c>
      <c r="G475" s="169">
        <v>0.58389875565766669</v>
      </c>
      <c r="H475" s="169">
        <v>0.98709517514871115</v>
      </c>
      <c r="I475" s="169">
        <v>0</v>
      </c>
      <c r="J475" s="170">
        <v>0.84889844428807015</v>
      </c>
      <c r="K475" s="170">
        <v>0.78574188023975944</v>
      </c>
      <c r="L475" s="169">
        <v>0.6462659082291663</v>
      </c>
      <c r="M475" s="169">
        <v>0.54769076116766457</v>
      </c>
      <c r="N475" s="169">
        <v>0.53550959931038089</v>
      </c>
      <c r="O475" s="170">
        <v>0.63382257562891853</v>
      </c>
      <c r="P475" s="170">
        <v>0</v>
      </c>
      <c r="Q475" s="169">
        <v>0</v>
      </c>
      <c r="R475" s="170">
        <v>0</v>
      </c>
      <c r="S475" s="170">
        <v>0</v>
      </c>
      <c r="T475" s="170">
        <v>0</v>
      </c>
      <c r="U475" s="170">
        <v>0.73370787246092761</v>
      </c>
      <c r="V475" s="380"/>
    </row>
    <row r="476" spans="1:22">
      <c r="A476" s="166"/>
      <c r="B476" s="199" t="s">
        <v>236</v>
      </c>
      <c r="C476" s="200">
        <v>-1.2452710238610165</v>
      </c>
      <c r="D476" s="201">
        <v>-1.348090517583822</v>
      </c>
      <c r="E476" s="201">
        <v>-0.56416139269259702</v>
      </c>
      <c r="F476" s="656">
        <v>4.6148980360420202</v>
      </c>
      <c r="G476" s="201">
        <v>-1.664081421833441</v>
      </c>
      <c r="H476" s="201">
        <v>-0.91065627353702494</v>
      </c>
      <c r="I476" s="201">
        <v>0</v>
      </c>
      <c r="J476" s="202">
        <v>-0.95449935102571715</v>
      </c>
      <c r="K476" s="202">
        <v>0.16021465000510826</v>
      </c>
      <c r="L476" s="201">
        <v>-1.1542141304073938</v>
      </c>
      <c r="M476" s="201">
        <v>-1.7183752520280038</v>
      </c>
      <c r="N476" s="201">
        <v>-0.59724323998724405</v>
      </c>
      <c r="O476" s="202">
        <v>-1.1532351549328745</v>
      </c>
      <c r="P476" s="202">
        <v>0</v>
      </c>
      <c r="Q476" s="201">
        <v>0</v>
      </c>
      <c r="R476" s="202">
        <v>0</v>
      </c>
      <c r="S476" s="202">
        <v>0</v>
      </c>
      <c r="T476" s="202">
        <v>0</v>
      </c>
      <c r="U476" s="202">
        <v>-0.85661298652371931</v>
      </c>
      <c r="V476" s="380"/>
    </row>
    <row r="477" spans="1:22">
      <c r="A477" s="166"/>
      <c r="B477" s="246" t="s">
        <v>61</v>
      </c>
      <c r="C477" s="297">
        <v>5.9293782735147672E-3</v>
      </c>
      <c r="D477" s="298">
        <v>3.0417182480310476E-3</v>
      </c>
      <c r="E477" s="298">
        <v>2.5267494793800836E-2</v>
      </c>
      <c r="F477" s="298">
        <v>0.12300943953696268</v>
      </c>
      <c r="G477" s="298">
        <v>3.5795440038808184E-2</v>
      </c>
      <c r="H477" s="298">
        <v>7.1665322941861511E-4</v>
      </c>
      <c r="I477" s="298">
        <v>0</v>
      </c>
      <c r="J477" s="307">
        <v>1.5138882577338423E-2</v>
      </c>
      <c r="K477" s="307">
        <v>8.4264609393188989E-3</v>
      </c>
      <c r="L477" s="298">
        <v>0.11393509802722225</v>
      </c>
      <c r="M477" s="298">
        <v>0.19432536137597992</v>
      </c>
      <c r="N477" s="298">
        <v>0.15102925983794813</v>
      </c>
      <c r="O477" s="307">
        <v>0.12332239386441328</v>
      </c>
      <c r="P477" s="165">
        <v>0</v>
      </c>
      <c r="Q477" s="298">
        <v>0</v>
      </c>
      <c r="R477" s="307">
        <v>0</v>
      </c>
      <c r="S477" s="307">
        <v>0</v>
      </c>
      <c r="T477" s="307">
        <v>0</v>
      </c>
      <c r="U477" s="307">
        <v>7.411727328007732E-2</v>
      </c>
      <c r="V477" s="380"/>
    </row>
    <row r="478" spans="1:22">
      <c r="A478" s="166"/>
      <c r="B478" s="167" t="s">
        <v>62</v>
      </c>
      <c r="C478" s="168">
        <v>6.544944338403409E-3</v>
      </c>
      <c r="D478" s="169">
        <v>3.9033880951237381E-3</v>
      </c>
      <c r="E478" s="169">
        <v>2.4630030807320607E-2</v>
      </c>
      <c r="F478" s="169">
        <v>9.8428818486219968E-2</v>
      </c>
      <c r="G478" s="169">
        <v>2.9881295746867105E-2</v>
      </c>
      <c r="H478" s="169">
        <v>1.9497686715135491E-3</v>
      </c>
      <c r="I478" s="169">
        <v>0</v>
      </c>
      <c r="J478" s="170">
        <v>1.4870757340420216E-2</v>
      </c>
      <c r="K478" s="170">
        <v>8.4778726991523463E-3</v>
      </c>
      <c r="L478" s="169">
        <v>0.11592754787577471</v>
      </c>
      <c r="M478" s="169">
        <v>0.19820391376617094</v>
      </c>
      <c r="N478" s="169">
        <v>0.14724083514413425</v>
      </c>
      <c r="O478" s="170">
        <v>0.1251928192927122</v>
      </c>
      <c r="P478" s="170">
        <v>0</v>
      </c>
      <c r="Q478" s="169">
        <v>0</v>
      </c>
      <c r="R478" s="170">
        <v>0</v>
      </c>
      <c r="S478" s="170">
        <v>0</v>
      </c>
      <c r="T478" s="170">
        <v>0</v>
      </c>
      <c r="U478" s="170">
        <v>7.3957169408216963E-2</v>
      </c>
      <c r="V478" s="380"/>
    </row>
    <row r="479" spans="1:22">
      <c r="A479" s="166"/>
      <c r="B479" s="199" t="s">
        <v>63</v>
      </c>
      <c r="C479" s="200">
        <v>6.1556606488864185E-2</v>
      </c>
      <c r="D479" s="201">
        <v>8.6166984709269048E-2</v>
      </c>
      <c r="E479" s="201">
        <v>-6.3746398648022867E-2</v>
      </c>
      <c r="F479" s="201">
        <v>-2.458062105074271</v>
      </c>
      <c r="G479" s="201">
        <v>-0.59141442919410792</v>
      </c>
      <c r="H479" s="201">
        <v>0.12331154420949339</v>
      </c>
      <c r="I479" s="201">
        <v>0</v>
      </c>
      <c r="J479" s="202">
        <v>-2.6812523691820654E-2</v>
      </c>
      <c r="K479" s="202">
        <v>5.1411759833447368E-3</v>
      </c>
      <c r="L479" s="201">
        <v>0.19924498485524578</v>
      </c>
      <c r="M479" s="201">
        <v>0.38785523901910257</v>
      </c>
      <c r="N479" s="201">
        <v>-0.37884246938138799</v>
      </c>
      <c r="O479" s="202">
        <v>0.18704254282989191</v>
      </c>
      <c r="P479" s="202">
        <v>0</v>
      </c>
      <c r="Q479" s="201">
        <v>0</v>
      </c>
      <c r="R479" s="202">
        <v>0</v>
      </c>
      <c r="S479" s="202">
        <v>0</v>
      </c>
      <c r="T479" s="202">
        <v>0</v>
      </c>
      <c r="U479" s="202">
        <v>-1.6010387186035646E-2</v>
      </c>
      <c r="V479" s="380"/>
    </row>
    <row r="480" spans="1:22">
      <c r="A480" s="166"/>
      <c r="B480" s="246" t="s">
        <v>64</v>
      </c>
      <c r="C480" s="297">
        <v>0.10205448176909053</v>
      </c>
      <c r="D480" s="298">
        <v>0.11693792768229423</v>
      </c>
      <c r="E480" s="298">
        <v>0.1228559721138572</v>
      </c>
      <c r="F480" s="298">
        <v>0.44105213715359326</v>
      </c>
      <c r="G480" s="298">
        <v>0.3524650854035285</v>
      </c>
      <c r="H480" s="298">
        <v>2.7232822717907371E-3</v>
      </c>
      <c r="I480" s="298">
        <v>0</v>
      </c>
      <c r="J480" s="307">
        <v>0.12249251573267041</v>
      </c>
      <c r="K480" s="307">
        <v>0.20627500158740236</v>
      </c>
      <c r="L480" s="298">
        <v>0.22482312999107121</v>
      </c>
      <c r="M480" s="298">
        <v>0.21813159070164878</v>
      </c>
      <c r="N480" s="298">
        <v>0.27209571703821339</v>
      </c>
      <c r="O480" s="307">
        <v>0.22383080958282114</v>
      </c>
      <c r="P480" s="165">
        <v>0</v>
      </c>
      <c r="Q480" s="298">
        <v>0</v>
      </c>
      <c r="R480" s="307">
        <v>0</v>
      </c>
      <c r="S480" s="307">
        <v>0</v>
      </c>
      <c r="T480" s="307">
        <v>0</v>
      </c>
      <c r="U480" s="307">
        <v>0.17773910014037414</v>
      </c>
      <c r="V480" s="380"/>
    </row>
    <row r="481" spans="1:22">
      <c r="A481" s="166"/>
      <c r="B481" s="167" t="s">
        <v>65</v>
      </c>
      <c r="C481" s="168">
        <v>0.11301852348197043</v>
      </c>
      <c r="D481" s="169">
        <v>0.13064914411354589</v>
      </c>
      <c r="E481" s="169">
        <v>0.13004245677831389</v>
      </c>
      <c r="F481" s="169">
        <v>0.43673694668285684</v>
      </c>
      <c r="G481" s="169">
        <v>0.37559193725671691</v>
      </c>
      <c r="H481" s="169">
        <v>1.0492399206873761E-2</v>
      </c>
      <c r="I481" s="169">
        <v>0</v>
      </c>
      <c r="J481" s="170">
        <v>0.13257304646047857</v>
      </c>
      <c r="K481" s="170">
        <v>0.20445267538881257</v>
      </c>
      <c r="L481" s="169">
        <v>0.23552092678379574</v>
      </c>
      <c r="M481" s="169">
        <v>0.23093013992037323</v>
      </c>
      <c r="N481" s="169">
        <v>0.28291182294635897</v>
      </c>
      <c r="O481" s="170">
        <v>0.23427277393763807</v>
      </c>
      <c r="P481" s="170">
        <v>0</v>
      </c>
      <c r="Q481" s="169">
        <v>0</v>
      </c>
      <c r="R481" s="170">
        <v>0</v>
      </c>
      <c r="S481" s="170">
        <v>0</v>
      </c>
      <c r="T481" s="170">
        <v>0</v>
      </c>
      <c r="U481" s="170">
        <v>0.18704149908509196</v>
      </c>
      <c r="V481" s="380"/>
    </row>
    <row r="482" spans="1:22">
      <c r="A482" s="166"/>
      <c r="B482" s="199" t="s">
        <v>66</v>
      </c>
      <c r="C482" s="200">
        <v>1.0964041712879902</v>
      </c>
      <c r="D482" s="201">
        <v>1.3711216431251658</v>
      </c>
      <c r="E482" s="201">
        <v>0.71864846644566915</v>
      </c>
      <c r="F482" s="201">
        <v>-0.43151904707364186</v>
      </c>
      <c r="G482" s="201">
        <v>2.3126851853188413</v>
      </c>
      <c r="H482" s="201">
        <v>0.77691169350830236</v>
      </c>
      <c r="I482" s="201">
        <v>0</v>
      </c>
      <c r="J482" s="202">
        <v>1.0080530727808166</v>
      </c>
      <c r="K482" s="202">
        <v>-0.18223261985897965</v>
      </c>
      <c r="L482" s="201">
        <v>1.0697796792724534</v>
      </c>
      <c r="M482" s="201">
        <v>1.2798549218724449</v>
      </c>
      <c r="N482" s="201">
        <v>1.0816105908145579</v>
      </c>
      <c r="O482" s="202">
        <v>1.0441964354816924</v>
      </c>
      <c r="P482" s="202">
        <v>0</v>
      </c>
      <c r="Q482" s="201">
        <v>0</v>
      </c>
      <c r="R482" s="202">
        <v>0</v>
      </c>
      <c r="S482" s="202">
        <v>0</v>
      </c>
      <c r="T482" s="202">
        <v>0</v>
      </c>
      <c r="U482" s="202">
        <v>0.93023989447178212</v>
      </c>
      <c r="V482" s="380"/>
    </row>
    <row r="483" spans="1:22">
      <c r="A483" s="166"/>
      <c r="B483" s="246" t="s">
        <v>67</v>
      </c>
      <c r="C483" s="297">
        <v>9.8595339404581608E-4</v>
      </c>
      <c r="D483" s="298">
        <v>2.7371666831220711E-3</v>
      </c>
      <c r="E483" s="298">
        <v>1.4937722070355256E-3</v>
      </c>
      <c r="F483" s="298">
        <v>3.8705131895937814E-2</v>
      </c>
      <c r="G483" s="298">
        <v>1.1199904681662284E-2</v>
      </c>
      <c r="H483" s="298">
        <v>0</v>
      </c>
      <c r="I483" s="298">
        <v>0</v>
      </c>
      <c r="J483" s="307">
        <v>2.1021512861736746E-3</v>
      </c>
      <c r="K483" s="307">
        <v>1.1588037335703853E-3</v>
      </c>
      <c r="L483" s="298">
        <v>6.7960680519054708E-4</v>
      </c>
      <c r="M483" s="298">
        <v>2.0631445050783601E-2</v>
      </c>
      <c r="N483" s="298">
        <v>2.313806852625018E-2</v>
      </c>
      <c r="O483" s="307">
        <v>4.7744529423823494E-3</v>
      </c>
      <c r="P483" s="165">
        <v>0</v>
      </c>
      <c r="Q483" s="298">
        <v>0</v>
      </c>
      <c r="R483" s="307">
        <v>0</v>
      </c>
      <c r="S483" s="307">
        <v>0</v>
      </c>
      <c r="T483" s="307">
        <v>0</v>
      </c>
      <c r="U483" s="307">
        <v>3.5590096306696681E-3</v>
      </c>
      <c r="V483" s="380"/>
    </row>
    <row r="484" spans="1:22">
      <c r="A484" s="166"/>
      <c r="B484" s="167" t="s">
        <v>68</v>
      </c>
      <c r="C484" s="168">
        <v>2.4621534782122748E-3</v>
      </c>
      <c r="D484" s="169">
        <v>1.6147218721625151E-3</v>
      </c>
      <c r="E484" s="169">
        <v>9.7064160817027028E-4</v>
      </c>
      <c r="F484" s="169">
        <v>2.1451963056996724E-2</v>
      </c>
      <c r="G484" s="169">
        <v>1.0628011338749266E-2</v>
      </c>
      <c r="H484" s="169">
        <v>0</v>
      </c>
      <c r="I484" s="169">
        <v>0</v>
      </c>
      <c r="J484" s="170">
        <v>2.2528103225089484E-3</v>
      </c>
      <c r="K484" s="170">
        <v>1.0514367644423204E-3</v>
      </c>
      <c r="L484" s="169">
        <v>5.105554564810886E-4</v>
      </c>
      <c r="M484" s="169">
        <v>2.079972971112877E-2</v>
      </c>
      <c r="N484" s="169">
        <v>2.1892101052330082E-2</v>
      </c>
      <c r="O484" s="170">
        <v>4.6331052856831249E-3</v>
      </c>
      <c r="P484" s="170">
        <v>0</v>
      </c>
      <c r="Q484" s="169">
        <v>0</v>
      </c>
      <c r="R484" s="170">
        <v>0</v>
      </c>
      <c r="S484" s="170">
        <v>0</v>
      </c>
      <c r="T484" s="170">
        <v>0</v>
      </c>
      <c r="U484" s="170">
        <v>3.5276513338909745E-3</v>
      </c>
      <c r="V484" s="380"/>
    </row>
    <row r="485" spans="1:22">
      <c r="A485" s="166"/>
      <c r="B485" s="199" t="s">
        <v>69</v>
      </c>
      <c r="C485" s="200">
        <v>0.14762000841664588</v>
      </c>
      <c r="D485" s="201">
        <v>-0.1122444810959556</v>
      </c>
      <c r="E485" s="201">
        <v>-5.2313059886525536E-2</v>
      </c>
      <c r="F485" s="201">
        <v>-1.7253168838941089</v>
      </c>
      <c r="G485" s="201">
        <v>-5.7189334291301783E-2</v>
      </c>
      <c r="H485" s="201">
        <v>0</v>
      </c>
      <c r="I485" s="201">
        <v>0</v>
      </c>
      <c r="J485" s="202">
        <v>1.506590363352738E-2</v>
      </c>
      <c r="K485" s="202">
        <v>-1.0736696912806492E-2</v>
      </c>
      <c r="L485" s="201">
        <v>-1.6905134870945849E-2</v>
      </c>
      <c r="M485" s="201">
        <v>1.6828466034516862E-2</v>
      </c>
      <c r="N485" s="201">
        <v>-0.12459674739200982</v>
      </c>
      <c r="O485" s="202">
        <v>-1.4134765669922451E-2</v>
      </c>
      <c r="P485" s="202">
        <v>0</v>
      </c>
      <c r="Q485" s="201">
        <v>0</v>
      </c>
      <c r="R485" s="202">
        <v>0</v>
      </c>
      <c r="S485" s="202">
        <v>0</v>
      </c>
      <c r="T485" s="202">
        <v>0</v>
      </c>
      <c r="U485" s="202">
        <v>-3.1358296778693628E-3</v>
      </c>
      <c r="V485" s="380"/>
    </row>
    <row r="486" spans="1:22">
      <c r="A486" s="166"/>
      <c r="B486" s="246" t="s">
        <v>70</v>
      </c>
      <c r="C486" s="297">
        <v>2.0477635542752392E-3</v>
      </c>
      <c r="D486" s="298">
        <v>1.9138901335925693E-4</v>
      </c>
      <c r="E486" s="298">
        <v>2.2486289874433774E-3</v>
      </c>
      <c r="F486" s="298">
        <v>0</v>
      </c>
      <c r="G486" s="298">
        <v>0</v>
      </c>
      <c r="H486" s="298">
        <v>3.5832661470930756E-4</v>
      </c>
      <c r="I486" s="298">
        <v>0</v>
      </c>
      <c r="J486" s="307">
        <v>1.8230126054901651E-3</v>
      </c>
      <c r="K486" s="307">
        <v>0</v>
      </c>
      <c r="L486" s="298">
        <v>2.754115643275705E-3</v>
      </c>
      <c r="M486" s="298">
        <v>2.037089183643084E-3</v>
      </c>
      <c r="N486" s="298">
        <v>1.2254922887334967E-2</v>
      </c>
      <c r="O486" s="307">
        <v>2.7174164321360048E-3</v>
      </c>
      <c r="P486" s="165">
        <v>0</v>
      </c>
      <c r="Q486" s="298">
        <v>0</v>
      </c>
      <c r="R486" s="307">
        <v>0</v>
      </c>
      <c r="S486" s="307">
        <v>0</v>
      </c>
      <c r="T486" s="307">
        <v>0</v>
      </c>
      <c r="U486" s="307">
        <v>2.3106146227140729E-3</v>
      </c>
      <c r="V486" s="380"/>
    </row>
    <row r="487" spans="1:22">
      <c r="A487" s="166"/>
      <c r="B487" s="167" t="s">
        <v>71</v>
      </c>
      <c r="C487" s="168">
        <v>1.4446659309504664E-3</v>
      </c>
      <c r="D487" s="169">
        <v>2.2185272181269683E-4</v>
      </c>
      <c r="E487" s="169">
        <v>1.8643528352582047E-3</v>
      </c>
      <c r="F487" s="169">
        <v>0</v>
      </c>
      <c r="G487" s="169">
        <v>0</v>
      </c>
      <c r="H487" s="169">
        <v>4.6265697290152018E-4</v>
      </c>
      <c r="I487" s="169">
        <v>0</v>
      </c>
      <c r="J487" s="170">
        <v>1.4049415885220734E-3</v>
      </c>
      <c r="K487" s="170">
        <v>2.7613490783333665E-4</v>
      </c>
      <c r="L487" s="169">
        <v>1.7750616547821136E-3</v>
      </c>
      <c r="M487" s="169">
        <v>2.3754554346624621E-3</v>
      </c>
      <c r="N487" s="169">
        <v>1.2445641546795777E-2</v>
      </c>
      <c r="O487" s="170">
        <v>2.078725855048074E-3</v>
      </c>
      <c r="P487" s="170">
        <v>0</v>
      </c>
      <c r="Q487" s="169">
        <v>0</v>
      </c>
      <c r="R487" s="170">
        <v>0</v>
      </c>
      <c r="S487" s="170">
        <v>0</v>
      </c>
      <c r="T487" s="170">
        <v>0</v>
      </c>
      <c r="U487" s="170">
        <v>1.7658077118725384E-3</v>
      </c>
      <c r="V487" s="380"/>
    </row>
    <row r="488" spans="1:22">
      <c r="A488" s="166"/>
      <c r="B488" s="199" t="s">
        <v>72</v>
      </c>
      <c r="C488" s="200">
        <v>-6.0309762332477278E-2</v>
      </c>
      <c r="D488" s="201">
        <v>3.0463708453439898E-3</v>
      </c>
      <c r="E488" s="201">
        <v>-3.8427615218517272E-2</v>
      </c>
      <c r="F488" s="201">
        <v>0</v>
      </c>
      <c r="G488" s="201">
        <v>0</v>
      </c>
      <c r="H488" s="201">
        <v>1.0433035819221262E-2</v>
      </c>
      <c r="I488" s="201">
        <v>0</v>
      </c>
      <c r="J488" s="202">
        <v>-4.1807101696809179E-2</v>
      </c>
      <c r="K488" s="202">
        <v>0</v>
      </c>
      <c r="L488" s="201">
        <v>-9.7905398849359143E-2</v>
      </c>
      <c r="M488" s="201">
        <v>3.3836625101937814E-2</v>
      </c>
      <c r="N488" s="201">
        <v>1.9071865946081006E-2</v>
      </c>
      <c r="O488" s="202">
        <v>-6.3869057708793073E-2</v>
      </c>
      <c r="P488" s="202">
        <v>0</v>
      </c>
      <c r="Q488" s="201">
        <v>0</v>
      </c>
      <c r="R488" s="202">
        <v>0</v>
      </c>
      <c r="S488" s="202">
        <v>0</v>
      </c>
      <c r="T488" s="202">
        <v>0</v>
      </c>
      <c r="U488" s="202">
        <v>-5.4480691084153446E-2</v>
      </c>
      <c r="V488" s="380"/>
    </row>
    <row r="489" spans="1:22">
      <c r="A489" s="166"/>
      <c r="B489" s="246" t="s">
        <v>73</v>
      </c>
      <c r="C489" s="297">
        <v>0</v>
      </c>
      <c r="D489" s="298">
        <v>0</v>
      </c>
      <c r="E489" s="298">
        <v>0</v>
      </c>
      <c r="F489" s="298">
        <v>0</v>
      </c>
      <c r="G489" s="298">
        <v>0</v>
      </c>
      <c r="H489" s="298">
        <v>0</v>
      </c>
      <c r="I489" s="298">
        <v>0</v>
      </c>
      <c r="J489" s="307">
        <v>0</v>
      </c>
      <c r="K489" s="307">
        <v>0</v>
      </c>
      <c r="L489" s="298">
        <v>0</v>
      </c>
      <c r="M489" s="298">
        <v>0</v>
      </c>
      <c r="N489" s="298">
        <v>0</v>
      </c>
      <c r="O489" s="307">
        <v>0</v>
      </c>
      <c r="P489" s="165">
        <v>0</v>
      </c>
      <c r="Q489" s="298">
        <v>0</v>
      </c>
      <c r="R489" s="307">
        <v>0</v>
      </c>
      <c r="S489" s="307">
        <v>0</v>
      </c>
      <c r="T489" s="307">
        <v>0</v>
      </c>
      <c r="U489" s="307">
        <v>0</v>
      </c>
      <c r="V489" s="380"/>
    </row>
    <row r="490" spans="1:22">
      <c r="A490" s="166"/>
      <c r="B490" s="167" t="s">
        <v>74</v>
      </c>
      <c r="C490" s="168">
        <v>0</v>
      </c>
      <c r="D490" s="169">
        <v>0</v>
      </c>
      <c r="E490" s="169">
        <v>0</v>
      </c>
      <c r="F490" s="169">
        <v>0</v>
      </c>
      <c r="G490" s="169">
        <v>0</v>
      </c>
      <c r="H490" s="169">
        <v>0</v>
      </c>
      <c r="I490" s="169">
        <v>0</v>
      </c>
      <c r="J490" s="170">
        <v>0</v>
      </c>
      <c r="K490" s="170">
        <v>0</v>
      </c>
      <c r="L490" s="169">
        <v>0</v>
      </c>
      <c r="M490" s="169">
        <v>0</v>
      </c>
      <c r="N490" s="169">
        <v>0</v>
      </c>
      <c r="O490" s="170">
        <v>0</v>
      </c>
      <c r="P490" s="170">
        <v>0</v>
      </c>
      <c r="Q490" s="169">
        <v>0</v>
      </c>
      <c r="R490" s="170">
        <v>0</v>
      </c>
      <c r="S490" s="170">
        <v>0</v>
      </c>
      <c r="T490" s="170">
        <v>0</v>
      </c>
      <c r="U490" s="170">
        <v>0</v>
      </c>
      <c r="V490" s="380"/>
    </row>
    <row r="491" spans="1:22" ht="15.75" thickBot="1">
      <c r="A491" s="166"/>
      <c r="B491" s="303" t="s">
        <v>75</v>
      </c>
      <c r="C491" s="304">
        <v>0</v>
      </c>
      <c r="D491" s="305">
        <v>0</v>
      </c>
      <c r="E491" s="305">
        <v>0</v>
      </c>
      <c r="F491" s="305">
        <v>0</v>
      </c>
      <c r="G491" s="305">
        <v>0</v>
      </c>
      <c r="H491" s="305">
        <v>0</v>
      </c>
      <c r="I491" s="305">
        <v>0</v>
      </c>
      <c r="J491" s="308">
        <v>0</v>
      </c>
      <c r="K491" s="308">
        <v>0</v>
      </c>
      <c r="L491" s="305">
        <v>0</v>
      </c>
      <c r="M491" s="305">
        <v>0</v>
      </c>
      <c r="N491" s="305">
        <v>0</v>
      </c>
      <c r="O491" s="308">
        <v>0</v>
      </c>
      <c r="P491" s="308">
        <v>0</v>
      </c>
      <c r="Q491" s="305">
        <v>0</v>
      </c>
      <c r="R491" s="308">
        <v>0</v>
      </c>
      <c r="S491" s="308">
        <v>0</v>
      </c>
      <c r="T491" s="308">
        <v>0</v>
      </c>
      <c r="U491" s="308">
        <v>0</v>
      </c>
      <c r="V491" s="380"/>
    </row>
    <row r="492" spans="1:22" ht="15.75" thickTop="1">
      <c r="A492" s="166"/>
      <c r="B492" s="167" t="s">
        <v>76</v>
      </c>
      <c r="C492" s="168">
        <v>0.84749203796421813</v>
      </c>
      <c r="D492" s="169">
        <v>0.66312283283472928</v>
      </c>
      <c r="E492" s="169">
        <v>0.48591759220564723</v>
      </c>
      <c r="F492" s="169">
        <v>0.21662966895087346</v>
      </c>
      <c r="G492" s="169">
        <v>0.31127373417721521</v>
      </c>
      <c r="H492" s="169">
        <v>0.84540540540540543</v>
      </c>
      <c r="I492" s="169">
        <v>0</v>
      </c>
      <c r="J492" s="170">
        <v>0.68801366228027383</v>
      </c>
      <c r="K492" s="170">
        <v>0</v>
      </c>
      <c r="L492" s="169">
        <v>0</v>
      </c>
      <c r="M492" s="169">
        <v>0</v>
      </c>
      <c r="N492" s="169">
        <v>0</v>
      </c>
      <c r="O492" s="170">
        <v>0</v>
      </c>
      <c r="P492" s="170">
        <v>0</v>
      </c>
      <c r="Q492" s="169">
        <v>0</v>
      </c>
      <c r="R492" s="170">
        <v>0</v>
      </c>
      <c r="S492" s="170">
        <v>0</v>
      </c>
      <c r="T492" s="170">
        <v>0</v>
      </c>
      <c r="U492" s="170">
        <v>0.68801366228027383</v>
      </c>
      <c r="V492" s="380"/>
    </row>
    <row r="493" spans="1:22">
      <c r="A493" s="166"/>
      <c r="B493" s="167" t="s">
        <v>77</v>
      </c>
      <c r="C493" s="168">
        <v>0.84526214414241974</v>
      </c>
      <c r="D493" s="169">
        <v>0.66852346398352713</v>
      </c>
      <c r="E493" s="169">
        <v>0.50315593238952228</v>
      </c>
      <c r="F493" s="169">
        <v>0.21302553046038966</v>
      </c>
      <c r="G493" s="169">
        <v>0.37543845820360228</v>
      </c>
      <c r="H493" s="169">
        <v>0.80824544582933844</v>
      </c>
      <c r="I493" s="169">
        <v>0</v>
      </c>
      <c r="J493" s="170">
        <v>0.6945169760385993</v>
      </c>
      <c r="K493" s="170">
        <v>0</v>
      </c>
      <c r="L493" s="169">
        <v>0</v>
      </c>
      <c r="M493" s="169">
        <v>0</v>
      </c>
      <c r="N493" s="169">
        <v>0</v>
      </c>
      <c r="O493" s="170">
        <v>0</v>
      </c>
      <c r="P493" s="170">
        <v>0</v>
      </c>
      <c r="Q493" s="169">
        <v>0</v>
      </c>
      <c r="R493" s="170">
        <v>0</v>
      </c>
      <c r="S493" s="170">
        <v>0</v>
      </c>
      <c r="T493" s="170">
        <v>0</v>
      </c>
      <c r="U493" s="170">
        <v>0.6945169760385993</v>
      </c>
      <c r="V493" s="380"/>
    </row>
    <row r="494" spans="1:22">
      <c r="A494" s="166"/>
      <c r="B494" s="199" t="s">
        <v>78</v>
      </c>
      <c r="C494" s="200">
        <v>-0.22298938217983899</v>
      </c>
      <c r="D494" s="201">
        <v>0.5400631148797852</v>
      </c>
      <c r="E494" s="201">
        <v>1.7238340183875045</v>
      </c>
      <c r="F494" s="201">
        <v>-0.36041384904837992</v>
      </c>
      <c r="G494" s="656">
        <v>6.416472402638707</v>
      </c>
      <c r="H494" s="201">
        <v>-3.7159959576066992</v>
      </c>
      <c r="I494" s="201">
        <v>0</v>
      </c>
      <c r="J494" s="202">
        <v>0.65033137583254685</v>
      </c>
      <c r="K494" s="202">
        <v>0</v>
      </c>
      <c r="L494" s="201">
        <v>0</v>
      </c>
      <c r="M494" s="201">
        <v>0</v>
      </c>
      <c r="N494" s="201">
        <v>0</v>
      </c>
      <c r="O494" s="202">
        <v>0</v>
      </c>
      <c r="P494" s="202">
        <v>0</v>
      </c>
      <c r="Q494" s="201">
        <v>0</v>
      </c>
      <c r="R494" s="202">
        <v>0</v>
      </c>
      <c r="S494" s="202">
        <v>0</v>
      </c>
      <c r="T494" s="202">
        <v>0</v>
      </c>
      <c r="U494" s="202">
        <v>0.65033137583254685</v>
      </c>
      <c r="V494" s="380"/>
    </row>
    <row r="495" spans="1:22">
      <c r="A495" s="166"/>
      <c r="B495" s="246" t="s">
        <v>79</v>
      </c>
      <c r="C495" s="297">
        <v>2.6331541252717777E-2</v>
      </c>
      <c r="D495" s="298">
        <v>1.3794956976124283E-2</v>
      </c>
      <c r="E495" s="298">
        <v>6.0043672793504137E-2</v>
      </c>
      <c r="F495" s="298">
        <v>0.10561239262619439</v>
      </c>
      <c r="G495" s="298">
        <v>3.5719936708860762E-2</v>
      </c>
      <c r="H495" s="298">
        <v>3.2432432432432431E-3</v>
      </c>
      <c r="I495" s="298">
        <v>0</v>
      </c>
      <c r="J495" s="307">
        <v>3.7883983898842774E-2</v>
      </c>
      <c r="K495" s="307">
        <v>0</v>
      </c>
      <c r="L495" s="298">
        <v>0</v>
      </c>
      <c r="M495" s="298">
        <v>0</v>
      </c>
      <c r="N495" s="298">
        <v>0</v>
      </c>
      <c r="O495" s="307">
        <v>0</v>
      </c>
      <c r="P495" s="165">
        <v>0</v>
      </c>
      <c r="Q495" s="298">
        <v>0</v>
      </c>
      <c r="R495" s="307">
        <v>0</v>
      </c>
      <c r="S495" s="307">
        <v>0</v>
      </c>
      <c r="T495" s="307">
        <v>0</v>
      </c>
      <c r="U495" s="307">
        <v>3.7883983898842774E-2</v>
      </c>
      <c r="V495" s="380"/>
    </row>
    <row r="496" spans="1:22">
      <c r="A496" s="166"/>
      <c r="B496" s="167" t="s">
        <v>80</v>
      </c>
      <c r="C496" s="168">
        <v>1.7613651549913394E-2</v>
      </c>
      <c r="D496" s="169">
        <v>1.2291728484979274E-2</v>
      </c>
      <c r="E496" s="169">
        <v>5.266181770455973E-2</v>
      </c>
      <c r="F496" s="169">
        <v>0.10979938474482687</v>
      </c>
      <c r="G496" s="169">
        <v>2.9204272257911952E-2</v>
      </c>
      <c r="H496" s="169">
        <v>6.2320230105465009E-3</v>
      </c>
      <c r="I496" s="169">
        <v>0</v>
      </c>
      <c r="J496" s="170">
        <v>3.0720737716945414E-2</v>
      </c>
      <c r="K496" s="170">
        <v>0</v>
      </c>
      <c r="L496" s="169">
        <v>0</v>
      </c>
      <c r="M496" s="169">
        <v>0</v>
      </c>
      <c r="N496" s="169">
        <v>0</v>
      </c>
      <c r="O496" s="170">
        <v>0</v>
      </c>
      <c r="P496" s="170">
        <v>0</v>
      </c>
      <c r="Q496" s="169">
        <v>0</v>
      </c>
      <c r="R496" s="170">
        <v>0</v>
      </c>
      <c r="S496" s="170">
        <v>0</v>
      </c>
      <c r="T496" s="170">
        <v>0</v>
      </c>
      <c r="U496" s="170">
        <v>3.0720737716945414E-2</v>
      </c>
      <c r="V496" s="380"/>
    </row>
    <row r="497" spans="1:22">
      <c r="A497" s="166"/>
      <c r="B497" s="199" t="s">
        <v>81</v>
      </c>
      <c r="C497" s="200">
        <v>-0.87178897028043834</v>
      </c>
      <c r="D497" s="201">
        <v>-0.15032284911450089</v>
      </c>
      <c r="E497" s="201">
        <v>-0.73818550889444068</v>
      </c>
      <c r="F497" s="201">
        <v>0.41869921186324793</v>
      </c>
      <c r="G497" s="201">
        <v>-0.65156644509488104</v>
      </c>
      <c r="H497" s="201">
        <v>0.29887797673032579</v>
      </c>
      <c r="I497" s="201">
        <v>0</v>
      </c>
      <c r="J497" s="202">
        <v>-0.71632461818973603</v>
      </c>
      <c r="K497" s="202">
        <v>0</v>
      </c>
      <c r="L497" s="201">
        <v>0</v>
      </c>
      <c r="M497" s="201">
        <v>0</v>
      </c>
      <c r="N497" s="201">
        <v>0</v>
      </c>
      <c r="O497" s="202">
        <v>0</v>
      </c>
      <c r="P497" s="202">
        <v>0</v>
      </c>
      <c r="Q497" s="201">
        <v>0</v>
      </c>
      <c r="R497" s="202">
        <v>0</v>
      </c>
      <c r="S497" s="202">
        <v>0</v>
      </c>
      <c r="T497" s="202">
        <v>0</v>
      </c>
      <c r="U497" s="202">
        <v>-0.71632461818973603</v>
      </c>
      <c r="V497" s="380"/>
    </row>
    <row r="498" spans="1:22">
      <c r="A498" s="166"/>
      <c r="B498" s="246" t="s">
        <v>82</v>
      </c>
      <c r="C498" s="297">
        <v>0.11923086326850511</v>
      </c>
      <c r="D498" s="298">
        <v>0.32124493869152787</v>
      </c>
      <c r="E498" s="298">
        <v>0.44038349904367707</v>
      </c>
      <c r="F498" s="298">
        <v>0.65046810153460088</v>
      </c>
      <c r="G498" s="298">
        <v>0.63674841772151902</v>
      </c>
      <c r="H498" s="298">
        <v>0.15135135135135136</v>
      </c>
      <c r="I498" s="298">
        <v>0</v>
      </c>
      <c r="J498" s="307">
        <v>0.26496227689440149</v>
      </c>
      <c r="K498" s="307">
        <v>0</v>
      </c>
      <c r="L498" s="298">
        <v>0</v>
      </c>
      <c r="M498" s="298">
        <v>0</v>
      </c>
      <c r="N498" s="298">
        <v>0</v>
      </c>
      <c r="O498" s="307">
        <v>0</v>
      </c>
      <c r="P498" s="165">
        <v>0</v>
      </c>
      <c r="Q498" s="298">
        <v>0</v>
      </c>
      <c r="R498" s="307">
        <v>0</v>
      </c>
      <c r="S498" s="307">
        <v>0</v>
      </c>
      <c r="T498" s="307">
        <v>0</v>
      </c>
      <c r="U498" s="307">
        <v>0.26496227689440149</v>
      </c>
      <c r="V498" s="380"/>
    </row>
    <row r="499" spans="1:22">
      <c r="A499" s="166"/>
      <c r="B499" s="167" t="s">
        <v>83</v>
      </c>
      <c r="C499" s="168">
        <v>0.13069658806092915</v>
      </c>
      <c r="D499" s="169">
        <v>0.31748986179673239</v>
      </c>
      <c r="E499" s="169">
        <v>0.43173931851145525</v>
      </c>
      <c r="F499" s="169">
        <v>0.65209160465911187</v>
      </c>
      <c r="G499" s="169">
        <v>0.58932723761478734</v>
      </c>
      <c r="H499" s="169">
        <v>0.1840843720038351</v>
      </c>
      <c r="I499" s="169">
        <v>0</v>
      </c>
      <c r="J499" s="170">
        <v>0.26645358327340934</v>
      </c>
      <c r="K499" s="170">
        <v>0</v>
      </c>
      <c r="L499" s="169">
        <v>0</v>
      </c>
      <c r="M499" s="169">
        <v>0</v>
      </c>
      <c r="N499" s="169">
        <v>0</v>
      </c>
      <c r="O499" s="170">
        <v>0</v>
      </c>
      <c r="P499" s="170">
        <v>0</v>
      </c>
      <c r="Q499" s="169">
        <v>0</v>
      </c>
      <c r="R499" s="170">
        <v>0</v>
      </c>
      <c r="S499" s="170">
        <v>0</v>
      </c>
      <c r="T499" s="170">
        <v>0</v>
      </c>
      <c r="U499" s="170">
        <v>0.26645358327340934</v>
      </c>
      <c r="V499" s="380"/>
    </row>
    <row r="500" spans="1:22">
      <c r="A500" s="166"/>
      <c r="B500" s="199" t="s">
        <v>84</v>
      </c>
      <c r="C500" s="200">
        <v>1.1465724792424039</v>
      </c>
      <c r="D500" s="201">
        <v>-0.37550768947954838</v>
      </c>
      <c r="E500" s="201">
        <v>-0.86441805322218235</v>
      </c>
      <c r="F500" s="201">
        <v>0.16235031245109832</v>
      </c>
      <c r="G500" s="656">
        <v>-4.7421180106731686</v>
      </c>
      <c r="H500" s="201">
        <v>3.2733020652483735</v>
      </c>
      <c r="I500" s="201">
        <v>0</v>
      </c>
      <c r="J500" s="202">
        <v>0.14913063790078507</v>
      </c>
      <c r="K500" s="202">
        <v>0</v>
      </c>
      <c r="L500" s="201">
        <v>0</v>
      </c>
      <c r="M500" s="201">
        <v>0</v>
      </c>
      <c r="N500" s="201">
        <v>0</v>
      </c>
      <c r="O500" s="202">
        <v>0</v>
      </c>
      <c r="P500" s="202">
        <v>0</v>
      </c>
      <c r="Q500" s="201">
        <v>0</v>
      </c>
      <c r="R500" s="202">
        <v>0</v>
      </c>
      <c r="S500" s="202">
        <v>0</v>
      </c>
      <c r="T500" s="202">
        <v>0</v>
      </c>
      <c r="U500" s="202">
        <v>0.14913063790078507</v>
      </c>
      <c r="V500" s="380"/>
    </row>
    <row r="501" spans="1:22">
      <c r="A501" s="166"/>
      <c r="B501" s="246" t="s">
        <v>85</v>
      </c>
      <c r="C501" s="297">
        <v>2.3752538931796799E-3</v>
      </c>
      <c r="D501" s="298">
        <v>1.3878669586327528E-3</v>
      </c>
      <c r="E501" s="298">
        <v>2.3704827826215944E-3</v>
      </c>
      <c r="F501" s="298">
        <v>2.7289836888331243E-2</v>
      </c>
      <c r="G501" s="298">
        <v>9.2563291139240514E-3</v>
      </c>
      <c r="H501" s="298">
        <v>0</v>
      </c>
      <c r="I501" s="298">
        <v>0</v>
      </c>
      <c r="J501" s="307">
        <v>2.8391688208334541E-3</v>
      </c>
      <c r="K501" s="307">
        <v>0</v>
      </c>
      <c r="L501" s="298">
        <v>0</v>
      </c>
      <c r="M501" s="298">
        <v>0</v>
      </c>
      <c r="N501" s="298">
        <v>0</v>
      </c>
      <c r="O501" s="307">
        <v>0</v>
      </c>
      <c r="P501" s="165">
        <v>0</v>
      </c>
      <c r="Q501" s="298">
        <v>0</v>
      </c>
      <c r="R501" s="307">
        <v>0</v>
      </c>
      <c r="S501" s="307">
        <v>0</v>
      </c>
      <c r="T501" s="307">
        <v>0</v>
      </c>
      <c r="U501" s="307">
        <v>2.8391688208334541E-3</v>
      </c>
      <c r="V501" s="380"/>
    </row>
    <row r="502" spans="1:22">
      <c r="A502" s="166"/>
      <c r="B502" s="167" t="s">
        <v>86</v>
      </c>
      <c r="C502" s="168">
        <v>2.1158109013406172E-3</v>
      </c>
      <c r="D502" s="169">
        <v>1.6949457347612239E-3</v>
      </c>
      <c r="E502" s="169">
        <v>2.5512629756163545E-3</v>
      </c>
      <c r="F502" s="169">
        <v>2.5083480135671653E-2</v>
      </c>
      <c r="G502" s="169">
        <v>6.0300319236984198E-3</v>
      </c>
      <c r="H502" s="659">
        <v>1.4381591562799617E-3</v>
      </c>
      <c r="I502" s="169">
        <v>0</v>
      </c>
      <c r="J502" s="170">
        <v>2.6639981115962755E-3</v>
      </c>
      <c r="K502" s="170">
        <v>0</v>
      </c>
      <c r="L502" s="169">
        <v>0</v>
      </c>
      <c r="M502" s="169">
        <v>0</v>
      </c>
      <c r="N502" s="169">
        <v>0</v>
      </c>
      <c r="O502" s="170">
        <v>0</v>
      </c>
      <c r="P502" s="170">
        <v>0</v>
      </c>
      <c r="Q502" s="169">
        <v>0</v>
      </c>
      <c r="R502" s="170">
        <v>0</v>
      </c>
      <c r="S502" s="170">
        <v>0</v>
      </c>
      <c r="T502" s="170">
        <v>0</v>
      </c>
      <c r="U502" s="170">
        <v>2.6639981115962755E-3</v>
      </c>
      <c r="V502" s="380"/>
    </row>
    <row r="503" spans="1:22">
      <c r="A503" s="166"/>
      <c r="B503" s="199" t="s">
        <v>87</v>
      </c>
      <c r="C503" s="200">
        <v>-2.5944299183906262E-2</v>
      </c>
      <c r="D503" s="201">
        <v>3.0707877612847108E-2</v>
      </c>
      <c r="E503" s="201">
        <v>1.8078019299476011E-2</v>
      </c>
      <c r="F503" s="201">
        <v>-0.22063567526595906</v>
      </c>
      <c r="G503" s="201">
        <v>-0.32262971902256316</v>
      </c>
      <c r="H503" s="201">
        <v>0</v>
      </c>
      <c r="I503" s="201">
        <v>0</v>
      </c>
      <c r="J503" s="202">
        <v>-1.7517070923717862E-2</v>
      </c>
      <c r="K503" s="202">
        <v>0</v>
      </c>
      <c r="L503" s="201">
        <v>0</v>
      </c>
      <c r="M503" s="201">
        <v>0</v>
      </c>
      <c r="N503" s="201">
        <v>0</v>
      </c>
      <c r="O503" s="202">
        <v>0</v>
      </c>
      <c r="P503" s="202">
        <v>0</v>
      </c>
      <c r="Q503" s="201">
        <v>0</v>
      </c>
      <c r="R503" s="202">
        <v>0</v>
      </c>
      <c r="S503" s="202">
        <v>0</v>
      </c>
      <c r="T503" s="202">
        <v>0</v>
      </c>
      <c r="U503" s="202">
        <v>-1.7517070923717862E-2</v>
      </c>
      <c r="V503" s="380"/>
    </row>
    <row r="504" spans="1:22">
      <c r="A504" s="166"/>
      <c r="B504" s="246" t="s">
        <v>88</v>
      </c>
      <c r="C504" s="297">
        <v>4.5703036213792774E-3</v>
      </c>
      <c r="D504" s="298">
        <v>4.4940453898584373E-4</v>
      </c>
      <c r="E504" s="298">
        <v>1.1284753174549971E-2</v>
      </c>
      <c r="F504" s="298">
        <v>0</v>
      </c>
      <c r="G504" s="298">
        <v>7.0015822784810127E-3</v>
      </c>
      <c r="H504" s="298">
        <v>0</v>
      </c>
      <c r="I504" s="298">
        <v>0</v>
      </c>
      <c r="J504" s="307">
        <v>6.3009081056484943E-3</v>
      </c>
      <c r="K504" s="307">
        <v>0</v>
      </c>
      <c r="L504" s="298">
        <v>0</v>
      </c>
      <c r="M504" s="298">
        <v>0</v>
      </c>
      <c r="N504" s="298">
        <v>0</v>
      </c>
      <c r="O504" s="307">
        <v>0</v>
      </c>
      <c r="P504" s="165">
        <v>0</v>
      </c>
      <c r="Q504" s="298">
        <v>0</v>
      </c>
      <c r="R504" s="307">
        <v>0</v>
      </c>
      <c r="S504" s="307">
        <v>0</v>
      </c>
      <c r="T504" s="307">
        <v>0</v>
      </c>
      <c r="U504" s="307">
        <v>6.3009081056484943E-3</v>
      </c>
      <c r="V504" s="380"/>
    </row>
    <row r="505" spans="1:22">
      <c r="A505" s="166"/>
      <c r="B505" s="167" t="s">
        <v>89</v>
      </c>
      <c r="C505" s="168">
        <v>4.3118053453970765E-3</v>
      </c>
      <c r="D505" s="169">
        <v>0</v>
      </c>
      <c r="E505" s="169">
        <v>9.8916684188464013E-3</v>
      </c>
      <c r="F505" s="169">
        <v>0</v>
      </c>
      <c r="G505" s="659">
        <v>0</v>
      </c>
      <c r="H505" s="169">
        <v>0</v>
      </c>
      <c r="I505" s="169">
        <v>0</v>
      </c>
      <c r="J505" s="170">
        <v>5.6447048594497201E-3</v>
      </c>
      <c r="K505" s="170">
        <v>0</v>
      </c>
      <c r="L505" s="169">
        <v>0</v>
      </c>
      <c r="M505" s="169">
        <v>0</v>
      </c>
      <c r="N505" s="169">
        <v>0</v>
      </c>
      <c r="O505" s="170">
        <v>0</v>
      </c>
      <c r="P505" s="170">
        <v>0</v>
      </c>
      <c r="Q505" s="169">
        <v>0</v>
      </c>
      <c r="R505" s="170">
        <v>0</v>
      </c>
      <c r="S505" s="170">
        <v>0</v>
      </c>
      <c r="T505" s="170">
        <v>0</v>
      </c>
      <c r="U505" s="170">
        <v>5.6447048594497201E-3</v>
      </c>
      <c r="V505" s="380"/>
    </row>
    <row r="506" spans="1:22">
      <c r="A506" s="166"/>
      <c r="B506" s="199" t="s">
        <v>90</v>
      </c>
      <c r="C506" s="200">
        <v>-2.5849827598220087E-2</v>
      </c>
      <c r="D506" s="201">
        <v>-4.4940453898584372E-2</v>
      </c>
      <c r="E506" s="201">
        <v>-0.13930847557035703</v>
      </c>
      <c r="F506" s="201">
        <v>0</v>
      </c>
      <c r="G506" s="201">
        <v>-0.70015822784810122</v>
      </c>
      <c r="H506" s="201">
        <v>0</v>
      </c>
      <c r="I506" s="201">
        <v>0</v>
      </c>
      <c r="J506" s="202">
        <v>-6.5620324619877421E-2</v>
      </c>
      <c r="K506" s="202">
        <v>0</v>
      </c>
      <c r="L506" s="201">
        <v>0</v>
      </c>
      <c r="M506" s="201">
        <v>0</v>
      </c>
      <c r="N506" s="201">
        <v>0</v>
      </c>
      <c r="O506" s="202">
        <v>0</v>
      </c>
      <c r="P506" s="202">
        <v>0</v>
      </c>
      <c r="Q506" s="201">
        <v>0</v>
      </c>
      <c r="R506" s="202">
        <v>0</v>
      </c>
      <c r="S506" s="202">
        <v>0</v>
      </c>
      <c r="T506" s="202">
        <v>0</v>
      </c>
      <c r="U506" s="202">
        <v>-6.5620324619877421E-2</v>
      </c>
      <c r="V506" s="380"/>
    </row>
    <row r="507" spans="1:22">
      <c r="A507" s="166"/>
      <c r="B507" s="246" t="s">
        <v>91</v>
      </c>
      <c r="C507" s="297">
        <v>0</v>
      </c>
      <c r="D507" s="298">
        <v>0</v>
      </c>
      <c r="E507" s="298">
        <v>0</v>
      </c>
      <c r="F507" s="298">
        <v>0</v>
      </c>
      <c r="G507" s="298">
        <v>0</v>
      </c>
      <c r="H507" s="298">
        <v>0</v>
      </c>
      <c r="I507" s="298">
        <v>0</v>
      </c>
      <c r="J507" s="307">
        <v>0</v>
      </c>
      <c r="K507" s="307">
        <v>0</v>
      </c>
      <c r="L507" s="298">
        <v>0</v>
      </c>
      <c r="M507" s="298">
        <v>0</v>
      </c>
      <c r="N507" s="298">
        <v>0</v>
      </c>
      <c r="O507" s="307">
        <v>0</v>
      </c>
      <c r="P507" s="165">
        <v>0</v>
      </c>
      <c r="Q507" s="298">
        <v>0</v>
      </c>
      <c r="R507" s="307">
        <v>0</v>
      </c>
      <c r="S507" s="307">
        <v>0</v>
      </c>
      <c r="T507" s="307">
        <v>0</v>
      </c>
      <c r="U507" s="307">
        <v>0</v>
      </c>
      <c r="V507" s="380"/>
    </row>
    <row r="508" spans="1:22">
      <c r="A508" s="166"/>
      <c r="B508" s="167" t="s">
        <v>92</v>
      </c>
      <c r="C508" s="168">
        <v>0</v>
      </c>
      <c r="D508" s="169">
        <v>0</v>
      </c>
      <c r="E508" s="169">
        <v>0</v>
      </c>
      <c r="F508" s="169">
        <v>0</v>
      </c>
      <c r="G508" s="169">
        <v>0</v>
      </c>
      <c r="H508" s="169">
        <v>0</v>
      </c>
      <c r="I508" s="169">
        <v>0</v>
      </c>
      <c r="J508" s="170">
        <v>0</v>
      </c>
      <c r="K508" s="170">
        <v>0</v>
      </c>
      <c r="L508" s="169">
        <v>0</v>
      </c>
      <c r="M508" s="169">
        <v>0</v>
      </c>
      <c r="N508" s="169">
        <v>0</v>
      </c>
      <c r="O508" s="170">
        <v>0</v>
      </c>
      <c r="P508" s="170">
        <v>0</v>
      </c>
      <c r="Q508" s="169">
        <v>0</v>
      </c>
      <c r="R508" s="170">
        <v>0</v>
      </c>
      <c r="S508" s="170">
        <v>0</v>
      </c>
      <c r="T508" s="170">
        <v>0</v>
      </c>
      <c r="U508" s="170">
        <v>0</v>
      </c>
      <c r="V508" s="380"/>
    </row>
    <row r="509" spans="1:22" ht="15.75" thickBot="1">
      <c r="A509" s="310"/>
      <c r="B509" s="311" t="s">
        <v>93</v>
      </c>
      <c r="C509" s="312">
        <v>0</v>
      </c>
      <c r="D509" s="313">
        <v>0</v>
      </c>
      <c r="E509" s="313">
        <v>0</v>
      </c>
      <c r="F509" s="313">
        <v>0</v>
      </c>
      <c r="G509" s="313">
        <v>0</v>
      </c>
      <c r="H509" s="313">
        <v>0</v>
      </c>
      <c r="I509" s="313">
        <v>0</v>
      </c>
      <c r="J509" s="314">
        <v>0</v>
      </c>
      <c r="K509" s="314">
        <v>0</v>
      </c>
      <c r="L509" s="313">
        <v>0</v>
      </c>
      <c r="M509" s="313">
        <v>0</v>
      </c>
      <c r="N509" s="313">
        <v>0</v>
      </c>
      <c r="O509" s="314">
        <v>0</v>
      </c>
      <c r="P509" s="314">
        <v>0</v>
      </c>
      <c r="Q509" s="313">
        <v>0</v>
      </c>
      <c r="R509" s="314">
        <v>0</v>
      </c>
      <c r="S509" s="314">
        <v>0</v>
      </c>
      <c r="T509" s="314">
        <v>0</v>
      </c>
      <c r="U509" s="314">
        <v>0</v>
      </c>
      <c r="V509" s="380"/>
    </row>
    <row r="510" spans="1:22">
      <c r="A510" s="296" t="s">
        <v>53</v>
      </c>
      <c r="B510" s="246" t="s">
        <v>59</v>
      </c>
      <c r="C510" s="297">
        <v>0.91908081854737267</v>
      </c>
      <c r="D510" s="298">
        <v>0.94340770089303083</v>
      </c>
      <c r="E510" s="298">
        <v>0.93515535235628811</v>
      </c>
      <c r="F510" s="298">
        <v>0</v>
      </c>
      <c r="G510" s="298">
        <v>0.9973287823699637</v>
      </c>
      <c r="H510" s="298">
        <v>0.86947653323396157</v>
      </c>
      <c r="I510" s="298">
        <v>0</v>
      </c>
      <c r="J510" s="307">
        <v>0.92991402558387171</v>
      </c>
      <c r="K510" s="307">
        <v>0</v>
      </c>
      <c r="L510" s="298">
        <v>0.67865180543923687</v>
      </c>
      <c r="M510" s="298">
        <v>0.48936621129600633</v>
      </c>
      <c r="N510" s="298">
        <v>0.47824277128005199</v>
      </c>
      <c r="O510" s="307">
        <v>0.60582861653948195</v>
      </c>
      <c r="P510" s="165">
        <v>0</v>
      </c>
      <c r="Q510" s="298">
        <v>0</v>
      </c>
      <c r="R510" s="307">
        <v>0</v>
      </c>
      <c r="S510" s="307">
        <v>0</v>
      </c>
      <c r="T510" s="307">
        <v>0</v>
      </c>
      <c r="U510" s="307">
        <v>0.78717889234658123</v>
      </c>
      <c r="V510" s="380"/>
    </row>
    <row r="511" spans="1:22">
      <c r="A511" s="166"/>
      <c r="B511" s="167" t="s">
        <v>60</v>
      </c>
      <c r="C511" s="168">
        <v>0.91094224580532801</v>
      </c>
      <c r="D511" s="169">
        <v>0.93076986844463616</v>
      </c>
      <c r="E511" s="169">
        <v>0.92123572028921574</v>
      </c>
      <c r="F511" s="169">
        <v>0</v>
      </c>
      <c r="G511" s="169">
        <v>0.99652206734787419</v>
      </c>
      <c r="H511" s="169">
        <v>0.80153743949890865</v>
      </c>
      <c r="I511" s="169">
        <v>0</v>
      </c>
      <c r="J511" s="170">
        <v>0.9187994593012645</v>
      </c>
      <c r="K511" s="170">
        <v>0</v>
      </c>
      <c r="L511" s="169">
        <v>0.67199153277918144</v>
      </c>
      <c r="M511" s="169">
        <v>0.48360076094859611</v>
      </c>
      <c r="N511" s="169">
        <v>0.45646874178411234</v>
      </c>
      <c r="O511" s="170">
        <v>0.5993273095152305</v>
      </c>
      <c r="P511" s="170">
        <v>0</v>
      </c>
      <c r="Q511" s="169">
        <v>0</v>
      </c>
      <c r="R511" s="170">
        <v>0</v>
      </c>
      <c r="S511" s="170">
        <v>0</v>
      </c>
      <c r="T511" s="170">
        <v>0</v>
      </c>
      <c r="U511" s="170">
        <v>0.78184643923725727</v>
      </c>
      <c r="V511" s="380"/>
    </row>
    <row r="512" spans="1:22">
      <c r="A512" s="166"/>
      <c r="B512" s="199" t="s">
        <v>236</v>
      </c>
      <c r="C512" s="200">
        <v>-0.81385727420446585</v>
      </c>
      <c r="D512" s="201">
        <v>-1.263783244839467</v>
      </c>
      <c r="E512" s="201">
        <v>-1.3919632067072363</v>
      </c>
      <c r="F512" s="201">
        <v>0</v>
      </c>
      <c r="G512" s="201">
        <v>-8.0671502208951029E-2</v>
      </c>
      <c r="H512" s="656">
        <v>-6.7939093735052918</v>
      </c>
      <c r="I512" s="201">
        <v>0</v>
      </c>
      <c r="J512" s="202">
        <v>-1.1114566282607208</v>
      </c>
      <c r="K512" s="202">
        <v>0</v>
      </c>
      <c r="L512" s="201">
        <v>-0.66602726600554218</v>
      </c>
      <c r="M512" s="201">
        <v>-0.5765450347410217</v>
      </c>
      <c r="N512" s="201">
        <v>-2.1774029495939651</v>
      </c>
      <c r="O512" s="202">
        <v>-0.65013070242514459</v>
      </c>
      <c r="P512" s="202">
        <v>0</v>
      </c>
      <c r="Q512" s="201">
        <v>0</v>
      </c>
      <c r="R512" s="202">
        <v>0</v>
      </c>
      <c r="S512" s="202">
        <v>0</v>
      </c>
      <c r="T512" s="202">
        <v>0</v>
      </c>
      <c r="U512" s="202">
        <v>-0.53324531093239536</v>
      </c>
      <c r="V512" s="380"/>
    </row>
    <row r="513" spans="1:22">
      <c r="A513" s="166"/>
      <c r="B513" s="246" t="s">
        <v>61</v>
      </c>
      <c r="C513" s="297">
        <v>2.3199140346164177E-2</v>
      </c>
      <c r="D513" s="298">
        <v>1.4749248764461306E-2</v>
      </c>
      <c r="E513" s="298">
        <v>2.7246089426226593E-2</v>
      </c>
      <c r="F513" s="298">
        <v>0</v>
      </c>
      <c r="G513" s="298">
        <v>2.6712176300363582E-3</v>
      </c>
      <c r="H513" s="298">
        <v>7.8255241532155257E-3</v>
      </c>
      <c r="I513" s="298">
        <v>0</v>
      </c>
      <c r="J513" s="307">
        <v>2.2083029799154663E-2</v>
      </c>
      <c r="K513" s="307">
        <v>0</v>
      </c>
      <c r="L513" s="298">
        <v>6.1921206544178722E-2</v>
      </c>
      <c r="M513" s="298">
        <v>0.21852027886206402</v>
      </c>
      <c r="N513" s="298">
        <v>0.18973359324236516</v>
      </c>
      <c r="O513" s="307">
        <v>0.1191711297497985</v>
      </c>
      <c r="P513" s="165">
        <v>0</v>
      </c>
      <c r="Q513" s="298">
        <v>0</v>
      </c>
      <c r="R513" s="307">
        <v>0</v>
      </c>
      <c r="S513" s="307">
        <v>0</v>
      </c>
      <c r="T513" s="307">
        <v>0</v>
      </c>
      <c r="U513" s="307">
        <v>6.4843001385263388E-2</v>
      </c>
      <c r="V513" s="380"/>
    </row>
    <row r="514" spans="1:22">
      <c r="A514" s="166"/>
      <c r="B514" s="167" t="s">
        <v>62</v>
      </c>
      <c r="C514" s="168">
        <v>2.3976669131843428E-2</v>
      </c>
      <c r="D514" s="169">
        <v>1.4555641017071594E-2</v>
      </c>
      <c r="E514" s="169">
        <v>1.5689392577908721E-2</v>
      </c>
      <c r="F514" s="169">
        <v>0</v>
      </c>
      <c r="G514" s="169">
        <v>3.4779326521258524E-3</v>
      </c>
      <c r="H514" s="169">
        <v>2.2207459428679891E-3</v>
      </c>
      <c r="I514" s="169">
        <v>0</v>
      </c>
      <c r="J514" s="170">
        <v>1.9084782786287238E-2</v>
      </c>
      <c r="K514" s="170">
        <v>0</v>
      </c>
      <c r="L514" s="169">
        <v>5.9497853671400619E-2</v>
      </c>
      <c r="M514" s="169">
        <v>0.22438023525662096</v>
      </c>
      <c r="N514" s="169">
        <v>0.19618543806117003</v>
      </c>
      <c r="O514" s="170">
        <v>0.11948058427340004</v>
      </c>
      <c r="P514" s="170">
        <v>0</v>
      </c>
      <c r="Q514" s="169">
        <v>0</v>
      </c>
      <c r="R514" s="170">
        <v>0</v>
      </c>
      <c r="S514" s="170">
        <v>0</v>
      </c>
      <c r="T514" s="170">
        <v>0</v>
      </c>
      <c r="U514" s="170">
        <v>6.2122988854062915E-2</v>
      </c>
      <c r="V514" s="380"/>
    </row>
    <row r="515" spans="1:22">
      <c r="A515" s="166"/>
      <c r="B515" s="199" t="s">
        <v>63</v>
      </c>
      <c r="C515" s="200">
        <v>7.7752878567925038E-2</v>
      </c>
      <c r="D515" s="201">
        <v>-1.9360774738971277E-2</v>
      </c>
      <c r="E515" s="201">
        <v>-1.1556696848317873</v>
      </c>
      <c r="F515" s="201">
        <v>0</v>
      </c>
      <c r="G515" s="201">
        <v>8.0671502208949419E-2</v>
      </c>
      <c r="H515" s="201">
        <v>-0.56047782103475363</v>
      </c>
      <c r="I515" s="201">
        <v>0</v>
      </c>
      <c r="J515" s="202">
        <v>-0.29982470128674249</v>
      </c>
      <c r="K515" s="202">
        <v>0</v>
      </c>
      <c r="L515" s="201">
        <v>-0.24233528727781034</v>
      </c>
      <c r="M515" s="201">
        <v>0.58599563945569422</v>
      </c>
      <c r="N515" s="201">
        <v>0.64518448188048694</v>
      </c>
      <c r="O515" s="202">
        <v>3.094545236015378E-2</v>
      </c>
      <c r="P515" s="202">
        <v>0</v>
      </c>
      <c r="Q515" s="201">
        <v>0</v>
      </c>
      <c r="R515" s="202">
        <v>0</v>
      </c>
      <c r="S515" s="202">
        <v>0</v>
      </c>
      <c r="T515" s="202">
        <v>0</v>
      </c>
      <c r="U515" s="202">
        <v>-0.2720012531200473</v>
      </c>
      <c r="V515" s="380"/>
    </row>
    <row r="516" spans="1:22">
      <c r="A516" s="166"/>
      <c r="B516" s="246" t="s">
        <v>64</v>
      </c>
      <c r="C516" s="297">
        <v>4.3840213548929058E-2</v>
      </c>
      <c r="D516" s="298">
        <v>4.1783193321776137E-2</v>
      </c>
      <c r="E516" s="298">
        <v>3.577600692148513E-2</v>
      </c>
      <c r="F516" s="298">
        <v>0</v>
      </c>
      <c r="G516" s="298">
        <v>0</v>
      </c>
      <c r="H516" s="298">
        <v>0.12269794261282288</v>
      </c>
      <c r="I516" s="298">
        <v>0</v>
      </c>
      <c r="J516" s="307">
        <v>4.0622694591481788E-2</v>
      </c>
      <c r="K516" s="307">
        <v>0</v>
      </c>
      <c r="L516" s="298">
        <v>0.257982050725312</v>
      </c>
      <c r="M516" s="298">
        <v>0.2540599400918308</v>
      </c>
      <c r="N516" s="298">
        <v>0.27579461771713232</v>
      </c>
      <c r="O516" s="307">
        <v>0.25820647352248222</v>
      </c>
      <c r="P516" s="165">
        <v>0</v>
      </c>
      <c r="Q516" s="298">
        <v>0</v>
      </c>
      <c r="R516" s="307">
        <v>0</v>
      </c>
      <c r="S516" s="307">
        <v>0</v>
      </c>
      <c r="T516" s="307">
        <v>0</v>
      </c>
      <c r="U516" s="307">
        <v>0.13645190753742989</v>
      </c>
      <c r="V516" s="380"/>
    </row>
    <row r="517" spans="1:22">
      <c r="A517" s="166"/>
      <c r="B517" s="167" t="s">
        <v>65</v>
      </c>
      <c r="C517" s="168">
        <v>5.1979235594306401E-2</v>
      </c>
      <c r="D517" s="169">
        <v>5.3472056125975158E-2</v>
      </c>
      <c r="E517" s="169">
        <v>6.1316211295244422E-2</v>
      </c>
      <c r="F517" s="169">
        <v>0</v>
      </c>
      <c r="G517" s="169">
        <v>0</v>
      </c>
      <c r="H517" s="169">
        <v>0.1962418145582234</v>
      </c>
      <c r="I517" s="169">
        <v>0</v>
      </c>
      <c r="J517" s="170">
        <v>5.489137026649437E-2</v>
      </c>
      <c r="K517" s="170">
        <v>0</v>
      </c>
      <c r="L517" s="169">
        <v>0.26776564728822072</v>
      </c>
      <c r="M517" s="169">
        <v>0.25118004076380984</v>
      </c>
      <c r="N517" s="169">
        <v>0.26363339414749959</v>
      </c>
      <c r="O517" s="170">
        <v>0.26240111976496022</v>
      </c>
      <c r="P517" s="170">
        <v>0</v>
      </c>
      <c r="Q517" s="169">
        <v>0</v>
      </c>
      <c r="R517" s="170">
        <v>0</v>
      </c>
      <c r="S517" s="170">
        <v>0</v>
      </c>
      <c r="T517" s="170">
        <v>0</v>
      </c>
      <c r="U517" s="170">
        <v>0.14384775317991613</v>
      </c>
      <c r="V517" s="380"/>
    </row>
    <row r="518" spans="1:22">
      <c r="A518" s="166"/>
      <c r="B518" s="199" t="s">
        <v>66</v>
      </c>
      <c r="C518" s="200">
        <v>0.81390220453773432</v>
      </c>
      <c r="D518" s="201">
        <v>1.1688862804199021</v>
      </c>
      <c r="E518" s="201">
        <v>2.5540204373759292</v>
      </c>
      <c r="F518" s="201">
        <v>0</v>
      </c>
      <c r="G518" s="201">
        <v>0</v>
      </c>
      <c r="H518" s="656">
        <v>7.3543871945400516</v>
      </c>
      <c r="I518" s="201">
        <v>0</v>
      </c>
      <c r="J518" s="202">
        <v>1.4268675675012581</v>
      </c>
      <c r="K518" s="202">
        <v>0</v>
      </c>
      <c r="L518" s="201">
        <v>0.97835965629087251</v>
      </c>
      <c r="M518" s="201">
        <v>-0.28798993280209628</v>
      </c>
      <c r="N518" s="201">
        <v>-1.2161223569632729</v>
      </c>
      <c r="O518" s="202">
        <v>0.41946462424780062</v>
      </c>
      <c r="P518" s="202">
        <v>0</v>
      </c>
      <c r="Q518" s="201">
        <v>0</v>
      </c>
      <c r="R518" s="202">
        <v>0</v>
      </c>
      <c r="S518" s="202">
        <v>0</v>
      </c>
      <c r="T518" s="202">
        <v>0</v>
      </c>
      <c r="U518" s="202">
        <v>0.73958456424862429</v>
      </c>
      <c r="V518" s="380"/>
    </row>
    <row r="519" spans="1:22">
      <c r="A519" s="166"/>
      <c r="B519" s="246" t="s">
        <v>67</v>
      </c>
      <c r="C519" s="297">
        <v>1.3879827557534124E-2</v>
      </c>
      <c r="D519" s="298">
        <v>5.9857020731718554E-5</v>
      </c>
      <c r="E519" s="298">
        <v>1.8225512960001859E-3</v>
      </c>
      <c r="F519" s="298">
        <v>0</v>
      </c>
      <c r="G519" s="298">
        <v>0</v>
      </c>
      <c r="H519" s="298">
        <v>0</v>
      </c>
      <c r="I519" s="298">
        <v>0</v>
      </c>
      <c r="J519" s="307">
        <v>7.3802500254917204E-3</v>
      </c>
      <c r="K519" s="307">
        <v>0</v>
      </c>
      <c r="L519" s="298">
        <v>1.4449372912724754E-3</v>
      </c>
      <c r="M519" s="298">
        <v>3.8053569750098874E-2</v>
      </c>
      <c r="N519" s="298">
        <v>5.6229017760450507E-2</v>
      </c>
      <c r="O519" s="307">
        <v>1.679378018823733E-2</v>
      </c>
      <c r="P519" s="165">
        <v>0</v>
      </c>
      <c r="Q519" s="298">
        <v>0</v>
      </c>
      <c r="R519" s="307">
        <v>0</v>
      </c>
      <c r="S519" s="307">
        <v>0</v>
      </c>
      <c r="T519" s="307">
        <v>0</v>
      </c>
      <c r="U519" s="307">
        <v>1.1526198730725501E-2</v>
      </c>
      <c r="V519" s="380"/>
    </row>
    <row r="520" spans="1:22">
      <c r="A520" s="166"/>
      <c r="B520" s="167" t="s">
        <v>68</v>
      </c>
      <c r="C520" s="168">
        <v>1.3101849468522121E-2</v>
      </c>
      <c r="D520" s="169">
        <v>1.2024344123170198E-3</v>
      </c>
      <c r="E520" s="169">
        <v>1.7586758376310883E-3</v>
      </c>
      <c r="F520" s="169">
        <v>0</v>
      </c>
      <c r="G520" s="169">
        <v>0</v>
      </c>
      <c r="H520" s="169">
        <v>0</v>
      </c>
      <c r="I520" s="169">
        <v>0</v>
      </c>
      <c r="J520" s="170">
        <v>7.2243876459539688E-3</v>
      </c>
      <c r="K520" s="170">
        <v>0</v>
      </c>
      <c r="L520" s="169">
        <v>7.4496626119724689E-4</v>
      </c>
      <c r="M520" s="169">
        <v>4.083896303097307E-2</v>
      </c>
      <c r="N520" s="169">
        <v>8.3712426007218024E-2</v>
      </c>
      <c r="O520" s="170">
        <v>1.879098644640927E-2</v>
      </c>
      <c r="P520" s="170">
        <v>0</v>
      </c>
      <c r="Q520" s="169">
        <v>0</v>
      </c>
      <c r="R520" s="170">
        <v>0</v>
      </c>
      <c r="S520" s="170">
        <v>0</v>
      </c>
      <c r="T520" s="170">
        <v>0</v>
      </c>
      <c r="U520" s="170">
        <v>1.2182818728763567E-2</v>
      </c>
      <c r="V520" s="380"/>
    </row>
    <row r="521" spans="1:22">
      <c r="A521" s="166"/>
      <c r="B521" s="199" t="s">
        <v>69</v>
      </c>
      <c r="C521" s="200">
        <v>-7.7797808901200305E-2</v>
      </c>
      <c r="D521" s="201">
        <v>0.11425773915853012</v>
      </c>
      <c r="E521" s="201">
        <v>-6.3875458369097582E-3</v>
      </c>
      <c r="F521" s="201">
        <v>0</v>
      </c>
      <c r="G521" s="201">
        <v>0</v>
      </c>
      <c r="H521" s="201">
        <v>0</v>
      </c>
      <c r="I521" s="201">
        <v>0</v>
      </c>
      <c r="J521" s="202">
        <v>-1.5586237953775159E-2</v>
      </c>
      <c r="K521" s="202">
        <v>0</v>
      </c>
      <c r="L521" s="201">
        <v>-6.9997103007522848E-2</v>
      </c>
      <c r="M521" s="201">
        <v>0.2785393280874196</v>
      </c>
      <c r="N521" s="201">
        <v>2.7483408246767516</v>
      </c>
      <c r="O521" s="202">
        <v>0.19972062581719402</v>
      </c>
      <c r="P521" s="202">
        <v>0</v>
      </c>
      <c r="Q521" s="201">
        <v>0</v>
      </c>
      <c r="R521" s="202">
        <v>0</v>
      </c>
      <c r="S521" s="202">
        <v>0</v>
      </c>
      <c r="T521" s="202">
        <v>0</v>
      </c>
      <c r="U521" s="202">
        <v>6.5661999803806603E-2</v>
      </c>
      <c r="V521" s="380"/>
    </row>
    <row r="522" spans="1:22">
      <c r="A522" s="166"/>
      <c r="B522" s="246" t="s">
        <v>70</v>
      </c>
      <c r="C522" s="297">
        <v>0</v>
      </c>
      <c r="D522" s="298">
        <v>0</v>
      </c>
      <c r="E522" s="298">
        <v>0</v>
      </c>
      <c r="F522" s="298">
        <v>0</v>
      </c>
      <c r="G522" s="298">
        <v>0</v>
      </c>
      <c r="H522" s="298">
        <v>0</v>
      </c>
      <c r="I522" s="298">
        <v>0</v>
      </c>
      <c r="J522" s="307">
        <v>0</v>
      </c>
      <c r="K522" s="307">
        <v>0</v>
      </c>
      <c r="L522" s="298">
        <v>0</v>
      </c>
      <c r="M522" s="298">
        <v>0</v>
      </c>
      <c r="N522" s="298">
        <v>0</v>
      </c>
      <c r="O522" s="307">
        <v>0</v>
      </c>
      <c r="P522" s="165">
        <v>0</v>
      </c>
      <c r="Q522" s="298">
        <v>0</v>
      </c>
      <c r="R522" s="307">
        <v>0</v>
      </c>
      <c r="S522" s="307">
        <v>0</v>
      </c>
      <c r="T522" s="307">
        <v>0</v>
      </c>
      <c r="U522" s="307">
        <v>0</v>
      </c>
      <c r="V522" s="380"/>
    </row>
    <row r="523" spans="1:22">
      <c r="A523" s="166"/>
      <c r="B523" s="167" t="s">
        <v>71</v>
      </c>
      <c r="C523" s="168">
        <v>0</v>
      </c>
      <c r="D523" s="169">
        <v>0</v>
      </c>
      <c r="E523" s="169">
        <v>0</v>
      </c>
      <c r="F523" s="169">
        <v>0</v>
      </c>
      <c r="G523" s="169">
        <v>0</v>
      </c>
      <c r="H523" s="169">
        <v>0</v>
      </c>
      <c r="I523" s="169">
        <v>0</v>
      </c>
      <c r="J523" s="170">
        <v>0</v>
      </c>
      <c r="K523" s="170">
        <v>0</v>
      </c>
      <c r="L523" s="169">
        <v>0</v>
      </c>
      <c r="M523" s="169">
        <v>0</v>
      </c>
      <c r="N523" s="169">
        <v>0</v>
      </c>
      <c r="O523" s="170">
        <v>0</v>
      </c>
      <c r="P523" s="170">
        <v>0</v>
      </c>
      <c r="Q523" s="169">
        <v>0</v>
      </c>
      <c r="R523" s="170">
        <v>0</v>
      </c>
      <c r="S523" s="170">
        <v>0</v>
      </c>
      <c r="T523" s="170">
        <v>0</v>
      </c>
      <c r="U523" s="170">
        <v>0</v>
      </c>
      <c r="V523" s="380"/>
    </row>
    <row r="524" spans="1:22">
      <c r="A524" s="166"/>
      <c r="B524" s="199" t="s">
        <v>72</v>
      </c>
      <c r="C524" s="200">
        <v>0</v>
      </c>
      <c r="D524" s="201">
        <v>0</v>
      </c>
      <c r="E524" s="201">
        <v>0</v>
      </c>
      <c r="F524" s="201">
        <v>0</v>
      </c>
      <c r="G524" s="201">
        <v>0</v>
      </c>
      <c r="H524" s="201">
        <v>0</v>
      </c>
      <c r="I524" s="201">
        <v>0</v>
      </c>
      <c r="J524" s="202">
        <v>0</v>
      </c>
      <c r="K524" s="202">
        <v>0</v>
      </c>
      <c r="L524" s="201">
        <v>0</v>
      </c>
      <c r="M524" s="201">
        <v>0</v>
      </c>
      <c r="N524" s="201">
        <v>0</v>
      </c>
      <c r="O524" s="202">
        <v>0</v>
      </c>
      <c r="P524" s="202">
        <v>0</v>
      </c>
      <c r="Q524" s="201">
        <v>0</v>
      </c>
      <c r="R524" s="202">
        <v>0</v>
      </c>
      <c r="S524" s="202">
        <v>0</v>
      </c>
      <c r="T524" s="202">
        <v>0</v>
      </c>
      <c r="U524" s="202">
        <v>0</v>
      </c>
      <c r="V524" s="380"/>
    </row>
    <row r="525" spans="1:22">
      <c r="A525" s="166"/>
      <c r="B525" s="246" t="s">
        <v>73</v>
      </c>
      <c r="C525" s="297">
        <v>0</v>
      </c>
      <c r="D525" s="298">
        <v>0</v>
      </c>
      <c r="E525" s="298">
        <v>0</v>
      </c>
      <c r="F525" s="298">
        <v>0</v>
      </c>
      <c r="G525" s="298">
        <v>0</v>
      </c>
      <c r="H525" s="298">
        <v>0</v>
      </c>
      <c r="I525" s="298">
        <v>0</v>
      </c>
      <c r="J525" s="307">
        <v>0</v>
      </c>
      <c r="K525" s="307">
        <v>0</v>
      </c>
      <c r="L525" s="298">
        <v>0</v>
      </c>
      <c r="M525" s="298">
        <v>0</v>
      </c>
      <c r="N525" s="298">
        <v>0</v>
      </c>
      <c r="O525" s="307">
        <v>0</v>
      </c>
      <c r="P525" s="165">
        <v>0</v>
      </c>
      <c r="Q525" s="298">
        <v>0</v>
      </c>
      <c r="R525" s="307">
        <v>0</v>
      </c>
      <c r="S525" s="307">
        <v>0</v>
      </c>
      <c r="T525" s="307">
        <v>0</v>
      </c>
      <c r="U525" s="307">
        <v>0</v>
      </c>
      <c r="V525" s="380"/>
    </row>
    <row r="526" spans="1:22">
      <c r="A526" s="166"/>
      <c r="B526" s="167" t="s">
        <v>74</v>
      </c>
      <c r="C526" s="168">
        <v>0</v>
      </c>
      <c r="D526" s="169">
        <v>0</v>
      </c>
      <c r="E526" s="169">
        <v>0</v>
      </c>
      <c r="F526" s="169">
        <v>0</v>
      </c>
      <c r="G526" s="169">
        <v>0</v>
      </c>
      <c r="H526" s="169">
        <v>0</v>
      </c>
      <c r="I526" s="169">
        <v>0</v>
      </c>
      <c r="J526" s="170">
        <v>0</v>
      </c>
      <c r="K526" s="170">
        <v>0</v>
      </c>
      <c r="L526" s="169">
        <v>0</v>
      </c>
      <c r="M526" s="169">
        <v>0</v>
      </c>
      <c r="N526" s="169">
        <v>0</v>
      </c>
      <c r="O526" s="170">
        <v>0</v>
      </c>
      <c r="P526" s="170">
        <v>0</v>
      </c>
      <c r="Q526" s="169">
        <v>0</v>
      </c>
      <c r="R526" s="170">
        <v>0</v>
      </c>
      <c r="S526" s="170">
        <v>0</v>
      </c>
      <c r="T526" s="170">
        <v>0</v>
      </c>
      <c r="U526" s="170">
        <v>0</v>
      </c>
      <c r="V526" s="380"/>
    </row>
    <row r="527" spans="1:22" ht="15.75" thickBot="1">
      <c r="A527" s="166"/>
      <c r="B527" s="303" t="s">
        <v>75</v>
      </c>
      <c r="C527" s="304">
        <v>0</v>
      </c>
      <c r="D527" s="305">
        <v>0</v>
      </c>
      <c r="E527" s="305">
        <v>0</v>
      </c>
      <c r="F527" s="305">
        <v>0</v>
      </c>
      <c r="G527" s="305">
        <v>0</v>
      </c>
      <c r="H527" s="305">
        <v>0</v>
      </c>
      <c r="I527" s="305">
        <v>0</v>
      </c>
      <c r="J527" s="308">
        <v>0</v>
      </c>
      <c r="K527" s="308">
        <v>0</v>
      </c>
      <c r="L527" s="305">
        <v>0</v>
      </c>
      <c r="M527" s="305">
        <v>0</v>
      </c>
      <c r="N527" s="305">
        <v>0</v>
      </c>
      <c r="O527" s="308">
        <v>0</v>
      </c>
      <c r="P527" s="308">
        <v>0</v>
      </c>
      <c r="Q527" s="305">
        <v>0</v>
      </c>
      <c r="R527" s="308">
        <v>0</v>
      </c>
      <c r="S527" s="308">
        <v>0</v>
      </c>
      <c r="T527" s="308">
        <v>0</v>
      </c>
      <c r="U527" s="308">
        <v>0</v>
      </c>
      <c r="V527" s="380"/>
    </row>
    <row r="528" spans="1:22" ht="15.75" thickTop="1">
      <c r="A528" s="166"/>
      <c r="B528" s="167" t="s">
        <v>76</v>
      </c>
      <c r="C528" s="168">
        <v>0.78941095370265457</v>
      </c>
      <c r="D528" s="169">
        <v>0.88892916059259808</v>
      </c>
      <c r="E528" s="169">
        <v>0.76515125450495003</v>
      </c>
      <c r="F528" s="169">
        <v>0</v>
      </c>
      <c r="G528" s="169">
        <v>0.98661933369743304</v>
      </c>
      <c r="H528" s="169">
        <v>0</v>
      </c>
      <c r="I528" s="169">
        <v>0</v>
      </c>
      <c r="J528" s="170">
        <v>0.80928292676478308</v>
      </c>
      <c r="K528" s="170">
        <v>0</v>
      </c>
      <c r="L528" s="169">
        <v>0</v>
      </c>
      <c r="M528" s="169">
        <v>0</v>
      </c>
      <c r="N528" s="169">
        <v>0</v>
      </c>
      <c r="O528" s="170">
        <v>0</v>
      </c>
      <c r="P528" s="170">
        <v>0</v>
      </c>
      <c r="Q528" s="169">
        <v>0</v>
      </c>
      <c r="R528" s="170">
        <v>0</v>
      </c>
      <c r="S528" s="170">
        <v>0</v>
      </c>
      <c r="T528" s="170">
        <v>0</v>
      </c>
      <c r="U528" s="170">
        <v>0.80928292676478308</v>
      </c>
      <c r="V528" s="380"/>
    </row>
    <row r="529" spans="1:22">
      <c r="A529" s="166"/>
      <c r="B529" s="167" t="s">
        <v>77</v>
      </c>
      <c r="C529" s="168">
        <v>0.78305439137811039</v>
      </c>
      <c r="D529" s="169">
        <v>0.89339296789785483</v>
      </c>
      <c r="E529" s="169">
        <v>0.73048296394310297</v>
      </c>
      <c r="F529" s="169">
        <v>0</v>
      </c>
      <c r="G529" s="169">
        <v>0.98261638185032407</v>
      </c>
      <c r="H529" s="169">
        <v>0</v>
      </c>
      <c r="I529" s="169">
        <v>0</v>
      </c>
      <c r="J529" s="170">
        <v>0.80251961704541863</v>
      </c>
      <c r="K529" s="170">
        <v>0</v>
      </c>
      <c r="L529" s="169">
        <v>0</v>
      </c>
      <c r="M529" s="169">
        <v>0</v>
      </c>
      <c r="N529" s="169">
        <v>0</v>
      </c>
      <c r="O529" s="170">
        <v>0</v>
      </c>
      <c r="P529" s="170">
        <v>0</v>
      </c>
      <c r="Q529" s="169">
        <v>0</v>
      </c>
      <c r="R529" s="170">
        <v>0</v>
      </c>
      <c r="S529" s="170">
        <v>0</v>
      </c>
      <c r="T529" s="170">
        <v>0</v>
      </c>
      <c r="U529" s="170">
        <v>0.80251961704541863</v>
      </c>
      <c r="V529" s="380"/>
    </row>
    <row r="530" spans="1:22">
      <c r="A530" s="166"/>
      <c r="B530" s="199" t="s">
        <v>78</v>
      </c>
      <c r="C530" s="200">
        <v>-0.63565623245441794</v>
      </c>
      <c r="D530" s="201">
        <v>0.44638073052567506</v>
      </c>
      <c r="E530" s="201">
        <v>-3.4668290561847059</v>
      </c>
      <c r="F530" s="201">
        <v>0</v>
      </c>
      <c r="G530" s="201">
        <v>-0.40029518471089709</v>
      </c>
      <c r="H530" s="201">
        <v>0</v>
      </c>
      <c r="I530" s="201">
        <v>0</v>
      </c>
      <c r="J530" s="202">
        <v>-0.6763309719364452</v>
      </c>
      <c r="K530" s="202">
        <v>0</v>
      </c>
      <c r="L530" s="201">
        <v>0</v>
      </c>
      <c r="M530" s="201">
        <v>0</v>
      </c>
      <c r="N530" s="201">
        <v>0</v>
      </c>
      <c r="O530" s="202">
        <v>0</v>
      </c>
      <c r="P530" s="202">
        <v>0</v>
      </c>
      <c r="Q530" s="201">
        <v>0</v>
      </c>
      <c r="R530" s="202">
        <v>0</v>
      </c>
      <c r="S530" s="202">
        <v>0</v>
      </c>
      <c r="T530" s="202">
        <v>0</v>
      </c>
      <c r="U530" s="202">
        <v>-0.6763309719364452</v>
      </c>
      <c r="V530" s="380"/>
    </row>
    <row r="531" spans="1:22">
      <c r="A531" s="166"/>
      <c r="B531" s="246" t="s">
        <v>79</v>
      </c>
      <c r="C531" s="297">
        <v>0.10496498312945388</v>
      </c>
      <c r="D531" s="298">
        <v>6.2966881557662127E-2</v>
      </c>
      <c r="E531" s="298">
        <v>0.10253868451157309</v>
      </c>
      <c r="F531" s="298">
        <v>0</v>
      </c>
      <c r="G531" s="298">
        <v>1.3380666302566903E-2</v>
      </c>
      <c r="H531" s="298">
        <v>0</v>
      </c>
      <c r="I531" s="298">
        <v>0</v>
      </c>
      <c r="J531" s="307">
        <v>9.5177348585365015E-2</v>
      </c>
      <c r="K531" s="307">
        <v>0</v>
      </c>
      <c r="L531" s="298">
        <v>0</v>
      </c>
      <c r="M531" s="298">
        <v>0</v>
      </c>
      <c r="N531" s="298">
        <v>0</v>
      </c>
      <c r="O531" s="307">
        <v>0</v>
      </c>
      <c r="P531" s="165">
        <v>0</v>
      </c>
      <c r="Q531" s="298">
        <v>0</v>
      </c>
      <c r="R531" s="307">
        <v>0</v>
      </c>
      <c r="S531" s="307">
        <v>0</v>
      </c>
      <c r="T531" s="307">
        <v>0</v>
      </c>
      <c r="U531" s="307">
        <v>9.5177348585365015E-2</v>
      </c>
      <c r="V531" s="380"/>
    </row>
    <row r="532" spans="1:22">
      <c r="A532" s="166"/>
      <c r="B532" s="167" t="s">
        <v>80</v>
      </c>
      <c r="C532" s="168">
        <v>0.10228058700055134</v>
      </c>
      <c r="D532" s="169">
        <v>5.3631007121928267E-2</v>
      </c>
      <c r="E532" s="169">
        <v>8.1698208471890937E-2</v>
      </c>
      <c r="F532" s="169">
        <v>0</v>
      </c>
      <c r="G532" s="169">
        <v>1.73836181496759E-2</v>
      </c>
      <c r="H532" s="169">
        <v>0</v>
      </c>
      <c r="I532" s="169">
        <v>0</v>
      </c>
      <c r="J532" s="170">
        <v>8.8961074850170699E-2</v>
      </c>
      <c r="K532" s="170">
        <v>0</v>
      </c>
      <c r="L532" s="169">
        <v>0</v>
      </c>
      <c r="M532" s="169">
        <v>0</v>
      </c>
      <c r="N532" s="169">
        <v>0</v>
      </c>
      <c r="O532" s="170">
        <v>0</v>
      </c>
      <c r="P532" s="170">
        <v>0</v>
      </c>
      <c r="Q532" s="169">
        <v>0</v>
      </c>
      <c r="R532" s="170">
        <v>0</v>
      </c>
      <c r="S532" s="170">
        <v>0</v>
      </c>
      <c r="T532" s="170">
        <v>0</v>
      </c>
      <c r="U532" s="170">
        <v>8.8961074850170699E-2</v>
      </c>
      <c r="V532" s="380"/>
    </row>
    <row r="533" spans="1:22">
      <c r="A533" s="166"/>
      <c r="B533" s="199" t="s">
        <v>81</v>
      </c>
      <c r="C533" s="200">
        <v>-0.26843961289025331</v>
      </c>
      <c r="D533" s="201">
        <v>-0.93358744357338597</v>
      </c>
      <c r="E533" s="201">
        <v>-2.0840476039682159</v>
      </c>
      <c r="F533" s="201">
        <v>0</v>
      </c>
      <c r="G533" s="201">
        <v>0.4002951847108997</v>
      </c>
      <c r="H533" s="201">
        <v>0</v>
      </c>
      <c r="I533" s="201">
        <v>0</v>
      </c>
      <c r="J533" s="202">
        <v>-0.62162737351943165</v>
      </c>
      <c r="K533" s="202">
        <v>0</v>
      </c>
      <c r="L533" s="201">
        <v>0</v>
      </c>
      <c r="M533" s="201">
        <v>0</v>
      </c>
      <c r="N533" s="201">
        <v>0</v>
      </c>
      <c r="O533" s="202">
        <v>0</v>
      </c>
      <c r="P533" s="202">
        <v>0</v>
      </c>
      <c r="Q533" s="201">
        <v>0</v>
      </c>
      <c r="R533" s="202">
        <v>0</v>
      </c>
      <c r="S533" s="202">
        <v>0</v>
      </c>
      <c r="T533" s="202">
        <v>0</v>
      </c>
      <c r="U533" s="202">
        <v>-0.62162737351943165</v>
      </c>
      <c r="V533" s="380"/>
    </row>
    <row r="534" spans="1:22">
      <c r="A534" s="166"/>
      <c r="B534" s="246" t="s">
        <v>82</v>
      </c>
      <c r="C534" s="297">
        <v>7.1386498546477689E-2</v>
      </c>
      <c r="D534" s="298">
        <v>4.7608260555554074E-2</v>
      </c>
      <c r="E534" s="298">
        <v>0.10894668031412082</v>
      </c>
      <c r="F534" s="298">
        <v>0</v>
      </c>
      <c r="G534" s="298">
        <v>0</v>
      </c>
      <c r="H534" s="298">
        <v>0</v>
      </c>
      <c r="I534" s="298">
        <v>0</v>
      </c>
      <c r="J534" s="307">
        <v>6.9961192712402809E-2</v>
      </c>
      <c r="K534" s="307">
        <v>0</v>
      </c>
      <c r="L534" s="298">
        <v>0</v>
      </c>
      <c r="M534" s="298">
        <v>0</v>
      </c>
      <c r="N534" s="298">
        <v>0</v>
      </c>
      <c r="O534" s="307">
        <v>0</v>
      </c>
      <c r="P534" s="165">
        <v>0</v>
      </c>
      <c r="Q534" s="298">
        <v>0</v>
      </c>
      <c r="R534" s="307">
        <v>0</v>
      </c>
      <c r="S534" s="307">
        <v>0</v>
      </c>
      <c r="T534" s="307">
        <v>0</v>
      </c>
      <c r="U534" s="307">
        <v>6.9961192712402809E-2</v>
      </c>
      <c r="V534" s="380"/>
    </row>
    <row r="535" spans="1:22">
      <c r="A535" s="166"/>
      <c r="B535" s="167" t="s">
        <v>83</v>
      </c>
      <c r="C535" s="168">
        <v>7.8886703054200036E-2</v>
      </c>
      <c r="D535" s="169">
        <v>4.6356695254186536E-2</v>
      </c>
      <c r="E535" s="169">
        <v>0.15595783205947386</v>
      </c>
      <c r="F535" s="169">
        <v>0</v>
      </c>
      <c r="G535" s="169">
        <v>0</v>
      </c>
      <c r="H535" s="169">
        <v>0</v>
      </c>
      <c r="I535" s="169">
        <v>0</v>
      </c>
      <c r="J535" s="170">
        <v>7.9750003424804747E-2</v>
      </c>
      <c r="K535" s="170">
        <v>0</v>
      </c>
      <c r="L535" s="169">
        <v>0</v>
      </c>
      <c r="M535" s="169">
        <v>0</v>
      </c>
      <c r="N535" s="169">
        <v>0</v>
      </c>
      <c r="O535" s="170">
        <v>0</v>
      </c>
      <c r="P535" s="170">
        <v>0</v>
      </c>
      <c r="Q535" s="169">
        <v>0</v>
      </c>
      <c r="R535" s="170">
        <v>0</v>
      </c>
      <c r="S535" s="170">
        <v>0</v>
      </c>
      <c r="T535" s="170">
        <v>0</v>
      </c>
      <c r="U535" s="170">
        <v>7.9750003424804747E-2</v>
      </c>
      <c r="V535" s="380"/>
    </row>
    <row r="536" spans="1:22">
      <c r="A536" s="166"/>
      <c r="B536" s="199" t="s">
        <v>84</v>
      </c>
      <c r="C536" s="200">
        <v>0.75002045077223467</v>
      </c>
      <c r="D536" s="201">
        <v>-0.12515653013675382</v>
      </c>
      <c r="E536" s="656">
        <v>4.7011151745353041</v>
      </c>
      <c r="F536" s="201">
        <v>0</v>
      </c>
      <c r="G536" s="201">
        <v>0</v>
      </c>
      <c r="H536" s="201">
        <v>0</v>
      </c>
      <c r="I536" s="201">
        <v>0</v>
      </c>
      <c r="J536" s="202">
        <v>0.97888107124019386</v>
      </c>
      <c r="K536" s="202">
        <v>0</v>
      </c>
      <c r="L536" s="201">
        <v>0</v>
      </c>
      <c r="M536" s="201">
        <v>0</v>
      </c>
      <c r="N536" s="201">
        <v>0</v>
      </c>
      <c r="O536" s="202">
        <v>0</v>
      </c>
      <c r="P536" s="202">
        <v>0</v>
      </c>
      <c r="Q536" s="201">
        <v>0</v>
      </c>
      <c r="R536" s="202">
        <v>0</v>
      </c>
      <c r="S536" s="202">
        <v>0</v>
      </c>
      <c r="T536" s="202">
        <v>0</v>
      </c>
      <c r="U536" s="202">
        <v>0.97888107124019386</v>
      </c>
      <c r="V536" s="380"/>
    </row>
    <row r="537" spans="1:22">
      <c r="A537" s="166"/>
      <c r="B537" s="246" t="s">
        <v>85</v>
      </c>
      <c r="C537" s="297">
        <v>3.4237564621413877E-2</v>
      </c>
      <c r="D537" s="298">
        <v>4.9569729418568397E-4</v>
      </c>
      <c r="E537" s="298">
        <v>2.3363380669356018E-2</v>
      </c>
      <c r="F537" s="298">
        <v>0</v>
      </c>
      <c r="G537" s="298">
        <v>0</v>
      </c>
      <c r="H537" s="298">
        <v>0</v>
      </c>
      <c r="I537" s="298">
        <v>0</v>
      </c>
      <c r="J537" s="307">
        <v>2.5578531937449134E-2</v>
      </c>
      <c r="K537" s="307">
        <v>0</v>
      </c>
      <c r="L537" s="298">
        <v>0</v>
      </c>
      <c r="M537" s="298">
        <v>0</v>
      </c>
      <c r="N537" s="298">
        <v>0</v>
      </c>
      <c r="O537" s="307">
        <v>0</v>
      </c>
      <c r="P537" s="165">
        <v>0</v>
      </c>
      <c r="Q537" s="298">
        <v>0</v>
      </c>
      <c r="R537" s="307">
        <v>0</v>
      </c>
      <c r="S537" s="307">
        <v>0</v>
      </c>
      <c r="T537" s="307">
        <v>0</v>
      </c>
      <c r="U537" s="307">
        <v>2.5578531937449134E-2</v>
      </c>
      <c r="V537" s="380"/>
    </row>
    <row r="538" spans="1:22">
      <c r="A538" s="166"/>
      <c r="B538" s="167" t="s">
        <v>86</v>
      </c>
      <c r="C538" s="168">
        <v>3.5778318567138118E-2</v>
      </c>
      <c r="D538" s="169">
        <v>6.6193297260303272E-3</v>
      </c>
      <c r="E538" s="169">
        <v>3.1860995525532322E-2</v>
      </c>
      <c r="F538" s="169">
        <v>0</v>
      </c>
      <c r="G538" s="169">
        <v>0</v>
      </c>
      <c r="H538" s="169">
        <v>0</v>
      </c>
      <c r="I538" s="169">
        <v>0</v>
      </c>
      <c r="J538" s="170">
        <v>2.8769304679605971E-2</v>
      </c>
      <c r="K538" s="170">
        <v>0</v>
      </c>
      <c r="L538" s="169">
        <v>0</v>
      </c>
      <c r="M538" s="169">
        <v>0</v>
      </c>
      <c r="N538" s="169">
        <v>0</v>
      </c>
      <c r="O538" s="170">
        <v>0</v>
      </c>
      <c r="P538" s="170">
        <v>0</v>
      </c>
      <c r="Q538" s="169">
        <v>0</v>
      </c>
      <c r="R538" s="170">
        <v>0</v>
      </c>
      <c r="S538" s="170">
        <v>0</v>
      </c>
      <c r="T538" s="170">
        <v>0</v>
      </c>
      <c r="U538" s="170">
        <v>2.8769304679605971E-2</v>
      </c>
      <c r="V538" s="380"/>
    </row>
    <row r="539" spans="1:22">
      <c r="A539" s="166"/>
      <c r="B539" s="199" t="s">
        <v>87</v>
      </c>
      <c r="C539" s="200">
        <v>0.15407539457242408</v>
      </c>
      <c r="D539" s="201">
        <v>0.61236324318446433</v>
      </c>
      <c r="E539" s="201">
        <v>0.84976148561763043</v>
      </c>
      <c r="F539" s="201">
        <v>0</v>
      </c>
      <c r="G539" s="201">
        <v>0</v>
      </c>
      <c r="H539" s="201">
        <v>0</v>
      </c>
      <c r="I539" s="201">
        <v>0</v>
      </c>
      <c r="J539" s="202">
        <v>0.31907727421568377</v>
      </c>
      <c r="K539" s="202">
        <v>0</v>
      </c>
      <c r="L539" s="201">
        <v>0</v>
      </c>
      <c r="M539" s="201">
        <v>0</v>
      </c>
      <c r="N539" s="201">
        <v>0</v>
      </c>
      <c r="O539" s="202">
        <v>0</v>
      </c>
      <c r="P539" s="202">
        <v>0</v>
      </c>
      <c r="Q539" s="201">
        <v>0</v>
      </c>
      <c r="R539" s="202">
        <v>0</v>
      </c>
      <c r="S539" s="202">
        <v>0</v>
      </c>
      <c r="T539" s="202">
        <v>0</v>
      </c>
      <c r="U539" s="202">
        <v>0.31907727421568377</v>
      </c>
      <c r="V539" s="380"/>
    </row>
    <row r="540" spans="1:22">
      <c r="A540" s="166"/>
      <c r="B540" s="246" t="s">
        <v>88</v>
      </c>
      <c r="C540" s="297">
        <v>0</v>
      </c>
      <c r="D540" s="298">
        <v>0</v>
      </c>
      <c r="E540" s="298">
        <v>0</v>
      </c>
      <c r="F540" s="298">
        <v>0</v>
      </c>
      <c r="G540" s="298">
        <v>0</v>
      </c>
      <c r="H540" s="298">
        <v>0</v>
      </c>
      <c r="I540" s="298">
        <v>0</v>
      </c>
      <c r="J540" s="307">
        <v>0</v>
      </c>
      <c r="K540" s="307">
        <v>0</v>
      </c>
      <c r="L540" s="298">
        <v>0</v>
      </c>
      <c r="M540" s="298">
        <v>0</v>
      </c>
      <c r="N540" s="298">
        <v>0</v>
      </c>
      <c r="O540" s="307">
        <v>0</v>
      </c>
      <c r="P540" s="165">
        <v>0</v>
      </c>
      <c r="Q540" s="298">
        <v>0</v>
      </c>
      <c r="R540" s="307">
        <v>0</v>
      </c>
      <c r="S540" s="307">
        <v>0</v>
      </c>
      <c r="T540" s="307">
        <v>0</v>
      </c>
      <c r="U540" s="307">
        <v>0</v>
      </c>
      <c r="V540" s="380"/>
    </row>
    <row r="541" spans="1:22">
      <c r="A541" s="166"/>
      <c r="B541" s="167" t="s">
        <v>89</v>
      </c>
      <c r="C541" s="168">
        <v>0</v>
      </c>
      <c r="D541" s="169">
        <v>0</v>
      </c>
      <c r="E541" s="169">
        <v>0</v>
      </c>
      <c r="F541" s="169">
        <v>0</v>
      </c>
      <c r="G541" s="169">
        <v>0</v>
      </c>
      <c r="H541" s="169">
        <v>0</v>
      </c>
      <c r="I541" s="169">
        <v>0</v>
      </c>
      <c r="J541" s="170">
        <v>0</v>
      </c>
      <c r="K541" s="170">
        <v>0</v>
      </c>
      <c r="L541" s="169">
        <v>0</v>
      </c>
      <c r="M541" s="169">
        <v>0</v>
      </c>
      <c r="N541" s="169">
        <v>0</v>
      </c>
      <c r="O541" s="170">
        <v>0</v>
      </c>
      <c r="P541" s="170">
        <v>0</v>
      </c>
      <c r="Q541" s="169">
        <v>0</v>
      </c>
      <c r="R541" s="170">
        <v>0</v>
      </c>
      <c r="S541" s="170">
        <v>0</v>
      </c>
      <c r="T541" s="170">
        <v>0</v>
      </c>
      <c r="U541" s="170">
        <v>0</v>
      </c>
      <c r="V541" s="380"/>
    </row>
    <row r="542" spans="1:22">
      <c r="A542" s="166"/>
      <c r="B542" s="199" t="s">
        <v>90</v>
      </c>
      <c r="C542" s="200">
        <v>0</v>
      </c>
      <c r="D542" s="201">
        <v>0</v>
      </c>
      <c r="E542" s="201">
        <v>0</v>
      </c>
      <c r="F542" s="201">
        <v>0</v>
      </c>
      <c r="G542" s="201">
        <v>0</v>
      </c>
      <c r="H542" s="201">
        <v>0</v>
      </c>
      <c r="I542" s="201">
        <v>0</v>
      </c>
      <c r="J542" s="202">
        <v>0</v>
      </c>
      <c r="K542" s="202">
        <v>0</v>
      </c>
      <c r="L542" s="201">
        <v>0</v>
      </c>
      <c r="M542" s="201">
        <v>0</v>
      </c>
      <c r="N542" s="201">
        <v>0</v>
      </c>
      <c r="O542" s="202">
        <v>0</v>
      </c>
      <c r="P542" s="202">
        <v>0</v>
      </c>
      <c r="Q542" s="201">
        <v>0</v>
      </c>
      <c r="R542" s="202">
        <v>0</v>
      </c>
      <c r="S542" s="202">
        <v>0</v>
      </c>
      <c r="T542" s="202">
        <v>0</v>
      </c>
      <c r="U542" s="202">
        <v>0</v>
      </c>
      <c r="V542" s="380"/>
    </row>
    <row r="543" spans="1:22">
      <c r="A543" s="166"/>
      <c r="B543" s="246" t="s">
        <v>91</v>
      </c>
      <c r="C543" s="297">
        <v>0</v>
      </c>
      <c r="D543" s="298">
        <v>0</v>
      </c>
      <c r="E543" s="298">
        <v>0</v>
      </c>
      <c r="F543" s="298">
        <v>0</v>
      </c>
      <c r="G543" s="298">
        <v>0</v>
      </c>
      <c r="H543" s="298">
        <v>0</v>
      </c>
      <c r="I543" s="298">
        <v>0</v>
      </c>
      <c r="J543" s="307">
        <v>0</v>
      </c>
      <c r="K543" s="307">
        <v>0</v>
      </c>
      <c r="L543" s="298">
        <v>0</v>
      </c>
      <c r="M543" s="298">
        <v>0</v>
      </c>
      <c r="N543" s="298">
        <v>0</v>
      </c>
      <c r="O543" s="307">
        <v>0</v>
      </c>
      <c r="P543" s="165">
        <v>0</v>
      </c>
      <c r="Q543" s="298">
        <v>0</v>
      </c>
      <c r="R543" s="307">
        <v>0</v>
      </c>
      <c r="S543" s="307">
        <v>0</v>
      </c>
      <c r="T543" s="307">
        <v>0</v>
      </c>
      <c r="U543" s="307">
        <v>0</v>
      </c>
      <c r="V543" s="380"/>
    </row>
    <row r="544" spans="1:22">
      <c r="A544" s="166"/>
      <c r="B544" s="167" t="s">
        <v>92</v>
      </c>
      <c r="C544" s="168">
        <v>0</v>
      </c>
      <c r="D544" s="169">
        <v>0</v>
      </c>
      <c r="E544" s="169">
        <v>0</v>
      </c>
      <c r="F544" s="169">
        <v>0</v>
      </c>
      <c r="G544" s="169">
        <v>0</v>
      </c>
      <c r="H544" s="169">
        <v>0</v>
      </c>
      <c r="I544" s="169">
        <v>0</v>
      </c>
      <c r="J544" s="170">
        <v>0</v>
      </c>
      <c r="K544" s="170">
        <v>0</v>
      </c>
      <c r="L544" s="169">
        <v>0</v>
      </c>
      <c r="M544" s="169">
        <v>0</v>
      </c>
      <c r="N544" s="169">
        <v>0</v>
      </c>
      <c r="O544" s="170">
        <v>0</v>
      </c>
      <c r="P544" s="170">
        <v>0</v>
      </c>
      <c r="Q544" s="169">
        <v>0</v>
      </c>
      <c r="R544" s="170">
        <v>0</v>
      </c>
      <c r="S544" s="170">
        <v>0</v>
      </c>
      <c r="T544" s="170">
        <v>0</v>
      </c>
      <c r="U544" s="170">
        <v>0</v>
      </c>
      <c r="V544" s="380"/>
    </row>
    <row r="545" spans="1:22" ht="15.75" thickBot="1">
      <c r="A545" s="310"/>
      <c r="B545" s="311" t="s">
        <v>93</v>
      </c>
      <c r="C545" s="312">
        <v>0</v>
      </c>
      <c r="D545" s="313">
        <v>0</v>
      </c>
      <c r="E545" s="313">
        <v>0</v>
      </c>
      <c r="F545" s="313">
        <v>0</v>
      </c>
      <c r="G545" s="313">
        <v>0</v>
      </c>
      <c r="H545" s="313">
        <v>0</v>
      </c>
      <c r="I545" s="313">
        <v>0</v>
      </c>
      <c r="J545" s="314">
        <v>0</v>
      </c>
      <c r="K545" s="314">
        <v>0</v>
      </c>
      <c r="L545" s="313">
        <v>0</v>
      </c>
      <c r="M545" s="313">
        <v>0</v>
      </c>
      <c r="N545" s="313">
        <v>0</v>
      </c>
      <c r="O545" s="314">
        <v>0</v>
      </c>
      <c r="P545" s="314">
        <v>0</v>
      </c>
      <c r="Q545" s="313">
        <v>0</v>
      </c>
      <c r="R545" s="314">
        <v>0</v>
      </c>
      <c r="S545" s="314">
        <v>0</v>
      </c>
      <c r="T545" s="314">
        <v>0</v>
      </c>
      <c r="U545" s="314">
        <v>0</v>
      </c>
      <c r="V545" s="380"/>
    </row>
    <row r="546" spans="1:22">
      <c r="A546" s="296" t="s">
        <v>54</v>
      </c>
      <c r="B546" s="246" t="s">
        <v>59</v>
      </c>
      <c r="C546" s="297">
        <v>0.91952435612310779</v>
      </c>
      <c r="D546" s="298">
        <v>0</v>
      </c>
      <c r="E546" s="298">
        <v>0.80427099725457352</v>
      </c>
      <c r="F546" s="298">
        <v>0</v>
      </c>
      <c r="G546" s="298">
        <v>0.86612954763317662</v>
      </c>
      <c r="H546" s="298">
        <v>0.76135313254024461</v>
      </c>
      <c r="I546" s="298">
        <v>0</v>
      </c>
      <c r="J546" s="307">
        <v>0.85560376844815356</v>
      </c>
      <c r="K546" s="307">
        <v>0.67668974770587254</v>
      </c>
      <c r="L546" s="298">
        <v>0</v>
      </c>
      <c r="M546" s="298">
        <v>0.54392742218115775</v>
      </c>
      <c r="N546" s="298">
        <v>0.6269728506455936</v>
      </c>
      <c r="O546" s="307">
        <v>0.61895307927405452</v>
      </c>
      <c r="P546" s="165">
        <v>0</v>
      </c>
      <c r="Q546" s="298">
        <v>0</v>
      </c>
      <c r="R546" s="307">
        <v>0</v>
      </c>
      <c r="S546" s="307">
        <v>0</v>
      </c>
      <c r="T546" s="307">
        <v>0</v>
      </c>
      <c r="U546" s="307">
        <v>0.79397312195742786</v>
      </c>
      <c r="V546" s="380"/>
    </row>
    <row r="547" spans="1:22">
      <c r="A547" s="166"/>
      <c r="B547" s="167" t="s">
        <v>60</v>
      </c>
      <c r="C547" s="168">
        <v>0.90833935765258522</v>
      </c>
      <c r="D547" s="169">
        <v>0</v>
      </c>
      <c r="E547" s="169">
        <v>0.79271872067241722</v>
      </c>
      <c r="F547" s="169">
        <v>0</v>
      </c>
      <c r="G547" s="169">
        <v>0.86875884715013429</v>
      </c>
      <c r="H547" s="169">
        <v>0.75051513512330414</v>
      </c>
      <c r="I547" s="169">
        <v>0</v>
      </c>
      <c r="J547" s="170">
        <v>0.84702827103634926</v>
      </c>
      <c r="K547" s="170">
        <v>0.84036589505748072</v>
      </c>
      <c r="L547" s="169">
        <v>0</v>
      </c>
      <c r="M547" s="169">
        <v>0.53999485963960359</v>
      </c>
      <c r="N547" s="169">
        <v>0.61119312108195734</v>
      </c>
      <c r="O547" s="170">
        <v>0.64846953665379303</v>
      </c>
      <c r="P547" s="170">
        <v>0</v>
      </c>
      <c r="Q547" s="169">
        <v>0</v>
      </c>
      <c r="R547" s="170">
        <v>0</v>
      </c>
      <c r="S547" s="170">
        <v>0</v>
      </c>
      <c r="T547" s="170">
        <v>0</v>
      </c>
      <c r="U547" s="170">
        <v>0.79876145760459749</v>
      </c>
      <c r="V547" s="380"/>
    </row>
    <row r="548" spans="1:22">
      <c r="A548" s="166"/>
      <c r="B548" s="199" t="s">
        <v>236</v>
      </c>
      <c r="C548" s="200">
        <v>-1.1184998470522567</v>
      </c>
      <c r="D548" s="201">
        <v>0</v>
      </c>
      <c r="E548" s="201">
        <v>-1.1552276582156296</v>
      </c>
      <c r="F548" s="201">
        <v>0</v>
      </c>
      <c r="G548" s="201">
        <v>0.26292995169576727</v>
      </c>
      <c r="H548" s="201">
        <v>-1.083799741694047</v>
      </c>
      <c r="I548" s="201">
        <v>0</v>
      </c>
      <c r="J548" s="202">
        <v>-0.85754974118043004</v>
      </c>
      <c r="K548" s="657">
        <v>16.367614735160817</v>
      </c>
      <c r="L548" s="201">
        <v>0</v>
      </c>
      <c r="M548" s="201">
        <v>-0.39325625415541632</v>
      </c>
      <c r="N548" s="201">
        <v>-1.5779729563636269</v>
      </c>
      <c r="O548" s="202">
        <v>2.9516457379738514</v>
      </c>
      <c r="P548" s="202">
        <v>0</v>
      </c>
      <c r="Q548" s="201">
        <v>0</v>
      </c>
      <c r="R548" s="202">
        <v>0</v>
      </c>
      <c r="S548" s="202">
        <v>0</v>
      </c>
      <c r="T548" s="202">
        <v>0</v>
      </c>
      <c r="U548" s="202">
        <v>0.47883356471696281</v>
      </c>
      <c r="V548" s="380"/>
    </row>
    <row r="549" spans="1:22">
      <c r="A549" s="166"/>
      <c r="B549" s="246" t="s">
        <v>61</v>
      </c>
      <c r="C549" s="297">
        <v>1.2001697874070355E-3</v>
      </c>
      <c r="D549" s="298">
        <v>0</v>
      </c>
      <c r="E549" s="298">
        <v>6.4823612921156307E-2</v>
      </c>
      <c r="F549" s="298">
        <v>0</v>
      </c>
      <c r="G549" s="298">
        <v>5.4909389692792257E-2</v>
      </c>
      <c r="H549" s="298">
        <v>7.4994297924444495E-2</v>
      </c>
      <c r="I549" s="298">
        <v>0</v>
      </c>
      <c r="J549" s="307">
        <v>3.7026381153725932E-2</v>
      </c>
      <c r="K549" s="307">
        <v>0.10443970577664902</v>
      </c>
      <c r="L549" s="298">
        <v>0</v>
      </c>
      <c r="M549" s="298">
        <v>0.25414980724503777</v>
      </c>
      <c r="N549" s="298">
        <v>0.16282288836320227</v>
      </c>
      <c r="O549" s="307">
        <v>0.17075601184328831</v>
      </c>
      <c r="P549" s="165">
        <v>0</v>
      </c>
      <c r="Q549" s="298">
        <v>0</v>
      </c>
      <c r="R549" s="307">
        <v>0</v>
      </c>
      <c r="S549" s="307">
        <v>0</v>
      </c>
      <c r="T549" s="307">
        <v>0</v>
      </c>
      <c r="U549" s="307">
        <v>7.185342358967832E-2</v>
      </c>
      <c r="V549" s="380"/>
    </row>
    <row r="550" spans="1:22">
      <c r="A550" s="166"/>
      <c r="B550" s="167" t="s">
        <v>62</v>
      </c>
      <c r="C550" s="168">
        <v>1.3573466198319589E-3</v>
      </c>
      <c r="D550" s="169">
        <v>0</v>
      </c>
      <c r="E550" s="169">
        <v>6.436271045753833E-2</v>
      </c>
      <c r="F550" s="169">
        <v>0</v>
      </c>
      <c r="G550" s="169">
        <v>4.6231475150943217E-2</v>
      </c>
      <c r="H550" s="169">
        <v>6.9085951741453766E-2</v>
      </c>
      <c r="I550" s="169">
        <v>0</v>
      </c>
      <c r="J550" s="170">
        <v>3.4080678220273816E-2</v>
      </c>
      <c r="K550" s="170">
        <v>0.10052021689466296</v>
      </c>
      <c r="L550" s="169">
        <v>0</v>
      </c>
      <c r="M550" s="169">
        <v>0.2382652235580813</v>
      </c>
      <c r="N550" s="169">
        <v>0.16890312425358961</v>
      </c>
      <c r="O550" s="170">
        <v>0.16854801430662097</v>
      </c>
      <c r="P550" s="170">
        <v>0</v>
      </c>
      <c r="Q550" s="169">
        <v>0</v>
      </c>
      <c r="R550" s="170">
        <v>0</v>
      </c>
      <c r="S550" s="170">
        <v>0</v>
      </c>
      <c r="T550" s="170">
        <v>0</v>
      </c>
      <c r="U550" s="170">
        <v>6.6767781327205011E-2</v>
      </c>
      <c r="V550" s="380"/>
    </row>
    <row r="551" spans="1:22">
      <c r="A551" s="166"/>
      <c r="B551" s="199" t="s">
        <v>63</v>
      </c>
      <c r="C551" s="200">
        <v>1.5717683242492345E-2</v>
      </c>
      <c r="D551" s="201">
        <v>0</v>
      </c>
      <c r="E551" s="201">
        <v>-4.6090246361797649E-2</v>
      </c>
      <c r="F551" s="201">
        <v>0</v>
      </c>
      <c r="G551" s="201">
        <v>-0.867791454184904</v>
      </c>
      <c r="H551" s="201">
        <v>-0.59083461829907291</v>
      </c>
      <c r="I551" s="201">
        <v>0</v>
      </c>
      <c r="J551" s="202">
        <v>-0.29457029334521156</v>
      </c>
      <c r="K551" s="202">
        <v>-0.39194888819860524</v>
      </c>
      <c r="L551" s="201">
        <v>0</v>
      </c>
      <c r="M551" s="201">
        <v>-1.588458368695647</v>
      </c>
      <c r="N551" s="201">
        <v>0.60802358903873366</v>
      </c>
      <c r="O551" s="202">
        <v>-0.22079975366673388</v>
      </c>
      <c r="P551" s="202">
        <v>0</v>
      </c>
      <c r="Q551" s="201">
        <v>0</v>
      </c>
      <c r="R551" s="202">
        <v>0</v>
      </c>
      <c r="S551" s="202">
        <v>0</v>
      </c>
      <c r="T551" s="202">
        <v>0</v>
      </c>
      <c r="U551" s="202">
        <v>-0.50856422624733089</v>
      </c>
      <c r="V551" s="380"/>
    </row>
    <row r="552" spans="1:22">
      <c r="A552" s="166"/>
      <c r="B552" s="246" t="s">
        <v>64</v>
      </c>
      <c r="C552" s="297">
        <v>7.6767522777817634E-2</v>
      </c>
      <c r="D552" s="298">
        <v>0</v>
      </c>
      <c r="E552" s="298">
        <v>0.13081525270317471</v>
      </c>
      <c r="F552" s="298">
        <v>0</v>
      </c>
      <c r="G552" s="298">
        <v>7.8961062674031135E-2</v>
      </c>
      <c r="H552" s="298">
        <v>0.15151615187928405</v>
      </c>
      <c r="I552" s="298">
        <v>0</v>
      </c>
      <c r="J552" s="307">
        <v>0.10350729187323333</v>
      </c>
      <c r="K552" s="307">
        <v>0.20650741548266527</v>
      </c>
      <c r="L552" s="298">
        <v>0</v>
      </c>
      <c r="M552" s="298">
        <v>0.16142033325899258</v>
      </c>
      <c r="N552" s="298">
        <v>0.1960583268029383</v>
      </c>
      <c r="O552" s="307">
        <v>0.19025429471919914</v>
      </c>
      <c r="P552" s="165">
        <v>0</v>
      </c>
      <c r="Q552" s="298">
        <v>0</v>
      </c>
      <c r="R552" s="307">
        <v>0</v>
      </c>
      <c r="S552" s="307">
        <v>0</v>
      </c>
      <c r="T552" s="307">
        <v>0</v>
      </c>
      <c r="U552" s="307">
        <v>0.12609870660854625</v>
      </c>
      <c r="V552" s="380"/>
    </row>
    <row r="553" spans="1:22">
      <c r="A553" s="166"/>
      <c r="B553" s="167" t="s">
        <v>65</v>
      </c>
      <c r="C553" s="168">
        <v>8.7200146383458674E-2</v>
      </c>
      <c r="D553" s="169">
        <v>0</v>
      </c>
      <c r="E553" s="169">
        <v>0.12505374776128889</v>
      </c>
      <c r="F553" s="169">
        <v>0</v>
      </c>
      <c r="G553" s="169">
        <v>8.5009677698922453E-2</v>
      </c>
      <c r="H553" s="169">
        <v>0.16459622473961835</v>
      </c>
      <c r="I553" s="169">
        <v>0</v>
      </c>
      <c r="J553" s="170">
        <v>0.11074920572371499</v>
      </c>
      <c r="K553" s="170">
        <v>5.1801491838925434E-2</v>
      </c>
      <c r="L553" s="169">
        <v>0</v>
      </c>
      <c r="M553" s="169">
        <v>0.17415350639213334</v>
      </c>
      <c r="N553" s="169">
        <v>0.20128118282306598</v>
      </c>
      <c r="O553" s="170">
        <v>0.1605042679146971</v>
      </c>
      <c r="P553" s="170">
        <v>0</v>
      </c>
      <c r="Q553" s="169">
        <v>0</v>
      </c>
      <c r="R553" s="170">
        <v>0</v>
      </c>
      <c r="S553" s="170">
        <v>0</v>
      </c>
      <c r="T553" s="170">
        <v>0</v>
      </c>
      <c r="U553" s="170">
        <v>0.12284395598249946</v>
      </c>
      <c r="V553" s="380"/>
    </row>
    <row r="554" spans="1:22">
      <c r="A554" s="166"/>
      <c r="B554" s="199" t="s">
        <v>66</v>
      </c>
      <c r="C554" s="200">
        <v>1.0432623605641038</v>
      </c>
      <c r="D554" s="201">
        <v>0</v>
      </c>
      <c r="E554" s="201">
        <v>-0.576150494188582</v>
      </c>
      <c r="F554" s="201">
        <v>0</v>
      </c>
      <c r="G554" s="201">
        <v>0.60486150248913184</v>
      </c>
      <c r="H554" s="201">
        <v>1.3080072860334302</v>
      </c>
      <c r="I554" s="201">
        <v>0</v>
      </c>
      <c r="J554" s="202">
        <v>0.72419138504816605</v>
      </c>
      <c r="K554" s="657">
        <v>-15.470592364373983</v>
      </c>
      <c r="L554" s="201">
        <v>0</v>
      </c>
      <c r="M554" s="201">
        <v>1.2733173133140763</v>
      </c>
      <c r="N554" s="201">
        <v>0.52228560201276752</v>
      </c>
      <c r="O554" s="202">
        <v>-2.9750026804502032</v>
      </c>
      <c r="P554" s="202">
        <v>0</v>
      </c>
      <c r="Q554" s="201">
        <v>0</v>
      </c>
      <c r="R554" s="202">
        <v>0</v>
      </c>
      <c r="S554" s="202">
        <v>0</v>
      </c>
      <c r="T554" s="202">
        <v>0</v>
      </c>
      <c r="U554" s="202">
        <v>-0.32547506260467846</v>
      </c>
      <c r="V554" s="380"/>
    </row>
    <row r="555" spans="1:22">
      <c r="A555" s="166"/>
      <c r="B555" s="246" t="s">
        <v>67</v>
      </c>
      <c r="C555" s="297">
        <v>2.9892149125953562E-6</v>
      </c>
      <c r="D555" s="298">
        <v>0</v>
      </c>
      <c r="E555" s="298">
        <v>9.013712109546648E-5</v>
      </c>
      <c r="F555" s="298">
        <v>0</v>
      </c>
      <c r="G555" s="298">
        <v>0</v>
      </c>
      <c r="H555" s="298">
        <v>1.2136417656026794E-2</v>
      </c>
      <c r="I555" s="298">
        <v>0</v>
      </c>
      <c r="J555" s="307">
        <v>2.7359229370502447E-3</v>
      </c>
      <c r="K555" s="307">
        <v>0</v>
      </c>
      <c r="L555" s="298">
        <v>0</v>
      </c>
      <c r="M555" s="298">
        <v>4.0263484882276102E-2</v>
      </c>
      <c r="N555" s="298">
        <v>1.4145934188265796E-2</v>
      </c>
      <c r="O555" s="307">
        <v>1.7024249724630184E-2</v>
      </c>
      <c r="P555" s="165">
        <v>0</v>
      </c>
      <c r="Q555" s="298">
        <v>0</v>
      </c>
      <c r="R555" s="307">
        <v>0</v>
      </c>
      <c r="S555" s="307">
        <v>0</v>
      </c>
      <c r="T555" s="307">
        <v>0</v>
      </c>
      <c r="U555" s="307">
        <v>6.4570142225333291E-3</v>
      </c>
      <c r="V555" s="380"/>
    </row>
    <row r="556" spans="1:22">
      <c r="A556" s="166"/>
      <c r="B556" s="167" t="s">
        <v>68</v>
      </c>
      <c r="C556" s="168">
        <v>0</v>
      </c>
      <c r="D556" s="169">
        <v>0</v>
      </c>
      <c r="E556" s="169">
        <v>1.7864821108755556E-2</v>
      </c>
      <c r="F556" s="169">
        <v>0</v>
      </c>
      <c r="G556" s="169">
        <v>0</v>
      </c>
      <c r="H556" s="169">
        <v>1.5802688395623776E-2</v>
      </c>
      <c r="I556" s="169">
        <v>0</v>
      </c>
      <c r="J556" s="170">
        <v>6.7263776349311905E-3</v>
      </c>
      <c r="K556" s="170">
        <v>0</v>
      </c>
      <c r="L556" s="169">
        <v>0</v>
      </c>
      <c r="M556" s="169">
        <v>4.7586410410181725E-2</v>
      </c>
      <c r="N556" s="169">
        <v>1.8622571841387062E-2</v>
      </c>
      <c r="O556" s="170">
        <v>2.0780388255619012E-2</v>
      </c>
      <c r="P556" s="170">
        <v>0</v>
      </c>
      <c r="Q556" s="169">
        <v>0</v>
      </c>
      <c r="R556" s="170">
        <v>0</v>
      </c>
      <c r="S556" s="170">
        <v>0</v>
      </c>
      <c r="T556" s="170">
        <v>0</v>
      </c>
      <c r="U556" s="170">
        <v>1.0142708378103929E-2</v>
      </c>
      <c r="V556" s="380"/>
    </row>
    <row r="557" spans="1:22">
      <c r="A557" s="166"/>
      <c r="B557" s="199" t="s">
        <v>69</v>
      </c>
      <c r="C557" s="200">
        <v>-2.9892149125953561E-4</v>
      </c>
      <c r="D557" s="201">
        <v>0</v>
      </c>
      <c r="E557" s="201">
        <v>1.7774683987660089</v>
      </c>
      <c r="F557" s="201">
        <v>0</v>
      </c>
      <c r="G557" s="201">
        <v>0</v>
      </c>
      <c r="H557" s="201">
        <v>0.36662707395969818</v>
      </c>
      <c r="I557" s="201">
        <v>0</v>
      </c>
      <c r="J557" s="202">
        <v>0.39904546978809458</v>
      </c>
      <c r="K557" s="202">
        <v>0</v>
      </c>
      <c r="L557" s="201">
        <v>0</v>
      </c>
      <c r="M557" s="201">
        <v>0.73229255279056227</v>
      </c>
      <c r="N557" s="201">
        <v>0.44766376531212659</v>
      </c>
      <c r="O557" s="202">
        <v>0.37561385309888284</v>
      </c>
      <c r="P557" s="202">
        <v>0</v>
      </c>
      <c r="Q557" s="201">
        <v>0</v>
      </c>
      <c r="R557" s="202">
        <v>0</v>
      </c>
      <c r="S557" s="202">
        <v>0</v>
      </c>
      <c r="T557" s="202">
        <v>0</v>
      </c>
      <c r="U557" s="202">
        <v>0.36856941555705997</v>
      </c>
      <c r="V557" s="380"/>
    </row>
    <row r="558" spans="1:22">
      <c r="A558" s="166"/>
      <c r="B558" s="246" t="s">
        <v>70</v>
      </c>
      <c r="C558" s="297">
        <v>2.5049620967549082E-3</v>
      </c>
      <c r="D558" s="298">
        <v>0</v>
      </c>
      <c r="E558" s="298">
        <v>0</v>
      </c>
      <c r="F558" s="298">
        <v>0</v>
      </c>
      <c r="G558" s="298">
        <v>0</v>
      </c>
      <c r="H558" s="298">
        <v>0</v>
      </c>
      <c r="I558" s="298">
        <v>0</v>
      </c>
      <c r="J558" s="307">
        <v>1.1266355878369067E-3</v>
      </c>
      <c r="K558" s="307">
        <v>1.2363131034813235E-2</v>
      </c>
      <c r="L558" s="298">
        <v>0</v>
      </c>
      <c r="M558" s="298">
        <v>2.3895243253576321E-4</v>
      </c>
      <c r="N558" s="298">
        <v>0</v>
      </c>
      <c r="O558" s="307">
        <v>3.0123644388278122E-3</v>
      </c>
      <c r="P558" s="165">
        <v>0</v>
      </c>
      <c r="Q558" s="298">
        <v>0</v>
      </c>
      <c r="R558" s="307">
        <v>0</v>
      </c>
      <c r="S558" s="307">
        <v>0</v>
      </c>
      <c r="T558" s="307">
        <v>0</v>
      </c>
      <c r="U558" s="307">
        <v>1.617733621814248E-3</v>
      </c>
      <c r="V558" s="380"/>
    </row>
    <row r="559" spans="1:22">
      <c r="A559" s="166"/>
      <c r="B559" s="167" t="s">
        <v>71</v>
      </c>
      <c r="C559" s="168">
        <v>3.1031493441241141E-3</v>
      </c>
      <c r="D559" s="169">
        <v>0</v>
      </c>
      <c r="E559" s="169">
        <v>0</v>
      </c>
      <c r="F559" s="169">
        <v>0</v>
      </c>
      <c r="G559" s="169">
        <v>0</v>
      </c>
      <c r="H559" s="169">
        <v>0</v>
      </c>
      <c r="I559" s="169">
        <v>0</v>
      </c>
      <c r="J559" s="170">
        <v>1.4154673847307396E-3</v>
      </c>
      <c r="K559" s="170">
        <v>7.3123962089308488E-3</v>
      </c>
      <c r="L559" s="169">
        <v>0</v>
      </c>
      <c r="M559" s="169">
        <v>0</v>
      </c>
      <c r="N559" s="169">
        <v>0</v>
      </c>
      <c r="O559" s="170">
        <v>1.697792869269949E-3</v>
      </c>
      <c r="P559" s="170">
        <v>0</v>
      </c>
      <c r="Q559" s="169">
        <v>0</v>
      </c>
      <c r="R559" s="170">
        <v>0</v>
      </c>
      <c r="S559" s="170">
        <v>0</v>
      </c>
      <c r="T559" s="170">
        <v>0</v>
      </c>
      <c r="U559" s="170">
        <v>1.4840967075941114E-3</v>
      </c>
      <c r="V559" s="380"/>
    </row>
    <row r="560" spans="1:22">
      <c r="A560" s="166"/>
      <c r="B560" s="199" t="s">
        <v>72</v>
      </c>
      <c r="C560" s="200">
        <v>5.9818724736920584E-2</v>
      </c>
      <c r="D560" s="201">
        <v>0</v>
      </c>
      <c r="E560" s="201">
        <v>0</v>
      </c>
      <c r="F560" s="201">
        <v>0</v>
      </c>
      <c r="G560" s="201">
        <v>0</v>
      </c>
      <c r="H560" s="201">
        <v>0</v>
      </c>
      <c r="I560" s="201">
        <v>0</v>
      </c>
      <c r="J560" s="202">
        <v>2.8883179689383285E-2</v>
      </c>
      <c r="K560" s="202">
        <v>-0.50507348258823859</v>
      </c>
      <c r="L560" s="201">
        <v>0</v>
      </c>
      <c r="M560" s="201">
        <v>-2.389524325357632E-2</v>
      </c>
      <c r="N560" s="201">
        <v>0</v>
      </c>
      <c r="O560" s="202">
        <v>-0.1314571569557863</v>
      </c>
      <c r="P560" s="202">
        <v>0</v>
      </c>
      <c r="Q560" s="201">
        <v>0</v>
      </c>
      <c r="R560" s="202">
        <v>0</v>
      </c>
      <c r="S560" s="202">
        <v>0</v>
      </c>
      <c r="T560" s="202">
        <v>0</v>
      </c>
      <c r="U560" s="202">
        <v>-1.3363691422013657E-2</v>
      </c>
      <c r="V560" s="380"/>
    </row>
    <row r="561" spans="1:22">
      <c r="A561" s="166"/>
      <c r="B561" s="246" t="s">
        <v>73</v>
      </c>
      <c r="C561" s="297">
        <v>0</v>
      </c>
      <c r="D561" s="298">
        <v>0</v>
      </c>
      <c r="E561" s="298">
        <v>0</v>
      </c>
      <c r="F561" s="298">
        <v>0</v>
      </c>
      <c r="G561" s="298">
        <v>0</v>
      </c>
      <c r="H561" s="298">
        <v>0</v>
      </c>
      <c r="I561" s="298">
        <v>0</v>
      </c>
      <c r="J561" s="307">
        <v>0</v>
      </c>
      <c r="K561" s="307">
        <v>0</v>
      </c>
      <c r="L561" s="298">
        <v>0</v>
      </c>
      <c r="M561" s="298">
        <v>0</v>
      </c>
      <c r="N561" s="298">
        <v>0</v>
      </c>
      <c r="O561" s="307">
        <v>0</v>
      </c>
      <c r="P561" s="165">
        <v>0</v>
      </c>
      <c r="Q561" s="298">
        <v>0</v>
      </c>
      <c r="R561" s="307">
        <v>0</v>
      </c>
      <c r="S561" s="307">
        <v>0</v>
      </c>
      <c r="T561" s="307">
        <v>0</v>
      </c>
      <c r="U561" s="307">
        <v>0</v>
      </c>
      <c r="V561" s="380"/>
    </row>
    <row r="562" spans="1:22">
      <c r="A562" s="166"/>
      <c r="B562" s="167" t="s">
        <v>74</v>
      </c>
      <c r="C562" s="168">
        <v>0</v>
      </c>
      <c r="D562" s="169">
        <v>0</v>
      </c>
      <c r="E562" s="169">
        <v>0</v>
      </c>
      <c r="F562" s="169">
        <v>0</v>
      </c>
      <c r="G562" s="169">
        <v>0</v>
      </c>
      <c r="H562" s="169">
        <v>0</v>
      </c>
      <c r="I562" s="169">
        <v>0</v>
      </c>
      <c r="J562" s="170">
        <v>0</v>
      </c>
      <c r="K562" s="170">
        <v>0</v>
      </c>
      <c r="L562" s="169">
        <v>0</v>
      </c>
      <c r="M562" s="169">
        <v>0</v>
      </c>
      <c r="N562" s="169">
        <v>0</v>
      </c>
      <c r="O562" s="170">
        <v>0</v>
      </c>
      <c r="P562" s="170">
        <v>0</v>
      </c>
      <c r="Q562" s="169">
        <v>0</v>
      </c>
      <c r="R562" s="170">
        <v>0</v>
      </c>
      <c r="S562" s="170">
        <v>0</v>
      </c>
      <c r="T562" s="170">
        <v>0</v>
      </c>
      <c r="U562" s="170">
        <v>0</v>
      </c>
      <c r="V562" s="380"/>
    </row>
    <row r="563" spans="1:22" ht="15.75" thickBot="1">
      <c r="A563" s="166"/>
      <c r="B563" s="303" t="s">
        <v>75</v>
      </c>
      <c r="C563" s="304">
        <v>0</v>
      </c>
      <c r="D563" s="305">
        <v>0</v>
      </c>
      <c r="E563" s="305">
        <v>0</v>
      </c>
      <c r="F563" s="305">
        <v>0</v>
      </c>
      <c r="G563" s="305">
        <v>0</v>
      </c>
      <c r="H563" s="305">
        <v>0</v>
      </c>
      <c r="I563" s="305">
        <v>0</v>
      </c>
      <c r="J563" s="308">
        <v>0</v>
      </c>
      <c r="K563" s="308">
        <v>0</v>
      </c>
      <c r="L563" s="305">
        <v>0</v>
      </c>
      <c r="M563" s="305">
        <v>0</v>
      </c>
      <c r="N563" s="305">
        <v>0</v>
      </c>
      <c r="O563" s="308">
        <v>0</v>
      </c>
      <c r="P563" s="308">
        <v>0</v>
      </c>
      <c r="Q563" s="305">
        <v>0</v>
      </c>
      <c r="R563" s="308">
        <v>0</v>
      </c>
      <c r="S563" s="308">
        <v>0</v>
      </c>
      <c r="T563" s="308">
        <v>0</v>
      </c>
      <c r="U563" s="308">
        <v>0</v>
      </c>
      <c r="V563" s="380"/>
    </row>
    <row r="564" spans="1:22" ht="15.75" thickTop="1">
      <c r="A564" s="166"/>
      <c r="B564" s="167" t="s">
        <v>76</v>
      </c>
      <c r="C564" s="168">
        <v>0.65996532799524932</v>
      </c>
      <c r="D564" s="169">
        <v>0</v>
      </c>
      <c r="E564" s="169">
        <v>0.34576381482619623</v>
      </c>
      <c r="F564" s="169">
        <v>0</v>
      </c>
      <c r="G564" s="169">
        <v>0.57079545454545455</v>
      </c>
      <c r="H564" s="169">
        <v>0.39376218323586742</v>
      </c>
      <c r="I564" s="169">
        <v>0</v>
      </c>
      <c r="J564" s="170">
        <v>0.54394077474375846</v>
      </c>
      <c r="K564" s="170">
        <v>0</v>
      </c>
      <c r="L564" s="169">
        <v>0</v>
      </c>
      <c r="M564" s="169">
        <v>0</v>
      </c>
      <c r="N564" s="169">
        <v>0</v>
      </c>
      <c r="O564" s="170">
        <v>0</v>
      </c>
      <c r="P564" s="170">
        <v>0</v>
      </c>
      <c r="Q564" s="169">
        <v>0</v>
      </c>
      <c r="R564" s="170">
        <v>0</v>
      </c>
      <c r="S564" s="170">
        <v>0</v>
      </c>
      <c r="T564" s="170">
        <v>0</v>
      </c>
      <c r="U564" s="170">
        <v>0.54394077474375846</v>
      </c>
      <c r="V564" s="380"/>
    </row>
    <row r="565" spans="1:22">
      <c r="A565" s="166"/>
      <c r="B565" s="167" t="s">
        <v>77</v>
      </c>
      <c r="C565" s="168">
        <v>0.66354199920674073</v>
      </c>
      <c r="D565" s="169">
        <v>0</v>
      </c>
      <c r="E565" s="169">
        <v>0.39377819675442732</v>
      </c>
      <c r="F565" s="169">
        <v>0</v>
      </c>
      <c r="G565" s="169">
        <v>0.52980678605089537</v>
      </c>
      <c r="H565" s="169">
        <v>0.32728054152788222</v>
      </c>
      <c r="I565" s="169">
        <v>0</v>
      </c>
      <c r="J565" s="170">
        <v>0.5511768289306086</v>
      </c>
      <c r="K565" s="170">
        <v>0</v>
      </c>
      <c r="L565" s="169">
        <v>0</v>
      </c>
      <c r="M565" s="169">
        <v>0</v>
      </c>
      <c r="N565" s="169">
        <v>0</v>
      </c>
      <c r="O565" s="170">
        <v>0</v>
      </c>
      <c r="P565" s="170">
        <v>0</v>
      </c>
      <c r="Q565" s="169">
        <v>0</v>
      </c>
      <c r="R565" s="170">
        <v>0</v>
      </c>
      <c r="S565" s="170">
        <v>0</v>
      </c>
      <c r="T565" s="170">
        <v>0</v>
      </c>
      <c r="U565" s="170">
        <v>0.55116767180032455</v>
      </c>
      <c r="V565" s="380"/>
    </row>
    <row r="566" spans="1:22">
      <c r="A566" s="166"/>
      <c r="B566" s="199" t="s">
        <v>78</v>
      </c>
      <c r="C566" s="200">
        <v>0.35766712114914112</v>
      </c>
      <c r="D566" s="201">
        <v>0</v>
      </c>
      <c r="E566" s="656">
        <v>4.8014381928231096</v>
      </c>
      <c r="F566" s="201">
        <v>0</v>
      </c>
      <c r="G566" s="656">
        <v>-4.0988668494559182</v>
      </c>
      <c r="H566" s="656">
        <v>-6.6481641707985206</v>
      </c>
      <c r="I566" s="201">
        <v>0</v>
      </c>
      <c r="J566" s="202">
        <v>0.72360541868501382</v>
      </c>
      <c r="K566" s="202">
        <v>0</v>
      </c>
      <c r="L566" s="201">
        <v>0</v>
      </c>
      <c r="M566" s="201">
        <v>0</v>
      </c>
      <c r="N566" s="201">
        <v>0</v>
      </c>
      <c r="O566" s="202">
        <v>0</v>
      </c>
      <c r="P566" s="202">
        <v>0</v>
      </c>
      <c r="Q566" s="201">
        <v>0</v>
      </c>
      <c r="R566" s="202">
        <v>0</v>
      </c>
      <c r="S566" s="202">
        <v>0</v>
      </c>
      <c r="T566" s="202">
        <v>0</v>
      </c>
      <c r="U566" s="202">
        <v>0.7226897056566095</v>
      </c>
      <c r="V566" s="380"/>
    </row>
    <row r="567" spans="1:22">
      <c r="A567" s="166"/>
      <c r="B567" s="246" t="s">
        <v>79</v>
      </c>
      <c r="C567" s="297">
        <v>5.1500378327123661E-2</v>
      </c>
      <c r="D567" s="298">
        <v>0</v>
      </c>
      <c r="E567" s="298">
        <v>0.3583268559859728</v>
      </c>
      <c r="F567" s="298">
        <v>0</v>
      </c>
      <c r="G567" s="298">
        <v>0</v>
      </c>
      <c r="H567" s="298">
        <v>0.13157894736842105</v>
      </c>
      <c r="I567" s="298">
        <v>0</v>
      </c>
      <c r="J567" s="307">
        <v>0.14859756303371924</v>
      </c>
      <c r="K567" s="307">
        <v>0</v>
      </c>
      <c r="L567" s="298">
        <v>0</v>
      </c>
      <c r="M567" s="298">
        <v>0</v>
      </c>
      <c r="N567" s="298">
        <v>0</v>
      </c>
      <c r="O567" s="307">
        <v>0</v>
      </c>
      <c r="P567" s="165">
        <v>0</v>
      </c>
      <c r="Q567" s="298">
        <v>0</v>
      </c>
      <c r="R567" s="307">
        <v>0</v>
      </c>
      <c r="S567" s="307">
        <v>0</v>
      </c>
      <c r="T567" s="307">
        <v>0</v>
      </c>
      <c r="U567" s="307">
        <v>0.14859756303371924</v>
      </c>
      <c r="V567" s="380"/>
    </row>
    <row r="568" spans="1:22">
      <c r="A568" s="166"/>
      <c r="B568" s="167" t="s">
        <v>80</v>
      </c>
      <c r="C568" s="168">
        <v>6.2183784620444806E-2</v>
      </c>
      <c r="D568" s="169">
        <v>0</v>
      </c>
      <c r="E568" s="169">
        <v>0.30454178169820212</v>
      </c>
      <c r="F568" s="169">
        <v>0</v>
      </c>
      <c r="G568" s="169">
        <v>0</v>
      </c>
      <c r="H568" s="169">
        <v>0.1592349844203288</v>
      </c>
      <c r="I568" s="169">
        <v>0</v>
      </c>
      <c r="J568" s="170">
        <v>0.14399401894002326</v>
      </c>
      <c r="K568" s="170">
        <v>0</v>
      </c>
      <c r="L568" s="169">
        <v>0</v>
      </c>
      <c r="M568" s="169">
        <v>0</v>
      </c>
      <c r="N568" s="169">
        <v>0</v>
      </c>
      <c r="O568" s="170">
        <v>0</v>
      </c>
      <c r="P568" s="170">
        <v>0</v>
      </c>
      <c r="Q568" s="169">
        <v>0</v>
      </c>
      <c r="R568" s="170">
        <v>0</v>
      </c>
      <c r="S568" s="170">
        <v>0</v>
      </c>
      <c r="T568" s="170">
        <v>0</v>
      </c>
      <c r="U568" s="170">
        <v>0.14399162665514778</v>
      </c>
      <c r="V568" s="380"/>
    </row>
    <row r="569" spans="1:22">
      <c r="A569" s="166"/>
      <c r="B569" s="199" t="s">
        <v>81</v>
      </c>
      <c r="C569" s="200">
        <v>1.0683406293321145</v>
      </c>
      <c r="D569" s="201">
        <v>0</v>
      </c>
      <c r="E569" s="656">
        <v>-5.378507428777068</v>
      </c>
      <c r="F569" s="201">
        <v>0</v>
      </c>
      <c r="G569" s="201">
        <v>0</v>
      </c>
      <c r="H569" s="201">
        <v>2.7656037051907751</v>
      </c>
      <c r="I569" s="201">
        <v>0</v>
      </c>
      <c r="J569" s="202">
        <v>-0.46035440936959826</v>
      </c>
      <c r="K569" s="202">
        <v>0</v>
      </c>
      <c r="L569" s="201">
        <v>0</v>
      </c>
      <c r="M569" s="201">
        <v>0</v>
      </c>
      <c r="N569" s="201">
        <v>0</v>
      </c>
      <c r="O569" s="202">
        <v>0</v>
      </c>
      <c r="P569" s="202">
        <v>0</v>
      </c>
      <c r="Q569" s="201">
        <v>0</v>
      </c>
      <c r="R569" s="202">
        <v>0</v>
      </c>
      <c r="S569" s="202">
        <v>0</v>
      </c>
      <c r="T569" s="202">
        <v>0</v>
      </c>
      <c r="U569" s="202">
        <v>-0.46059363785714569</v>
      </c>
      <c r="V569" s="380"/>
    </row>
    <row r="570" spans="1:22">
      <c r="A570" s="166"/>
      <c r="B570" s="246" t="s">
        <v>82</v>
      </c>
      <c r="C570" s="297">
        <v>0.27921499516315956</v>
      </c>
      <c r="D570" s="298">
        <v>0</v>
      </c>
      <c r="E570" s="298">
        <v>0.28974530467634352</v>
      </c>
      <c r="F570" s="298">
        <v>0</v>
      </c>
      <c r="G570" s="298">
        <v>0.42920454545454545</v>
      </c>
      <c r="H570" s="298">
        <v>0.4746588693957115</v>
      </c>
      <c r="I570" s="298">
        <v>0</v>
      </c>
      <c r="J570" s="307">
        <v>0.30006975619086196</v>
      </c>
      <c r="K570" s="307">
        <v>0</v>
      </c>
      <c r="L570" s="298">
        <v>0</v>
      </c>
      <c r="M570" s="298">
        <v>0</v>
      </c>
      <c r="N570" s="298">
        <v>0</v>
      </c>
      <c r="O570" s="307">
        <v>0</v>
      </c>
      <c r="P570" s="165">
        <v>0</v>
      </c>
      <c r="Q570" s="298">
        <v>0</v>
      </c>
      <c r="R570" s="307">
        <v>0</v>
      </c>
      <c r="S570" s="307">
        <v>0</v>
      </c>
      <c r="T570" s="307">
        <v>0</v>
      </c>
      <c r="U570" s="307">
        <v>0.30006975619086196</v>
      </c>
      <c r="V570" s="380"/>
    </row>
    <row r="571" spans="1:22">
      <c r="A571" s="166"/>
      <c r="B571" s="167" t="s">
        <v>83</v>
      </c>
      <c r="C571" s="168">
        <v>0.2678507511777965</v>
      </c>
      <c r="D571" s="169">
        <v>0</v>
      </c>
      <c r="E571" s="169">
        <v>0.28080600632954011</v>
      </c>
      <c r="F571" s="169">
        <v>0</v>
      </c>
      <c r="G571" s="169">
        <v>0.47019321394910463</v>
      </c>
      <c r="H571" s="169">
        <v>0.51348447405178899</v>
      </c>
      <c r="I571" s="169">
        <v>0</v>
      </c>
      <c r="J571" s="170">
        <v>0.29428476491111483</v>
      </c>
      <c r="K571" s="170">
        <v>0</v>
      </c>
      <c r="L571" s="169">
        <v>0</v>
      </c>
      <c r="M571" s="169">
        <v>1</v>
      </c>
      <c r="N571" s="169">
        <v>0</v>
      </c>
      <c r="O571" s="170">
        <v>1</v>
      </c>
      <c r="P571" s="170">
        <v>0</v>
      </c>
      <c r="Q571" s="169">
        <v>0</v>
      </c>
      <c r="R571" s="170">
        <v>0</v>
      </c>
      <c r="S571" s="170">
        <v>0</v>
      </c>
      <c r="T571" s="170">
        <v>0</v>
      </c>
      <c r="U571" s="170">
        <v>0.29429648950839826</v>
      </c>
      <c r="V571" s="380"/>
    </row>
    <row r="572" spans="1:22">
      <c r="A572" s="166"/>
      <c r="B572" s="199" t="s">
        <v>84</v>
      </c>
      <c r="C572" s="200">
        <v>-1.1364243985363065</v>
      </c>
      <c r="D572" s="201">
        <v>0</v>
      </c>
      <c r="E572" s="201">
        <v>-0.89392983468034037</v>
      </c>
      <c r="F572" s="201">
        <v>0</v>
      </c>
      <c r="G572" s="656">
        <v>4.0988668494559182</v>
      </c>
      <c r="H572" s="201">
        <v>3.8825604656077486</v>
      </c>
      <c r="I572" s="201">
        <v>0</v>
      </c>
      <c r="J572" s="202">
        <v>-0.57849912797471315</v>
      </c>
      <c r="K572" s="202">
        <v>0</v>
      </c>
      <c r="L572" s="201">
        <v>0</v>
      </c>
      <c r="M572" s="201">
        <v>0</v>
      </c>
      <c r="N572" s="201">
        <v>0</v>
      </c>
      <c r="O572" s="202">
        <v>0</v>
      </c>
      <c r="P572" s="202">
        <v>0</v>
      </c>
      <c r="Q572" s="201">
        <v>0</v>
      </c>
      <c r="R572" s="202">
        <v>0</v>
      </c>
      <c r="S572" s="202">
        <v>0</v>
      </c>
      <c r="T572" s="202">
        <v>0</v>
      </c>
      <c r="U572" s="202">
        <v>-0.57732666824636958</v>
      </c>
      <c r="V572" s="380"/>
    </row>
    <row r="573" spans="1:22">
      <c r="A573" s="166"/>
      <c r="B573" s="246" t="s">
        <v>85</v>
      </c>
      <c r="C573" s="297">
        <v>5.5072935722700585E-3</v>
      </c>
      <c r="D573" s="298">
        <v>0</v>
      </c>
      <c r="E573" s="298">
        <v>6.1640245114875005E-3</v>
      </c>
      <c r="F573" s="298">
        <v>0</v>
      </c>
      <c r="G573" s="298">
        <v>0</v>
      </c>
      <c r="H573" s="298">
        <v>0</v>
      </c>
      <c r="I573" s="298">
        <v>0</v>
      </c>
      <c r="J573" s="307">
        <v>5.1529573249625904E-3</v>
      </c>
      <c r="K573" s="307">
        <v>0</v>
      </c>
      <c r="L573" s="298">
        <v>0</v>
      </c>
      <c r="M573" s="298">
        <v>0</v>
      </c>
      <c r="N573" s="298">
        <v>0</v>
      </c>
      <c r="O573" s="307">
        <v>0</v>
      </c>
      <c r="P573" s="165">
        <v>0</v>
      </c>
      <c r="Q573" s="298">
        <v>0</v>
      </c>
      <c r="R573" s="307">
        <v>0</v>
      </c>
      <c r="S573" s="307">
        <v>0</v>
      </c>
      <c r="T573" s="307">
        <v>0</v>
      </c>
      <c r="U573" s="307">
        <v>5.1529573249625904E-3</v>
      </c>
      <c r="V573" s="380"/>
    </row>
    <row r="574" spans="1:22">
      <c r="A574" s="166"/>
      <c r="B574" s="167" t="s">
        <v>86</v>
      </c>
      <c r="C574" s="168">
        <v>3.8598833328496386E-3</v>
      </c>
      <c r="D574" s="169">
        <v>0</v>
      </c>
      <c r="E574" s="169">
        <v>2.0874015217830451E-2</v>
      </c>
      <c r="F574" s="169">
        <v>0</v>
      </c>
      <c r="G574" s="169">
        <v>0</v>
      </c>
      <c r="H574" s="169">
        <v>0</v>
      </c>
      <c r="I574" s="169">
        <v>0</v>
      </c>
      <c r="J574" s="170">
        <v>9.0768123165531379E-3</v>
      </c>
      <c r="K574" s="170">
        <v>0</v>
      </c>
      <c r="L574" s="169">
        <v>0</v>
      </c>
      <c r="M574" s="169">
        <v>0</v>
      </c>
      <c r="N574" s="169">
        <v>0</v>
      </c>
      <c r="O574" s="170">
        <v>0</v>
      </c>
      <c r="P574" s="170">
        <v>0</v>
      </c>
      <c r="Q574" s="169">
        <v>0</v>
      </c>
      <c r="R574" s="170">
        <v>0</v>
      </c>
      <c r="S574" s="170">
        <v>0</v>
      </c>
      <c r="T574" s="170">
        <v>0</v>
      </c>
      <c r="U574" s="170">
        <v>9.0766615163950307E-3</v>
      </c>
      <c r="V574" s="380"/>
    </row>
    <row r="575" spans="1:22">
      <c r="A575" s="166"/>
      <c r="B575" s="199" t="s">
        <v>87</v>
      </c>
      <c r="C575" s="200">
        <v>-0.16474102394204199</v>
      </c>
      <c r="D575" s="201">
        <v>0</v>
      </c>
      <c r="E575" s="201">
        <v>1.470999070634295</v>
      </c>
      <c r="F575" s="201">
        <v>0</v>
      </c>
      <c r="G575" s="201">
        <v>0</v>
      </c>
      <c r="H575" s="201">
        <v>0</v>
      </c>
      <c r="I575" s="201">
        <v>0</v>
      </c>
      <c r="J575" s="202">
        <v>0.39238549915905474</v>
      </c>
      <c r="K575" s="202">
        <v>0</v>
      </c>
      <c r="L575" s="201">
        <v>0</v>
      </c>
      <c r="M575" s="201">
        <v>0</v>
      </c>
      <c r="N575" s="201">
        <v>0</v>
      </c>
      <c r="O575" s="202">
        <v>0</v>
      </c>
      <c r="P575" s="202">
        <v>0</v>
      </c>
      <c r="Q575" s="201">
        <v>0</v>
      </c>
      <c r="R575" s="202">
        <v>0</v>
      </c>
      <c r="S575" s="202">
        <v>0</v>
      </c>
      <c r="T575" s="202">
        <v>0</v>
      </c>
      <c r="U575" s="202">
        <v>0.39237041914324405</v>
      </c>
      <c r="V575" s="380"/>
    </row>
    <row r="576" spans="1:22">
      <c r="A576" s="166"/>
      <c r="B576" s="246" t="s">
        <v>88</v>
      </c>
      <c r="C576" s="297">
        <v>3.8120049421973621E-3</v>
      </c>
      <c r="D576" s="298">
        <v>0</v>
      </c>
      <c r="E576" s="298">
        <v>0</v>
      </c>
      <c r="F576" s="298">
        <v>0</v>
      </c>
      <c r="G576" s="298">
        <v>0</v>
      </c>
      <c r="H576" s="298">
        <v>0</v>
      </c>
      <c r="I576" s="298">
        <v>0</v>
      </c>
      <c r="J576" s="307">
        <v>2.2389487066977196E-3</v>
      </c>
      <c r="K576" s="307">
        <v>0</v>
      </c>
      <c r="L576" s="298">
        <v>0</v>
      </c>
      <c r="M576" s="298">
        <v>0</v>
      </c>
      <c r="N576" s="298">
        <v>0</v>
      </c>
      <c r="O576" s="307">
        <v>0</v>
      </c>
      <c r="P576" s="165">
        <v>0</v>
      </c>
      <c r="Q576" s="298">
        <v>0</v>
      </c>
      <c r="R576" s="307">
        <v>0</v>
      </c>
      <c r="S576" s="307">
        <v>0</v>
      </c>
      <c r="T576" s="307">
        <v>0</v>
      </c>
      <c r="U576" s="307">
        <v>2.2389487066977196E-3</v>
      </c>
      <c r="V576" s="380"/>
    </row>
    <row r="577" spans="1:22">
      <c r="A577" s="166"/>
      <c r="B577" s="167" t="s">
        <v>89</v>
      </c>
      <c r="C577" s="168">
        <v>2.5635816621683064E-3</v>
      </c>
      <c r="D577" s="169">
        <v>0</v>
      </c>
      <c r="E577" s="169">
        <v>0</v>
      </c>
      <c r="F577" s="169">
        <v>0</v>
      </c>
      <c r="G577" s="169">
        <v>0</v>
      </c>
      <c r="H577" s="169">
        <v>0</v>
      </c>
      <c r="I577" s="169">
        <v>0</v>
      </c>
      <c r="J577" s="170">
        <v>1.4675749017001717E-3</v>
      </c>
      <c r="K577" s="170">
        <v>0</v>
      </c>
      <c r="L577" s="169">
        <v>0</v>
      </c>
      <c r="M577" s="169">
        <v>0</v>
      </c>
      <c r="N577" s="169">
        <v>0</v>
      </c>
      <c r="O577" s="170">
        <v>0</v>
      </c>
      <c r="P577" s="170">
        <v>0</v>
      </c>
      <c r="Q577" s="169">
        <v>0</v>
      </c>
      <c r="R577" s="170">
        <v>0</v>
      </c>
      <c r="S577" s="170">
        <v>0</v>
      </c>
      <c r="T577" s="170">
        <v>0</v>
      </c>
      <c r="U577" s="170">
        <v>1.4675505197344011E-3</v>
      </c>
      <c r="V577" s="380"/>
    </row>
    <row r="578" spans="1:22">
      <c r="A578" s="166"/>
      <c r="B578" s="199" t="s">
        <v>90</v>
      </c>
      <c r="C578" s="200">
        <v>-0.12484232800290557</v>
      </c>
      <c r="D578" s="201">
        <v>0</v>
      </c>
      <c r="E578" s="201">
        <v>0</v>
      </c>
      <c r="F578" s="201">
        <v>0</v>
      </c>
      <c r="G578" s="201">
        <v>0</v>
      </c>
      <c r="H578" s="201">
        <v>0</v>
      </c>
      <c r="I578" s="201">
        <v>0</v>
      </c>
      <c r="J578" s="202">
        <v>-7.7137380499754785E-2</v>
      </c>
      <c r="K578" s="202">
        <v>0</v>
      </c>
      <c r="L578" s="201">
        <v>0</v>
      </c>
      <c r="M578" s="201">
        <v>0</v>
      </c>
      <c r="N578" s="201">
        <v>0</v>
      </c>
      <c r="O578" s="202">
        <v>0</v>
      </c>
      <c r="P578" s="202">
        <v>0</v>
      </c>
      <c r="Q578" s="201">
        <v>0</v>
      </c>
      <c r="R578" s="202">
        <v>0</v>
      </c>
      <c r="S578" s="202">
        <v>0</v>
      </c>
      <c r="T578" s="202">
        <v>0</v>
      </c>
      <c r="U578" s="202">
        <v>-7.7139818696331852E-2</v>
      </c>
      <c r="V578" s="380"/>
    </row>
    <row r="579" spans="1:22">
      <c r="A579" s="166"/>
      <c r="B579" s="246" t="s">
        <v>91</v>
      </c>
      <c r="C579" s="297">
        <v>0</v>
      </c>
      <c r="D579" s="298">
        <v>0</v>
      </c>
      <c r="E579" s="298">
        <v>0</v>
      </c>
      <c r="F579" s="298">
        <v>0</v>
      </c>
      <c r="G579" s="298">
        <v>0</v>
      </c>
      <c r="H579" s="298">
        <v>0</v>
      </c>
      <c r="I579" s="298">
        <v>0</v>
      </c>
      <c r="J579" s="307">
        <v>0</v>
      </c>
      <c r="K579" s="307">
        <v>0</v>
      </c>
      <c r="L579" s="298">
        <v>0</v>
      </c>
      <c r="M579" s="298">
        <v>0</v>
      </c>
      <c r="N579" s="298">
        <v>0</v>
      </c>
      <c r="O579" s="307">
        <v>0</v>
      </c>
      <c r="P579" s="165">
        <v>0</v>
      </c>
      <c r="Q579" s="298">
        <v>0</v>
      </c>
      <c r="R579" s="307">
        <v>0</v>
      </c>
      <c r="S579" s="307">
        <v>0</v>
      </c>
      <c r="T579" s="307">
        <v>0</v>
      </c>
      <c r="U579" s="307">
        <v>0</v>
      </c>
      <c r="V579" s="380"/>
    </row>
    <row r="580" spans="1:22">
      <c r="A580" s="166"/>
      <c r="B580" s="167" t="s">
        <v>92</v>
      </c>
      <c r="C580" s="168">
        <v>0</v>
      </c>
      <c r="D580" s="169">
        <v>0</v>
      </c>
      <c r="E580" s="169">
        <v>0</v>
      </c>
      <c r="F580" s="169">
        <v>0</v>
      </c>
      <c r="G580" s="169">
        <v>0</v>
      </c>
      <c r="H580" s="169">
        <v>0</v>
      </c>
      <c r="I580" s="169">
        <v>0</v>
      </c>
      <c r="J580" s="170">
        <v>0</v>
      </c>
      <c r="K580" s="170">
        <v>0</v>
      </c>
      <c r="L580" s="169">
        <v>0</v>
      </c>
      <c r="M580" s="169">
        <v>0</v>
      </c>
      <c r="N580" s="169">
        <v>0</v>
      </c>
      <c r="O580" s="170">
        <v>0</v>
      </c>
      <c r="P580" s="170">
        <v>0</v>
      </c>
      <c r="Q580" s="169">
        <v>0</v>
      </c>
      <c r="R580" s="170">
        <v>0</v>
      </c>
      <c r="S580" s="170">
        <v>0</v>
      </c>
      <c r="T580" s="170">
        <v>0</v>
      </c>
      <c r="U580" s="170">
        <v>0</v>
      </c>
      <c r="V580" s="380"/>
    </row>
    <row r="581" spans="1:22" ht="15.75" thickBot="1">
      <c r="A581" s="310"/>
      <c r="B581" s="311" t="s">
        <v>93</v>
      </c>
      <c r="C581" s="312">
        <v>0</v>
      </c>
      <c r="D581" s="313">
        <v>0</v>
      </c>
      <c r="E581" s="313">
        <v>0</v>
      </c>
      <c r="F581" s="313">
        <v>0</v>
      </c>
      <c r="G581" s="313">
        <v>0</v>
      </c>
      <c r="H581" s="313">
        <v>0</v>
      </c>
      <c r="I581" s="313">
        <v>0</v>
      </c>
      <c r="J581" s="314">
        <v>0</v>
      </c>
      <c r="K581" s="314">
        <v>0</v>
      </c>
      <c r="L581" s="313">
        <v>0</v>
      </c>
      <c r="M581" s="313">
        <v>0</v>
      </c>
      <c r="N581" s="313">
        <v>0</v>
      </c>
      <c r="O581" s="314">
        <v>0</v>
      </c>
      <c r="P581" s="314">
        <v>0</v>
      </c>
      <c r="Q581" s="313">
        <v>0</v>
      </c>
      <c r="R581" s="314">
        <v>0</v>
      </c>
      <c r="S581" s="314">
        <v>0</v>
      </c>
      <c r="T581" s="314">
        <v>0</v>
      </c>
      <c r="U581" s="314">
        <v>0</v>
      </c>
      <c r="V581" s="380"/>
    </row>
    <row r="582" spans="1:22">
      <c r="A582" s="296" t="s">
        <v>94</v>
      </c>
      <c r="B582" s="246"/>
      <c r="C582" s="297">
        <v>0.88105849296392102</v>
      </c>
      <c r="D582" s="298">
        <v>0.8703047500369786</v>
      </c>
      <c r="E582" s="298">
        <v>0.84858254232333385</v>
      </c>
      <c r="F582" s="298">
        <v>0.79657951421586282</v>
      </c>
      <c r="G582" s="298">
        <v>0.818242894583873</v>
      </c>
      <c r="H582" s="298">
        <v>0.82102895345010929</v>
      </c>
      <c r="I582" s="298">
        <v>7.6659585862833682E-2</v>
      </c>
      <c r="J582" s="307">
        <v>0.85319371831609436</v>
      </c>
      <c r="K582" s="307">
        <v>0.76393787572517236</v>
      </c>
      <c r="L582" s="298">
        <v>0.68618471838634298</v>
      </c>
      <c r="M582" s="298">
        <v>0.61692348106581851</v>
      </c>
      <c r="N582" s="298">
        <v>0.6372153620236336</v>
      </c>
      <c r="O582" s="307">
        <v>0.67961858968584254</v>
      </c>
      <c r="P582" s="165">
        <v>0.68465355087754098</v>
      </c>
      <c r="Q582" s="298">
        <v>0.88093721717561091</v>
      </c>
      <c r="R582" s="307">
        <v>0.68922822962881369</v>
      </c>
      <c r="S582" s="307">
        <v>0</v>
      </c>
      <c r="T582" s="307">
        <v>0</v>
      </c>
      <c r="U582" s="307">
        <v>0.76668341013938934</v>
      </c>
      <c r="V582" s="380"/>
    </row>
    <row r="583" spans="1:22">
      <c r="A583" s="166" t="s">
        <v>95</v>
      </c>
      <c r="B583" s="167"/>
      <c r="C583" s="168">
        <v>0.86357344809338688</v>
      </c>
      <c r="D583" s="169">
        <v>0.8651278943678784</v>
      </c>
      <c r="E583" s="169">
        <v>0.83909200127688843</v>
      </c>
      <c r="F583" s="169">
        <v>0.82083892255050195</v>
      </c>
      <c r="G583" s="169">
        <v>0.80944573032210276</v>
      </c>
      <c r="H583" s="169">
        <v>0.8208425846758477</v>
      </c>
      <c r="I583" s="169">
        <v>0.22213367545181809</v>
      </c>
      <c r="J583" s="170">
        <v>0.84145329997502349</v>
      </c>
      <c r="K583" s="170">
        <v>0.75774386330237309</v>
      </c>
      <c r="L583" s="169">
        <v>0.66981893565046802</v>
      </c>
      <c r="M583" s="169">
        <v>0.60090536405889305</v>
      </c>
      <c r="N583" s="169">
        <v>0.6171213751695801</v>
      </c>
      <c r="O583" s="170">
        <v>0.66486803459757027</v>
      </c>
      <c r="P583" s="170">
        <v>0.68898868544009706</v>
      </c>
      <c r="Q583" s="169">
        <v>0.88958180484225968</v>
      </c>
      <c r="R583" s="170">
        <v>0.6937817576435914</v>
      </c>
      <c r="S583" s="170">
        <v>0</v>
      </c>
      <c r="T583" s="170">
        <v>0</v>
      </c>
      <c r="U583" s="170">
        <v>0.7595936649022742</v>
      </c>
      <c r="V583" s="380"/>
    </row>
    <row r="584" spans="1:22">
      <c r="A584" s="166" t="s">
        <v>237</v>
      </c>
      <c r="B584" s="199"/>
      <c r="C584" s="200">
        <v>-1.748504487053415</v>
      </c>
      <c r="D584" s="201">
        <v>-0.51768556691001999</v>
      </c>
      <c r="E584" s="201">
        <v>-0.94905410464454221</v>
      </c>
      <c r="F584" s="201">
        <v>2.4259408334639132</v>
      </c>
      <c r="G584" s="201">
        <v>-0.87971642617702406</v>
      </c>
      <c r="H584" s="201">
        <v>-1.863687742615916E-2</v>
      </c>
      <c r="I584" s="201">
        <v>14.547408958898439</v>
      </c>
      <c r="J584" s="202">
        <v>-1.1740418341070868</v>
      </c>
      <c r="K584" s="202">
        <v>-0.61940124227992666</v>
      </c>
      <c r="L584" s="201">
        <v>-1.6365782735874967</v>
      </c>
      <c r="M584" s="201">
        <v>-1.6018117006925459</v>
      </c>
      <c r="N584" s="201">
        <v>-2.0093986854053503</v>
      </c>
      <c r="O584" s="202">
        <v>-1.4750555088272277</v>
      </c>
      <c r="P584" s="202">
        <v>0.43351345625560755</v>
      </c>
      <c r="Q584" s="201">
        <v>0.86445876666487731</v>
      </c>
      <c r="R584" s="202">
        <v>0.4553528014777708</v>
      </c>
      <c r="S584" s="202">
        <v>0</v>
      </c>
      <c r="T584" s="202">
        <v>0</v>
      </c>
      <c r="U584" s="202">
        <v>-0.70897452371151415</v>
      </c>
      <c r="V584" s="380"/>
    </row>
    <row r="585" spans="1:22">
      <c r="A585" s="166" t="s">
        <v>96</v>
      </c>
      <c r="B585" s="246"/>
      <c r="C585" s="297">
        <v>3.1261582676452404E-2</v>
      </c>
      <c r="D585" s="298">
        <v>2.2411138580203549E-2</v>
      </c>
      <c r="E585" s="298">
        <v>2.4693984692052792E-2</v>
      </c>
      <c r="F585" s="298">
        <v>2.2834404378722844E-2</v>
      </c>
      <c r="G585" s="298">
        <v>2.6695764794664435E-2</v>
      </c>
      <c r="H585" s="298">
        <v>3.4798390529176423E-2</v>
      </c>
      <c r="I585" s="298">
        <v>8.9857916662173763E-3</v>
      </c>
      <c r="J585" s="307">
        <v>2.7790379076687091E-2</v>
      </c>
      <c r="K585" s="307">
        <v>3.486975268100885E-2</v>
      </c>
      <c r="L585" s="298">
        <v>8.0923647675744836E-2</v>
      </c>
      <c r="M585" s="298">
        <v>0.12032378942187265</v>
      </c>
      <c r="N585" s="298">
        <v>9.0975675325507627E-2</v>
      </c>
      <c r="O585" s="307">
        <v>8.3031220633743713E-2</v>
      </c>
      <c r="P585" s="165">
        <v>9.7564545775949089E-3</v>
      </c>
      <c r="Q585" s="298">
        <v>4.3458586129453962E-2</v>
      </c>
      <c r="R585" s="307">
        <v>1.0541932187579832E-2</v>
      </c>
      <c r="S585" s="307">
        <v>0</v>
      </c>
      <c r="T585" s="307">
        <v>0</v>
      </c>
      <c r="U585" s="307">
        <v>5.3585879433089074E-2</v>
      </c>
      <c r="V585" s="380"/>
    </row>
    <row r="586" spans="1:22">
      <c r="A586" s="166" t="s">
        <v>97</v>
      </c>
      <c r="B586" s="167"/>
      <c r="C586" s="168">
        <v>2.934794888105844E-2</v>
      </c>
      <c r="D586" s="169">
        <v>2.5623841511613628E-2</v>
      </c>
      <c r="E586" s="169">
        <v>2.2213622224238169E-2</v>
      </c>
      <c r="F586" s="169">
        <v>2.1508207623313288E-2</v>
      </c>
      <c r="G586" s="169">
        <v>2.5119227257472173E-2</v>
      </c>
      <c r="H586" s="169">
        <v>3.8844911783713472E-2</v>
      </c>
      <c r="I586" s="169">
        <v>6.957808447755438E-3</v>
      </c>
      <c r="J586" s="170">
        <v>2.6309720932400034E-2</v>
      </c>
      <c r="K586" s="170">
        <v>3.3777878560835833E-2</v>
      </c>
      <c r="L586" s="169">
        <v>8.423039169777731E-2</v>
      </c>
      <c r="M586" s="169">
        <v>0.12424906159738842</v>
      </c>
      <c r="N586" s="169">
        <v>9.3821566938034159E-2</v>
      </c>
      <c r="O586" s="170">
        <v>8.573091717492641E-2</v>
      </c>
      <c r="P586" s="170">
        <v>7.096321608117559E-3</v>
      </c>
      <c r="Q586" s="169">
        <v>5.1235020787478602E-2</v>
      </c>
      <c r="R586" s="170">
        <v>8.150993736281878E-3</v>
      </c>
      <c r="S586" s="170">
        <v>0</v>
      </c>
      <c r="T586" s="170">
        <v>0</v>
      </c>
      <c r="U586" s="170">
        <v>5.2356463221019819E-2</v>
      </c>
      <c r="V586" s="380"/>
    </row>
    <row r="587" spans="1:22">
      <c r="A587" s="166" t="s">
        <v>98</v>
      </c>
      <c r="B587" s="199"/>
      <c r="C587" s="200">
        <v>-0.19136337953939639</v>
      </c>
      <c r="D587" s="201">
        <v>0.32127029314100786</v>
      </c>
      <c r="E587" s="201">
        <v>-0.24803624678146236</v>
      </c>
      <c r="F587" s="201">
        <v>-0.13261967554095561</v>
      </c>
      <c r="G587" s="201">
        <v>-0.15765375371922624</v>
      </c>
      <c r="H587" s="201">
        <v>0.40465212545370488</v>
      </c>
      <c r="I587" s="201">
        <v>-0.20279832184619384</v>
      </c>
      <c r="J587" s="202">
        <v>-0.14806581442870573</v>
      </c>
      <c r="K587" s="202">
        <v>-0.1091874120173017</v>
      </c>
      <c r="L587" s="201">
        <v>0.33067440220324734</v>
      </c>
      <c r="M587" s="201">
        <v>0.3925272175515776</v>
      </c>
      <c r="N587" s="201">
        <v>0.28458916125265327</v>
      </c>
      <c r="O587" s="202">
        <v>0.26996965411826973</v>
      </c>
      <c r="P587" s="202">
        <v>-0.26601329694773501</v>
      </c>
      <c r="Q587" s="201">
        <v>0.77764346580246402</v>
      </c>
      <c r="R587" s="202">
        <v>-0.23909384512979542</v>
      </c>
      <c r="S587" s="202">
        <v>0</v>
      </c>
      <c r="T587" s="202">
        <v>0</v>
      </c>
      <c r="U587" s="202">
        <v>-0.12294162120692551</v>
      </c>
      <c r="V587" s="380"/>
    </row>
    <row r="588" spans="1:22">
      <c r="A588" s="166" t="s">
        <v>99</v>
      </c>
      <c r="B588" s="246"/>
      <c r="C588" s="297">
        <v>8.1797471792824067E-2</v>
      </c>
      <c r="D588" s="298">
        <v>0.10371019480062284</v>
      </c>
      <c r="E588" s="298">
        <v>0.11295006925445616</v>
      </c>
      <c r="F588" s="298">
        <v>0.16936549228198652</v>
      </c>
      <c r="G588" s="298">
        <v>0.13966367187101644</v>
      </c>
      <c r="H588" s="298">
        <v>0.13863263587056643</v>
      </c>
      <c r="I588" s="298">
        <v>0.9143546224709489</v>
      </c>
      <c r="J588" s="307">
        <v>0.110399504991593</v>
      </c>
      <c r="K588" s="307">
        <v>0.19156339377528911</v>
      </c>
      <c r="L588" s="298">
        <v>0.22800665744106227</v>
      </c>
      <c r="M588" s="298">
        <v>0.24300527658054491</v>
      </c>
      <c r="N588" s="298">
        <v>0.25023561173184122</v>
      </c>
      <c r="O588" s="307">
        <v>0.22698973510513332</v>
      </c>
      <c r="P588" s="165">
        <v>0.30194017267664802</v>
      </c>
      <c r="Q588" s="298">
        <v>7.5604196694935136E-2</v>
      </c>
      <c r="R588" s="307">
        <v>0.29666508076757514</v>
      </c>
      <c r="S588" s="307">
        <v>0</v>
      </c>
      <c r="T588" s="307">
        <v>0</v>
      </c>
      <c r="U588" s="307">
        <v>0.17041263629553857</v>
      </c>
      <c r="V588" s="380"/>
    </row>
    <row r="589" spans="1:22">
      <c r="A589" s="166" t="s">
        <v>100</v>
      </c>
      <c r="B589" s="167"/>
      <c r="C589" s="168">
        <v>0.10095089362491085</v>
      </c>
      <c r="D589" s="169">
        <v>0.10614446950646218</v>
      </c>
      <c r="E589" s="169">
        <v>0.12593769078311531</v>
      </c>
      <c r="F589" s="169">
        <v>0.15458637898302774</v>
      </c>
      <c r="G589" s="169">
        <v>0.15227860023489165</v>
      </c>
      <c r="H589" s="169">
        <v>0.13564430684173087</v>
      </c>
      <c r="I589" s="169">
        <v>0.76709116644300412</v>
      </c>
      <c r="J589" s="170">
        <v>0.1243911549282582</v>
      </c>
      <c r="K589" s="170">
        <v>0.20375177409439568</v>
      </c>
      <c r="L589" s="169">
        <v>0.2417992299273756</v>
      </c>
      <c r="M589" s="169">
        <v>0.25537754978253002</v>
      </c>
      <c r="N589" s="169">
        <v>0.2652141807290973</v>
      </c>
      <c r="O589" s="170">
        <v>0.24017283866662364</v>
      </c>
      <c r="P589" s="170">
        <v>0.3007519022054615</v>
      </c>
      <c r="Q589" s="169">
        <v>5.9183174370261681E-2</v>
      </c>
      <c r="R589" s="170">
        <v>0.29497973834425217</v>
      </c>
      <c r="S589" s="170">
        <v>0</v>
      </c>
      <c r="T589" s="170">
        <v>0</v>
      </c>
      <c r="U589" s="170">
        <v>0.17969389180544196</v>
      </c>
      <c r="V589" s="380"/>
    </row>
    <row r="590" spans="1:22">
      <c r="A590" s="166" t="s">
        <v>101</v>
      </c>
      <c r="B590" s="199"/>
      <c r="C590" s="200">
        <v>1.9153421832086779</v>
      </c>
      <c r="D590" s="201">
        <v>0.24342747058393455</v>
      </c>
      <c r="E590" s="201">
        <v>1.298762152865915</v>
      </c>
      <c r="F590" s="201">
        <v>-1.4779113298958784</v>
      </c>
      <c r="G590" s="201">
        <v>1.2614928363875206</v>
      </c>
      <c r="H590" s="201">
        <v>-0.29883290288355568</v>
      </c>
      <c r="I590" s="201">
        <v>-14.726345602794478</v>
      </c>
      <c r="J590" s="202">
        <v>1.3991649936665198</v>
      </c>
      <c r="K590" s="202">
        <v>1.2188380319106573</v>
      </c>
      <c r="L590" s="201">
        <v>1.3792572486313326</v>
      </c>
      <c r="M590" s="201">
        <v>1.2372273201985111</v>
      </c>
      <c r="N590" s="201">
        <v>1.4978568997256081</v>
      </c>
      <c r="O590" s="202">
        <v>1.3183103561490328</v>
      </c>
      <c r="P590" s="202">
        <v>-0.11882704711865255</v>
      </c>
      <c r="Q590" s="201">
        <v>-1.6421022324673455</v>
      </c>
      <c r="R590" s="202">
        <v>-0.16853424233229664</v>
      </c>
      <c r="S590" s="202">
        <v>0</v>
      </c>
      <c r="T590" s="202">
        <v>0</v>
      </c>
      <c r="U590" s="202">
        <v>0.92812555099033855</v>
      </c>
      <c r="V590" s="380"/>
    </row>
    <row r="591" spans="1:22">
      <c r="A591" s="166" t="s">
        <v>102</v>
      </c>
      <c r="B591" s="246"/>
      <c r="C591" s="297">
        <v>3.4246859771528554E-3</v>
      </c>
      <c r="D591" s="298">
        <v>3.0883277730430381E-3</v>
      </c>
      <c r="E591" s="298">
        <v>4.6928203960332083E-3</v>
      </c>
      <c r="F591" s="298">
        <v>1.0862256778006178E-2</v>
      </c>
      <c r="G591" s="298">
        <v>1.3624858503553983E-2</v>
      </c>
      <c r="H591" s="298">
        <v>5.1950790950474595E-3</v>
      </c>
      <c r="I591" s="298">
        <v>0</v>
      </c>
      <c r="J591" s="307">
        <v>4.5988940894766892E-3</v>
      </c>
      <c r="K591" s="307">
        <v>8.2350237170809738E-3</v>
      </c>
      <c r="L591" s="298">
        <v>1.6589814556432724E-3</v>
      </c>
      <c r="M591" s="298">
        <v>1.5475170862598689E-2</v>
      </c>
      <c r="N591" s="298">
        <v>1.8569006563281414E-2</v>
      </c>
      <c r="O591" s="307">
        <v>7.2172841017095679E-3</v>
      </c>
      <c r="P591" s="165">
        <v>3.6498218682160747E-3</v>
      </c>
      <c r="Q591" s="298">
        <v>0</v>
      </c>
      <c r="R591" s="307">
        <v>3.5647574160313305E-3</v>
      </c>
      <c r="S591" s="307">
        <v>0</v>
      </c>
      <c r="T591" s="307">
        <v>0</v>
      </c>
      <c r="U591" s="307">
        <v>5.8161716808966344E-3</v>
      </c>
      <c r="V591" s="380"/>
    </row>
    <row r="592" spans="1:22">
      <c r="A592" s="166" t="s">
        <v>103</v>
      </c>
      <c r="B592" s="167"/>
      <c r="C592" s="168">
        <v>3.5590031171427068E-3</v>
      </c>
      <c r="D592" s="169">
        <v>2.6033762398838364E-3</v>
      </c>
      <c r="E592" s="169">
        <v>4.3847295018805063E-3</v>
      </c>
      <c r="F592" s="169">
        <v>2.1959939522775587E-3</v>
      </c>
      <c r="G592" s="169">
        <v>1.1084802821357934E-2</v>
      </c>
      <c r="H592" s="169">
        <v>4.4657137271643197E-3</v>
      </c>
      <c r="I592" s="169">
        <v>0</v>
      </c>
      <c r="J592" s="170">
        <v>3.9691700823028747E-3</v>
      </c>
      <c r="K592" s="170">
        <v>3.2498468014797374E-3</v>
      </c>
      <c r="L592" s="169">
        <v>9.7038208311264556E-4</v>
      </c>
      <c r="M592" s="169">
        <v>1.5419963090762785E-2</v>
      </c>
      <c r="N592" s="169">
        <v>2.0218194076275991E-2</v>
      </c>
      <c r="O592" s="170">
        <v>6.1018519387613084E-3</v>
      </c>
      <c r="P592" s="170">
        <v>3.1630907463239279E-3</v>
      </c>
      <c r="Q592" s="169">
        <v>0</v>
      </c>
      <c r="R592" s="170">
        <v>3.0875102758744903E-3</v>
      </c>
      <c r="S592" s="170">
        <v>0</v>
      </c>
      <c r="T592" s="170">
        <v>0</v>
      </c>
      <c r="U592" s="170">
        <v>4.8989316462986696E-3</v>
      </c>
      <c r="V592" s="380"/>
    </row>
    <row r="593" spans="1:22">
      <c r="A593" s="166" t="s">
        <v>104</v>
      </c>
      <c r="B593" s="199"/>
      <c r="C593" s="200">
        <v>1.3431713998985143E-2</v>
      </c>
      <c r="D593" s="201">
        <v>-4.8495153315920164E-2</v>
      </c>
      <c r="E593" s="201">
        <v>-3.0809089415270198E-2</v>
      </c>
      <c r="F593" s="201">
        <v>-0.86662628257286189</v>
      </c>
      <c r="G593" s="201">
        <v>-0.2540055682196049</v>
      </c>
      <c r="H593" s="201">
        <v>-7.293653678831398E-2</v>
      </c>
      <c r="I593" s="201">
        <v>0</v>
      </c>
      <c r="J593" s="202">
        <v>-6.2972400717381444E-2</v>
      </c>
      <c r="K593" s="202">
        <v>-0.49851769156012365</v>
      </c>
      <c r="L593" s="201">
        <v>-6.8859937253062678E-2</v>
      </c>
      <c r="M593" s="201">
        <v>-5.5207771835904043E-3</v>
      </c>
      <c r="N593" s="201">
        <v>0.16491875129945771</v>
      </c>
      <c r="O593" s="202">
        <v>-0.11154321629482594</v>
      </c>
      <c r="P593" s="202">
        <v>-4.8673112189214676E-2</v>
      </c>
      <c r="Q593" s="201">
        <v>0</v>
      </c>
      <c r="R593" s="202">
        <v>-4.7724714015684025E-2</v>
      </c>
      <c r="S593" s="202">
        <v>0</v>
      </c>
      <c r="T593" s="202">
        <v>0</v>
      </c>
      <c r="U593" s="202">
        <v>-9.1724003459796477E-2</v>
      </c>
      <c r="V593" s="380"/>
    </row>
    <row r="594" spans="1:22">
      <c r="A594" s="166" t="s">
        <v>105</v>
      </c>
      <c r="B594" s="246"/>
      <c r="C594" s="297">
        <v>1.5966180050405203E-3</v>
      </c>
      <c r="D594" s="298">
        <v>3.0056199337318354E-4</v>
      </c>
      <c r="E594" s="298">
        <v>8.2555265465938735E-3</v>
      </c>
      <c r="F594" s="298">
        <v>1.4762755803887973E-5</v>
      </c>
      <c r="G594" s="298">
        <v>1.6826604391233849E-3</v>
      </c>
      <c r="H594" s="298">
        <v>3.4494105510036321E-4</v>
      </c>
      <c r="I594" s="298">
        <v>0</v>
      </c>
      <c r="J594" s="307">
        <v>3.3243273692069785E-3</v>
      </c>
      <c r="K594" s="307">
        <v>8.8660614221032963E-4</v>
      </c>
      <c r="L594" s="298">
        <v>3.1725590095056481E-3</v>
      </c>
      <c r="M594" s="298">
        <v>4.109338721729896E-3</v>
      </c>
      <c r="N594" s="298">
        <v>2.9893628620423604E-3</v>
      </c>
      <c r="O594" s="307">
        <v>2.9908223476282337E-3</v>
      </c>
      <c r="P594" s="165">
        <v>0</v>
      </c>
      <c r="Q594" s="298">
        <v>0</v>
      </c>
      <c r="R594" s="307">
        <v>0</v>
      </c>
      <c r="S594" s="307">
        <v>0</v>
      </c>
      <c r="T594" s="307">
        <v>0</v>
      </c>
      <c r="U594" s="307">
        <v>3.0828360644587004E-3</v>
      </c>
      <c r="V594" s="380"/>
    </row>
    <row r="595" spans="1:22">
      <c r="A595" s="166" t="s">
        <v>106</v>
      </c>
      <c r="B595" s="167"/>
      <c r="C595" s="168">
        <v>1.8926778053433623E-3</v>
      </c>
      <c r="D595" s="169">
        <v>3.2960993530330206E-4</v>
      </c>
      <c r="E595" s="169">
        <v>7.6333032002812752E-3</v>
      </c>
      <c r="F595" s="169">
        <v>5.5589027703570662E-4</v>
      </c>
      <c r="G595" s="169">
        <v>1.4598577875511863E-3</v>
      </c>
      <c r="H595" s="169">
        <v>2.024829715436699E-4</v>
      </c>
      <c r="I595" s="169">
        <v>3.8121024413984355E-3</v>
      </c>
      <c r="J595" s="170">
        <v>3.2857113755958645E-3</v>
      </c>
      <c r="K595" s="170">
        <v>1.4168345920977268E-3</v>
      </c>
      <c r="L595" s="169">
        <v>3.1485541433200447E-3</v>
      </c>
      <c r="M595" s="169">
        <v>3.8476405334834517E-3</v>
      </c>
      <c r="N595" s="169">
        <v>3.6176111096050418E-3</v>
      </c>
      <c r="O595" s="170">
        <v>3.0515993737794934E-3</v>
      </c>
      <c r="P595" s="170">
        <v>0</v>
      </c>
      <c r="Q595" s="169">
        <v>0</v>
      </c>
      <c r="R595" s="170">
        <v>0</v>
      </c>
      <c r="S595" s="170">
        <v>0</v>
      </c>
      <c r="T595" s="170">
        <v>0</v>
      </c>
      <c r="U595" s="170">
        <v>3.1089125614185112E-3</v>
      </c>
      <c r="V595" s="380"/>
    </row>
    <row r="596" spans="1:22">
      <c r="A596" s="166" t="s">
        <v>107</v>
      </c>
      <c r="B596" s="199"/>
      <c r="C596" s="200">
        <v>2.9605980030284199E-2</v>
      </c>
      <c r="D596" s="201">
        <v>2.9047941930118518E-3</v>
      </c>
      <c r="E596" s="201">
        <v>-6.2222334631259826E-2</v>
      </c>
      <c r="F596" s="201">
        <v>5.4112752123181861E-2</v>
      </c>
      <c r="G596" s="201">
        <v>-2.2280265157219856E-2</v>
      </c>
      <c r="H596" s="201">
        <v>-1.4245808355669331E-2</v>
      </c>
      <c r="I596" s="201">
        <v>0</v>
      </c>
      <c r="J596" s="202">
        <v>-3.8615993611114049E-3</v>
      </c>
      <c r="K596" s="202">
        <v>5.3022844988739722E-2</v>
      </c>
      <c r="L596" s="201">
        <v>-2.4004866185603491E-3</v>
      </c>
      <c r="M596" s="201">
        <v>-2.6169818824644434E-2</v>
      </c>
      <c r="N596" s="201">
        <v>6.2824824756268133E-2</v>
      </c>
      <c r="O596" s="202">
        <v>6.0777026151259683E-3</v>
      </c>
      <c r="P596" s="202">
        <v>0</v>
      </c>
      <c r="Q596" s="201">
        <v>0</v>
      </c>
      <c r="R596" s="202">
        <v>0</v>
      </c>
      <c r="S596" s="202">
        <v>0</v>
      </c>
      <c r="T596" s="202">
        <v>0</v>
      </c>
      <c r="U596" s="202">
        <v>2.6076496959810853E-3</v>
      </c>
      <c r="V596" s="380"/>
    </row>
    <row r="597" spans="1:22">
      <c r="A597" s="166" t="s">
        <v>108</v>
      </c>
      <c r="B597" s="246"/>
      <c r="C597" s="297">
        <v>8.6114858460915118E-4</v>
      </c>
      <c r="D597" s="298">
        <v>1.8502681577866904E-4</v>
      </c>
      <c r="E597" s="298">
        <v>8.2505678753009215E-4</v>
      </c>
      <c r="F597" s="298">
        <v>3.4356958961775648E-4</v>
      </c>
      <c r="G597" s="298">
        <v>9.0149807768792264E-5</v>
      </c>
      <c r="H597" s="298">
        <v>0</v>
      </c>
      <c r="I597" s="298">
        <v>0</v>
      </c>
      <c r="J597" s="307">
        <v>6.9317615694192624E-4</v>
      </c>
      <c r="K597" s="307">
        <v>5.0734795923836203E-4</v>
      </c>
      <c r="L597" s="298">
        <v>5.3436031701023603E-5</v>
      </c>
      <c r="M597" s="298">
        <v>1.6294334743537444E-4</v>
      </c>
      <c r="N597" s="298">
        <v>1.4981493693762178E-5</v>
      </c>
      <c r="O597" s="307">
        <v>1.5234812594261288E-4</v>
      </c>
      <c r="P597" s="165">
        <v>0</v>
      </c>
      <c r="Q597" s="298">
        <v>0</v>
      </c>
      <c r="R597" s="307">
        <v>0</v>
      </c>
      <c r="S597" s="307">
        <v>0</v>
      </c>
      <c r="T597" s="307">
        <v>0</v>
      </c>
      <c r="U597" s="307">
        <v>4.1906638662767806E-4</v>
      </c>
      <c r="V597" s="380"/>
    </row>
    <row r="598" spans="1:22">
      <c r="A598" s="166" t="s">
        <v>109</v>
      </c>
      <c r="B598" s="167"/>
      <c r="C598" s="168">
        <v>6.7602847815773223E-4</v>
      </c>
      <c r="D598" s="169">
        <v>1.7080843885870295E-4</v>
      </c>
      <c r="E598" s="169">
        <v>7.3865301359629133E-4</v>
      </c>
      <c r="F598" s="169">
        <v>3.1460661384382781E-4</v>
      </c>
      <c r="G598" s="169">
        <v>6.1178157662425793E-4</v>
      </c>
      <c r="H598" s="169">
        <v>0</v>
      </c>
      <c r="I598" s="169">
        <v>5.2472160239482937E-6</v>
      </c>
      <c r="J598" s="170">
        <v>5.9094270641959254E-4</v>
      </c>
      <c r="K598" s="170">
        <v>5.9802648817976234E-5</v>
      </c>
      <c r="L598" s="169">
        <v>3.2506497946370433E-5</v>
      </c>
      <c r="M598" s="169">
        <v>2.0042093694227578E-4</v>
      </c>
      <c r="N598" s="169">
        <v>7.0719774073895091E-6</v>
      </c>
      <c r="O598" s="170">
        <v>7.4758248338820135E-5</v>
      </c>
      <c r="P598" s="170">
        <v>0</v>
      </c>
      <c r="Q598" s="169">
        <v>0</v>
      </c>
      <c r="R598" s="170">
        <v>0</v>
      </c>
      <c r="S598" s="170">
        <v>0</v>
      </c>
      <c r="T598" s="170">
        <v>0</v>
      </c>
      <c r="U598" s="170">
        <v>3.4813586354692864E-4</v>
      </c>
      <c r="V598" s="380"/>
    </row>
    <row r="599" spans="1:22" ht="15.75" thickBot="1">
      <c r="A599" s="166" t="s">
        <v>110</v>
      </c>
      <c r="B599" s="303"/>
      <c r="C599" s="304">
        <v>-1.8512010645141897E-2</v>
      </c>
      <c r="D599" s="305">
        <v>-1.4218376919966082E-3</v>
      </c>
      <c r="E599" s="305">
        <v>-8.6403773933800814E-3</v>
      </c>
      <c r="F599" s="305">
        <v>-2.896297577392867E-3</v>
      </c>
      <c r="G599" s="305">
        <v>5.2163176885546565E-2</v>
      </c>
      <c r="H599" s="305">
        <v>0</v>
      </c>
      <c r="I599" s="305">
        <v>0</v>
      </c>
      <c r="J599" s="308">
        <v>-1.022334505223337E-2</v>
      </c>
      <c r="K599" s="308">
        <v>-4.4754531042038581E-2</v>
      </c>
      <c r="L599" s="305">
        <v>-2.0929533754653171E-3</v>
      </c>
      <c r="M599" s="305">
        <v>3.7477589506901337E-3</v>
      </c>
      <c r="N599" s="305">
        <v>-7.9095162863726672E-4</v>
      </c>
      <c r="O599" s="308">
        <v>-7.7589877603792745E-3</v>
      </c>
      <c r="P599" s="308">
        <v>0</v>
      </c>
      <c r="Q599" s="305">
        <v>0</v>
      </c>
      <c r="R599" s="308">
        <v>0</v>
      </c>
      <c r="S599" s="308">
        <v>0</v>
      </c>
      <c r="T599" s="308">
        <v>0</v>
      </c>
      <c r="U599" s="308">
        <v>-7.0930523080749422E-3</v>
      </c>
      <c r="V599" s="380"/>
    </row>
    <row r="600" spans="1:22" ht="15.75" thickTop="1">
      <c r="A600" s="166" t="s">
        <v>111</v>
      </c>
      <c r="B600" s="167"/>
      <c r="C600" s="168">
        <v>0.79299558656557689</v>
      </c>
      <c r="D600" s="169">
        <v>0.70979130035834404</v>
      </c>
      <c r="E600" s="169">
        <v>0.54611766575197196</v>
      </c>
      <c r="F600" s="169">
        <v>0.55079403320685016</v>
      </c>
      <c r="G600" s="169">
        <v>0.46978708710436962</v>
      </c>
      <c r="H600" s="169">
        <v>0.56373125205698438</v>
      </c>
      <c r="I600" s="169">
        <v>0.29230105471842083</v>
      </c>
      <c r="J600" s="170">
        <v>0.69561030937116175</v>
      </c>
      <c r="K600" s="170">
        <v>0</v>
      </c>
      <c r="L600" s="169">
        <v>0</v>
      </c>
      <c r="M600" s="169">
        <v>0</v>
      </c>
      <c r="N600" s="169">
        <v>0</v>
      </c>
      <c r="O600" s="170">
        <v>0</v>
      </c>
      <c r="P600" s="170">
        <v>0</v>
      </c>
      <c r="Q600" s="169">
        <v>0</v>
      </c>
      <c r="R600" s="170">
        <v>0</v>
      </c>
      <c r="S600" s="170">
        <v>0</v>
      </c>
      <c r="T600" s="170">
        <v>0</v>
      </c>
      <c r="U600" s="170">
        <v>0.69561030937116175</v>
      </c>
      <c r="V600" s="380"/>
    </row>
    <row r="601" spans="1:22">
      <c r="A601" s="166" t="s">
        <v>112</v>
      </c>
      <c r="B601" s="167"/>
      <c r="C601" s="168">
        <v>0.78369981119118715</v>
      </c>
      <c r="D601" s="169">
        <v>0.76380245008573067</v>
      </c>
      <c r="E601" s="169">
        <v>0.53719626666664</v>
      </c>
      <c r="F601" s="169">
        <v>0.63816407700725952</v>
      </c>
      <c r="G601" s="169">
        <v>0.4820213265642645</v>
      </c>
      <c r="H601" s="169">
        <v>0.58707854586551145</v>
      </c>
      <c r="I601" s="169">
        <v>0.30328403597008408</v>
      </c>
      <c r="J601" s="170">
        <v>0.69703030049918246</v>
      </c>
      <c r="K601" s="170">
        <v>0</v>
      </c>
      <c r="L601" s="169">
        <v>0</v>
      </c>
      <c r="M601" s="169">
        <v>0</v>
      </c>
      <c r="N601" s="169">
        <v>0</v>
      </c>
      <c r="O601" s="170">
        <v>0</v>
      </c>
      <c r="P601" s="170">
        <v>0</v>
      </c>
      <c r="Q601" s="169">
        <v>0</v>
      </c>
      <c r="R601" s="170">
        <v>0</v>
      </c>
      <c r="S601" s="170">
        <v>0</v>
      </c>
      <c r="T601" s="170">
        <v>0</v>
      </c>
      <c r="U601" s="170">
        <v>0.69703007307411924</v>
      </c>
      <c r="V601" s="380"/>
    </row>
    <row r="602" spans="1:22">
      <c r="A602" s="166" t="s">
        <v>113</v>
      </c>
      <c r="B602" s="199"/>
      <c r="C602" s="200">
        <v>-0.92957753743897475</v>
      </c>
      <c r="D602" s="201">
        <v>5.4011149727386627</v>
      </c>
      <c r="E602" s="201">
        <v>-0.89213990853319602</v>
      </c>
      <c r="F602" s="201">
        <v>8.7370043800409363</v>
      </c>
      <c r="G602" s="201">
        <v>1.223423945989488</v>
      </c>
      <c r="H602" s="201">
        <v>2.334729380852707</v>
      </c>
      <c r="I602" s="201">
        <v>1.0982981251663249</v>
      </c>
      <c r="J602" s="202">
        <v>0.14199911280207145</v>
      </c>
      <c r="K602" s="202">
        <v>0</v>
      </c>
      <c r="L602" s="201">
        <v>0</v>
      </c>
      <c r="M602" s="201">
        <v>0</v>
      </c>
      <c r="N602" s="201">
        <v>0</v>
      </c>
      <c r="O602" s="202">
        <v>0</v>
      </c>
      <c r="P602" s="202">
        <v>0</v>
      </c>
      <c r="Q602" s="201">
        <v>0</v>
      </c>
      <c r="R602" s="202">
        <v>0</v>
      </c>
      <c r="S602" s="202">
        <v>0</v>
      </c>
      <c r="T602" s="202">
        <v>0</v>
      </c>
      <c r="U602" s="202">
        <v>0.14197637029574883</v>
      </c>
      <c r="V602" s="380"/>
    </row>
    <row r="603" spans="1:22">
      <c r="A603" s="166" t="s">
        <v>114</v>
      </c>
      <c r="B603" s="246"/>
      <c r="C603" s="297">
        <v>6.2612336619625134E-2</v>
      </c>
      <c r="D603" s="298">
        <v>6.6471482799421694E-2</v>
      </c>
      <c r="E603" s="298">
        <v>7.3716535649627074E-2</v>
      </c>
      <c r="F603" s="298">
        <v>5.7429380232488107E-2</v>
      </c>
      <c r="G603" s="298">
        <v>3.5831621405890697E-2</v>
      </c>
      <c r="H603" s="298">
        <v>7.4286520287742727E-2</v>
      </c>
      <c r="I603" s="298">
        <v>3.4494070328823977E-2</v>
      </c>
      <c r="J603" s="307">
        <v>6.3656467151902221E-2</v>
      </c>
      <c r="K603" s="307">
        <v>0</v>
      </c>
      <c r="L603" s="298">
        <v>0</v>
      </c>
      <c r="M603" s="298">
        <v>0</v>
      </c>
      <c r="N603" s="298">
        <v>0</v>
      </c>
      <c r="O603" s="307">
        <v>0</v>
      </c>
      <c r="P603" s="165">
        <v>0</v>
      </c>
      <c r="Q603" s="298">
        <v>0</v>
      </c>
      <c r="R603" s="307">
        <v>0</v>
      </c>
      <c r="S603" s="307">
        <v>0</v>
      </c>
      <c r="T603" s="307">
        <v>0</v>
      </c>
      <c r="U603" s="307">
        <v>6.3656467151902221E-2</v>
      </c>
      <c r="V603" s="380"/>
    </row>
    <row r="604" spans="1:22">
      <c r="A604" s="166" t="s">
        <v>115</v>
      </c>
      <c r="B604" s="167"/>
      <c r="C604" s="168">
        <v>6.4885372271105912E-2</v>
      </c>
      <c r="D604" s="169">
        <v>5.3554795443332921E-2</v>
      </c>
      <c r="E604" s="169">
        <v>5.9911207493774349E-2</v>
      </c>
      <c r="F604" s="169">
        <v>7.657472543975051E-2</v>
      </c>
      <c r="G604" s="169">
        <v>3.2814326974006373E-2</v>
      </c>
      <c r="H604" s="169">
        <v>5.9182520248634393E-2</v>
      </c>
      <c r="I604" s="169">
        <v>2.9674101574256581E-2</v>
      </c>
      <c r="J604" s="170">
        <v>6.1426458084139081E-2</v>
      </c>
      <c r="K604" s="170">
        <v>0</v>
      </c>
      <c r="L604" s="169">
        <v>0</v>
      </c>
      <c r="M604" s="169">
        <v>0</v>
      </c>
      <c r="N604" s="169">
        <v>0</v>
      </c>
      <c r="O604" s="170">
        <v>0</v>
      </c>
      <c r="P604" s="170">
        <v>0</v>
      </c>
      <c r="Q604" s="169">
        <v>0</v>
      </c>
      <c r="R604" s="170">
        <v>0</v>
      </c>
      <c r="S604" s="170">
        <v>0</v>
      </c>
      <c r="T604" s="170">
        <v>0</v>
      </c>
      <c r="U604" s="170">
        <v>6.1426438042089103E-2</v>
      </c>
      <c r="V604" s="380"/>
    </row>
    <row r="605" spans="1:22">
      <c r="A605" s="166" t="s">
        <v>116</v>
      </c>
      <c r="B605" s="199"/>
      <c r="C605" s="200">
        <v>0.22730356514807787</v>
      </c>
      <c r="D605" s="201">
        <v>-1.2916687356088772</v>
      </c>
      <c r="E605" s="201">
        <v>-1.3805328155852725</v>
      </c>
      <c r="F605" s="201">
        <v>1.9145345207262403</v>
      </c>
      <c r="G605" s="201">
        <v>-0.30172944318843237</v>
      </c>
      <c r="H605" s="201">
        <v>-1.5104000039108334</v>
      </c>
      <c r="I605" s="201">
        <v>-0.48199687545673953</v>
      </c>
      <c r="J605" s="202">
        <v>-0.22300090677631404</v>
      </c>
      <c r="K605" s="202">
        <v>0</v>
      </c>
      <c r="L605" s="201">
        <v>0</v>
      </c>
      <c r="M605" s="201">
        <v>0</v>
      </c>
      <c r="N605" s="201">
        <v>0</v>
      </c>
      <c r="O605" s="202">
        <v>0</v>
      </c>
      <c r="P605" s="202">
        <v>0</v>
      </c>
      <c r="Q605" s="201">
        <v>0</v>
      </c>
      <c r="R605" s="202">
        <v>0</v>
      </c>
      <c r="S605" s="202">
        <v>0</v>
      </c>
      <c r="T605" s="202">
        <v>0</v>
      </c>
      <c r="U605" s="202">
        <v>-0.22300291098131184</v>
      </c>
      <c r="V605" s="380"/>
    </row>
    <row r="606" spans="1:22">
      <c r="A606" s="166" t="s">
        <v>117</v>
      </c>
      <c r="B606" s="246"/>
      <c r="C606" s="297">
        <v>0.12754423484379518</v>
      </c>
      <c r="D606" s="298">
        <v>0.2185242574501878</v>
      </c>
      <c r="E606" s="298">
        <v>0.35889523571347887</v>
      </c>
      <c r="F606" s="298">
        <v>0.3834414128638064</v>
      </c>
      <c r="G606" s="298">
        <v>0.46203774831288613</v>
      </c>
      <c r="H606" s="298">
        <v>0.36198222765527294</v>
      </c>
      <c r="I606" s="298">
        <v>0.67181070692519984</v>
      </c>
      <c r="J606" s="307">
        <v>0.22456181897963848</v>
      </c>
      <c r="K606" s="307">
        <v>0</v>
      </c>
      <c r="L606" s="298">
        <v>0</v>
      </c>
      <c r="M606" s="298">
        <v>0</v>
      </c>
      <c r="N606" s="298">
        <v>0</v>
      </c>
      <c r="O606" s="307">
        <v>0</v>
      </c>
      <c r="P606" s="165">
        <v>0</v>
      </c>
      <c r="Q606" s="298">
        <v>0</v>
      </c>
      <c r="R606" s="307">
        <v>0</v>
      </c>
      <c r="S606" s="307">
        <v>0</v>
      </c>
      <c r="T606" s="307">
        <v>0</v>
      </c>
      <c r="U606" s="307">
        <v>0.22456181897963848</v>
      </c>
      <c r="V606" s="380"/>
    </row>
    <row r="607" spans="1:22">
      <c r="A607" s="166" t="s">
        <v>118</v>
      </c>
      <c r="B607" s="167"/>
      <c r="C607" s="168">
        <v>0.13970059215517242</v>
      </c>
      <c r="D607" s="169">
        <v>0.1778313668741198</v>
      </c>
      <c r="E607" s="169">
        <v>0.38313072706828089</v>
      </c>
      <c r="F607" s="169">
        <v>0.2790798263748695</v>
      </c>
      <c r="G607" s="169">
        <v>0.45735686517493979</v>
      </c>
      <c r="H607" s="169">
        <v>0.35136560557543794</v>
      </c>
      <c r="I607" s="169">
        <v>0.66628335226709301</v>
      </c>
      <c r="J607" s="170">
        <v>0.22921117904203689</v>
      </c>
      <c r="K607" s="170">
        <v>0</v>
      </c>
      <c r="L607" s="169">
        <v>0</v>
      </c>
      <c r="M607" s="169">
        <v>1</v>
      </c>
      <c r="N607" s="169">
        <v>0</v>
      </c>
      <c r="O607" s="170">
        <v>1</v>
      </c>
      <c r="P607" s="170">
        <v>0</v>
      </c>
      <c r="Q607" s="169">
        <v>0</v>
      </c>
      <c r="R607" s="170">
        <v>0</v>
      </c>
      <c r="S607" s="170">
        <v>0</v>
      </c>
      <c r="T607" s="170">
        <v>0</v>
      </c>
      <c r="U607" s="170">
        <v>0.22921143053282036</v>
      </c>
      <c r="V607" s="380"/>
    </row>
    <row r="608" spans="1:22">
      <c r="A608" s="166" t="s">
        <v>119</v>
      </c>
      <c r="B608" s="199"/>
      <c r="C608" s="200">
        <v>1.2156357311377235</v>
      </c>
      <c r="D608" s="201">
        <v>-4.0692890576068006</v>
      </c>
      <c r="E608" s="201">
        <v>2.4235491354802017</v>
      </c>
      <c r="F608" s="201">
        <v>-10.43615864889369</v>
      </c>
      <c r="G608" s="201">
        <v>-0.46808831379463456</v>
      </c>
      <c r="H608" s="201">
        <v>-1.0616622079834992</v>
      </c>
      <c r="I608" s="201">
        <v>-0.55273546581068311</v>
      </c>
      <c r="J608" s="202">
        <v>0.4649360062398411</v>
      </c>
      <c r="K608" s="202">
        <v>0</v>
      </c>
      <c r="L608" s="201">
        <v>0</v>
      </c>
      <c r="M608" s="201">
        <v>0</v>
      </c>
      <c r="N608" s="201">
        <v>0</v>
      </c>
      <c r="O608" s="202">
        <v>0</v>
      </c>
      <c r="P608" s="202">
        <v>0</v>
      </c>
      <c r="Q608" s="201">
        <v>0</v>
      </c>
      <c r="R608" s="202">
        <v>0</v>
      </c>
      <c r="S608" s="202">
        <v>0</v>
      </c>
      <c r="T608" s="202">
        <v>0</v>
      </c>
      <c r="U608" s="202">
        <v>0.46496115531818871</v>
      </c>
      <c r="V608" s="380"/>
    </row>
    <row r="609" spans="1:22">
      <c r="A609" s="166" t="s">
        <v>120</v>
      </c>
      <c r="B609" s="246"/>
      <c r="C609" s="297">
        <v>9.9834843077711323E-3</v>
      </c>
      <c r="D609" s="298">
        <v>2.4727179082656659E-3</v>
      </c>
      <c r="E609" s="298">
        <v>8.9205420380334757E-3</v>
      </c>
      <c r="F609" s="298">
        <v>7.642527789489182E-3</v>
      </c>
      <c r="G609" s="298">
        <v>2.7654405012423465E-2</v>
      </c>
      <c r="H609" s="298">
        <v>0</v>
      </c>
      <c r="I609" s="298">
        <v>1.394168027555321E-3</v>
      </c>
      <c r="J609" s="307">
        <v>9.0361225859329573E-3</v>
      </c>
      <c r="K609" s="307">
        <v>0</v>
      </c>
      <c r="L609" s="298">
        <v>0</v>
      </c>
      <c r="M609" s="298">
        <v>0</v>
      </c>
      <c r="N609" s="298">
        <v>0</v>
      </c>
      <c r="O609" s="307">
        <v>0</v>
      </c>
      <c r="P609" s="165">
        <v>0</v>
      </c>
      <c r="Q609" s="298">
        <v>0</v>
      </c>
      <c r="R609" s="307">
        <v>0</v>
      </c>
      <c r="S609" s="307">
        <v>0</v>
      </c>
      <c r="T609" s="307">
        <v>0</v>
      </c>
      <c r="U609" s="307">
        <v>9.0361225859329573E-3</v>
      </c>
      <c r="V609" s="380"/>
    </row>
    <row r="610" spans="1:22">
      <c r="A610" s="166" t="s">
        <v>121</v>
      </c>
      <c r="B610" s="167"/>
      <c r="C610" s="168">
        <v>6.26952520304681E-3</v>
      </c>
      <c r="D610" s="169">
        <v>2.8980759295893551E-3</v>
      </c>
      <c r="E610" s="169">
        <v>9.2901757369020631E-3</v>
      </c>
      <c r="F610" s="169">
        <v>5.3540709913484181E-3</v>
      </c>
      <c r="G610" s="169">
        <v>2.3560157101026352E-2</v>
      </c>
      <c r="H610" s="169">
        <v>2.3733283104162744E-3</v>
      </c>
      <c r="I610" s="169">
        <v>7.4111316589278915E-4</v>
      </c>
      <c r="J610" s="170">
        <v>6.6835504273470812E-3</v>
      </c>
      <c r="K610" s="170">
        <v>0</v>
      </c>
      <c r="L610" s="169">
        <v>0</v>
      </c>
      <c r="M610" s="169">
        <v>0</v>
      </c>
      <c r="N610" s="169">
        <v>0</v>
      </c>
      <c r="O610" s="170">
        <v>0</v>
      </c>
      <c r="P610" s="170">
        <v>0</v>
      </c>
      <c r="Q610" s="169">
        <v>0</v>
      </c>
      <c r="R610" s="170">
        <v>0</v>
      </c>
      <c r="S610" s="170">
        <v>0</v>
      </c>
      <c r="T610" s="170">
        <v>0</v>
      </c>
      <c r="U610" s="170">
        <v>6.6835482466572633E-3</v>
      </c>
      <c r="V610" s="380"/>
    </row>
    <row r="611" spans="1:22">
      <c r="A611" s="166" t="s">
        <v>122</v>
      </c>
      <c r="B611" s="199"/>
      <c r="C611" s="200">
        <v>-0.37139591047243226</v>
      </c>
      <c r="D611" s="201">
        <v>4.2535802132368919E-2</v>
      </c>
      <c r="E611" s="201">
        <v>3.6963369886858742E-2</v>
      </c>
      <c r="F611" s="201">
        <v>-0.22884567981407639</v>
      </c>
      <c r="G611" s="201">
        <v>-0.40942479113971131</v>
      </c>
      <c r="H611" s="201">
        <v>0</v>
      </c>
      <c r="I611" s="201">
        <v>-6.5305486166253188E-2</v>
      </c>
      <c r="J611" s="202">
        <v>-0.23525721585858761</v>
      </c>
      <c r="K611" s="202">
        <v>0</v>
      </c>
      <c r="L611" s="201">
        <v>0</v>
      </c>
      <c r="M611" s="201">
        <v>0</v>
      </c>
      <c r="N611" s="201">
        <v>0</v>
      </c>
      <c r="O611" s="202">
        <v>0</v>
      </c>
      <c r="P611" s="202">
        <v>0</v>
      </c>
      <c r="Q611" s="201">
        <v>0</v>
      </c>
      <c r="R611" s="202">
        <v>0</v>
      </c>
      <c r="S611" s="202">
        <v>0</v>
      </c>
      <c r="T611" s="202">
        <v>0</v>
      </c>
      <c r="U611" s="202">
        <v>-0.2352574339275694</v>
      </c>
      <c r="V611" s="380"/>
    </row>
    <row r="612" spans="1:22">
      <c r="A612" s="166" t="s">
        <v>123</v>
      </c>
      <c r="B612" s="246"/>
      <c r="C612" s="297">
        <v>4.202517226574976E-3</v>
      </c>
      <c r="D612" s="298">
        <v>7.513162097409834E-4</v>
      </c>
      <c r="E612" s="298">
        <v>9.4767188773267081E-3</v>
      </c>
      <c r="F612" s="298">
        <v>1.6061354373707562E-4</v>
      </c>
      <c r="G612" s="298">
        <v>4.6741249152376972E-3</v>
      </c>
      <c r="H612" s="298">
        <v>0</v>
      </c>
      <c r="I612" s="298">
        <v>0</v>
      </c>
      <c r="J612" s="307">
        <v>4.7348928339609525E-3</v>
      </c>
      <c r="K612" s="307">
        <v>0</v>
      </c>
      <c r="L612" s="298">
        <v>0</v>
      </c>
      <c r="M612" s="298">
        <v>0</v>
      </c>
      <c r="N612" s="298">
        <v>0</v>
      </c>
      <c r="O612" s="307">
        <v>0</v>
      </c>
      <c r="P612" s="165">
        <v>0</v>
      </c>
      <c r="Q612" s="298">
        <v>0</v>
      </c>
      <c r="R612" s="307">
        <v>0</v>
      </c>
      <c r="S612" s="307">
        <v>0</v>
      </c>
      <c r="T612" s="307">
        <v>0</v>
      </c>
      <c r="U612" s="307">
        <v>4.7348928339609525E-3</v>
      </c>
      <c r="V612" s="380"/>
    </row>
    <row r="613" spans="1:22">
      <c r="A613" s="166" t="s">
        <v>124</v>
      </c>
      <c r="B613" s="167"/>
      <c r="C613" s="168">
        <v>3.8965810816162872E-3</v>
      </c>
      <c r="D613" s="169">
        <v>6.7072526530964345E-4</v>
      </c>
      <c r="E613" s="169">
        <v>7.8475769578579199E-3</v>
      </c>
      <c r="F613" s="169">
        <v>6.1687818274521584E-4</v>
      </c>
      <c r="G613" s="169">
        <v>4.0474501064329468E-3</v>
      </c>
      <c r="H613" s="169">
        <v>0</v>
      </c>
      <c r="I613" s="169">
        <v>6.9588090694158601E-6</v>
      </c>
      <c r="J613" s="170">
        <v>4.0640008074274625E-3</v>
      </c>
      <c r="K613" s="170">
        <v>0</v>
      </c>
      <c r="L613" s="169">
        <v>0</v>
      </c>
      <c r="M613" s="169">
        <v>0</v>
      </c>
      <c r="N613" s="169">
        <v>0</v>
      </c>
      <c r="O613" s="170">
        <v>0</v>
      </c>
      <c r="P613" s="170">
        <v>0</v>
      </c>
      <c r="Q613" s="169">
        <v>0</v>
      </c>
      <c r="R613" s="170">
        <v>0</v>
      </c>
      <c r="S613" s="170">
        <v>0</v>
      </c>
      <c r="T613" s="170">
        <v>0</v>
      </c>
      <c r="U613" s="170">
        <v>4.0639994814368422E-3</v>
      </c>
      <c r="V613" s="380"/>
    </row>
    <row r="614" spans="1:22">
      <c r="A614" s="166" t="s">
        <v>125</v>
      </c>
      <c r="B614" s="199"/>
      <c r="C614" s="200">
        <v>-3.0593614495868886E-2</v>
      </c>
      <c r="D614" s="201">
        <v>-8.0590944431339941E-3</v>
      </c>
      <c r="E614" s="201">
        <v>-0.16291419194687881</v>
      </c>
      <c r="F614" s="201">
        <v>4.562646390081402E-2</v>
      </c>
      <c r="G614" s="201">
        <v>-6.2667480880475038E-2</v>
      </c>
      <c r="H614" s="201">
        <v>0</v>
      </c>
      <c r="I614" s="201">
        <v>0</v>
      </c>
      <c r="J614" s="202">
        <v>-6.7089202653349E-2</v>
      </c>
      <c r="K614" s="202">
        <v>0</v>
      </c>
      <c r="L614" s="201">
        <v>0</v>
      </c>
      <c r="M614" s="201">
        <v>0</v>
      </c>
      <c r="N614" s="201">
        <v>0</v>
      </c>
      <c r="O614" s="202">
        <v>0</v>
      </c>
      <c r="P614" s="202">
        <v>0</v>
      </c>
      <c r="Q614" s="201">
        <v>0</v>
      </c>
      <c r="R614" s="202">
        <v>0</v>
      </c>
      <c r="S614" s="202">
        <v>0</v>
      </c>
      <c r="T614" s="202">
        <v>0</v>
      </c>
      <c r="U614" s="202">
        <v>-6.7089335252411023E-2</v>
      </c>
      <c r="V614" s="380"/>
    </row>
    <row r="615" spans="1:22">
      <c r="A615" s="166" t="s">
        <v>126</v>
      </c>
      <c r="B615" s="246"/>
      <c r="C615" s="297">
        <v>2.6618404366566279E-3</v>
      </c>
      <c r="D615" s="298">
        <v>1.9889252740397747E-3</v>
      </c>
      <c r="E615" s="298">
        <v>2.8733019695619281E-3</v>
      </c>
      <c r="F615" s="298">
        <v>5.3203236362906305E-4</v>
      </c>
      <c r="G615" s="298">
        <v>1.5013249192412304E-5</v>
      </c>
      <c r="H615" s="298">
        <v>0</v>
      </c>
      <c r="I615" s="298">
        <v>0</v>
      </c>
      <c r="J615" s="307">
        <v>2.400389077403673E-3</v>
      </c>
      <c r="K615" s="307">
        <v>0</v>
      </c>
      <c r="L615" s="298">
        <v>0</v>
      </c>
      <c r="M615" s="298">
        <v>0</v>
      </c>
      <c r="N615" s="298">
        <v>0</v>
      </c>
      <c r="O615" s="307">
        <v>0</v>
      </c>
      <c r="P615" s="165">
        <v>0</v>
      </c>
      <c r="Q615" s="298">
        <v>0</v>
      </c>
      <c r="R615" s="307">
        <v>0</v>
      </c>
      <c r="S615" s="307">
        <v>0</v>
      </c>
      <c r="T615" s="307">
        <v>0</v>
      </c>
      <c r="U615" s="307">
        <v>2.400389077403673E-3</v>
      </c>
      <c r="V615" s="380"/>
    </row>
    <row r="616" spans="1:22">
      <c r="A616" s="166" t="s">
        <v>127</v>
      </c>
      <c r="B616" s="167"/>
      <c r="C616" s="168">
        <v>1.548118097871312E-3</v>
      </c>
      <c r="D616" s="169">
        <v>1.2425864019175764E-3</v>
      </c>
      <c r="E616" s="169">
        <v>2.6240460765448526E-3</v>
      </c>
      <c r="F616" s="169">
        <v>2.1042200402679372E-4</v>
      </c>
      <c r="G616" s="169">
        <v>1.9987407933002208E-4</v>
      </c>
      <c r="H616" s="169">
        <v>0</v>
      </c>
      <c r="I616" s="169">
        <v>1.043821360412379E-5</v>
      </c>
      <c r="J616" s="170">
        <v>1.5845111398670138E-3</v>
      </c>
      <c r="K616" s="170">
        <v>0</v>
      </c>
      <c r="L616" s="169">
        <v>0</v>
      </c>
      <c r="M616" s="169">
        <v>0</v>
      </c>
      <c r="N616" s="169">
        <v>0</v>
      </c>
      <c r="O616" s="170">
        <v>0</v>
      </c>
      <c r="P616" s="170">
        <v>0</v>
      </c>
      <c r="Q616" s="169">
        <v>0</v>
      </c>
      <c r="R616" s="170">
        <v>0</v>
      </c>
      <c r="S616" s="170">
        <v>0</v>
      </c>
      <c r="T616" s="170">
        <v>0</v>
      </c>
      <c r="U616" s="170">
        <v>1.5845106228772271E-3</v>
      </c>
      <c r="V616" s="380"/>
    </row>
    <row r="617" spans="1:22">
      <c r="A617" s="172" t="s">
        <v>128</v>
      </c>
      <c r="B617" s="199"/>
      <c r="C617" s="200">
        <v>-0.1113722338785316</v>
      </c>
      <c r="D617" s="201">
        <v>-7.4633887212219835E-2</v>
      </c>
      <c r="E617" s="201">
        <v>-2.4925589301707553E-2</v>
      </c>
      <c r="F617" s="201">
        <v>-3.2161035960226937E-2</v>
      </c>
      <c r="G617" s="201">
        <v>1.8486083013760975E-2</v>
      </c>
      <c r="H617" s="201">
        <v>0</v>
      </c>
      <c r="I617" s="201">
        <v>0</v>
      </c>
      <c r="J617" s="202">
        <v>-8.1587793753665927E-2</v>
      </c>
      <c r="K617" s="202">
        <v>0</v>
      </c>
      <c r="L617" s="201">
        <v>0</v>
      </c>
      <c r="M617" s="201">
        <v>0</v>
      </c>
      <c r="N617" s="201">
        <v>0</v>
      </c>
      <c r="O617" s="202">
        <v>0</v>
      </c>
      <c r="P617" s="202">
        <v>0</v>
      </c>
      <c r="Q617" s="201">
        <v>0</v>
      </c>
      <c r="R617" s="202">
        <v>0</v>
      </c>
      <c r="S617" s="202">
        <v>0</v>
      </c>
      <c r="T617" s="202">
        <v>0</v>
      </c>
      <c r="U617" s="202">
        <v>-8.1587845452644595E-2</v>
      </c>
      <c r="V617" s="380"/>
    </row>
    <row r="621" spans="1:22">
      <c r="D621" s="148"/>
      <c r="E621" s="148"/>
      <c r="F621" s="148"/>
      <c r="G621" s="148"/>
      <c r="H621" s="148"/>
      <c r="I621" s="148"/>
      <c r="J621" s="148"/>
      <c r="K621" s="148"/>
      <c r="L621" s="148"/>
      <c r="M621" s="148"/>
      <c r="N621" s="148"/>
      <c r="O621" s="148"/>
      <c r="P621" s="148"/>
      <c r="Q621" s="148"/>
      <c r="R621" s="148"/>
      <c r="S621" s="148"/>
      <c r="T621" s="148"/>
      <c r="U621" s="148"/>
    </row>
    <row r="622" spans="1:22">
      <c r="D622" s="148"/>
      <c r="E622" s="148"/>
      <c r="F622" s="148"/>
      <c r="G622" s="148"/>
      <c r="H622" s="148"/>
      <c r="I622" s="148"/>
      <c r="J622" s="148"/>
      <c r="K622" s="148"/>
      <c r="L622" s="148"/>
      <c r="M622" s="148"/>
      <c r="N622" s="148"/>
      <c r="O622" s="148"/>
      <c r="P622" s="148"/>
      <c r="Q622" s="148"/>
      <c r="R622" s="148"/>
      <c r="S622" s="148"/>
      <c r="T622" s="148"/>
      <c r="U622" s="148"/>
    </row>
    <row r="623" spans="1:22">
      <c r="D623" s="148"/>
      <c r="E623" s="148"/>
      <c r="F623" s="148"/>
      <c r="G623" s="148"/>
      <c r="H623" s="148"/>
      <c r="I623" s="148"/>
      <c r="J623" s="148"/>
      <c r="K623" s="148"/>
      <c r="L623" s="148"/>
      <c r="M623" s="148"/>
      <c r="N623" s="148"/>
      <c r="O623" s="148"/>
      <c r="P623" s="148"/>
      <c r="Q623" s="148"/>
      <c r="R623" s="148"/>
      <c r="S623" s="148"/>
      <c r="T623" s="148"/>
      <c r="U623" s="148"/>
    </row>
    <row r="624" spans="1:22">
      <c r="D624" s="148"/>
      <c r="E624" s="148"/>
      <c r="F624" s="148"/>
      <c r="G624" s="148"/>
      <c r="H624" s="148"/>
      <c r="I624" s="148"/>
      <c r="J624" s="148"/>
      <c r="K624" s="148"/>
      <c r="L624" s="148"/>
      <c r="M624" s="148"/>
      <c r="N624" s="148"/>
      <c r="O624" s="148"/>
      <c r="P624" s="148"/>
      <c r="Q624" s="148"/>
      <c r="R624" s="148"/>
      <c r="S624" s="148"/>
      <c r="T624" s="148"/>
      <c r="U624" s="148"/>
    </row>
    <row r="625" spans="4:21">
      <c r="D625" s="148"/>
      <c r="E625" s="148"/>
      <c r="F625" s="148"/>
      <c r="G625" s="148"/>
      <c r="H625" s="148"/>
      <c r="I625" s="148"/>
      <c r="J625" s="148"/>
      <c r="K625" s="148"/>
      <c r="L625" s="148"/>
      <c r="M625" s="148"/>
      <c r="N625" s="148"/>
      <c r="O625" s="148"/>
      <c r="P625" s="148"/>
      <c r="Q625" s="148"/>
      <c r="R625" s="148"/>
      <c r="S625" s="148"/>
      <c r="T625" s="148"/>
      <c r="U625" s="148"/>
    </row>
    <row r="626" spans="4:21">
      <c r="D626" s="148"/>
      <c r="E626" s="148"/>
      <c r="F626" s="148"/>
      <c r="G626" s="148"/>
      <c r="H626" s="148"/>
      <c r="I626" s="148"/>
      <c r="J626" s="148"/>
      <c r="K626" s="148"/>
      <c r="L626" s="148"/>
      <c r="M626" s="148"/>
      <c r="N626" s="148"/>
      <c r="O626" s="148"/>
      <c r="P626" s="148"/>
      <c r="Q626" s="148"/>
      <c r="R626" s="148"/>
      <c r="S626" s="148"/>
      <c r="T626" s="148"/>
      <c r="U626" s="148"/>
    </row>
    <row r="627" spans="4:21">
      <c r="D627" s="148"/>
      <c r="E627" s="148"/>
      <c r="F627" s="148"/>
      <c r="G627" s="148"/>
      <c r="H627" s="148"/>
      <c r="I627" s="148"/>
      <c r="J627" s="148"/>
      <c r="K627" s="148"/>
      <c r="L627" s="148"/>
      <c r="M627" s="148"/>
      <c r="N627" s="148"/>
      <c r="O627" s="148"/>
      <c r="P627" s="148"/>
      <c r="Q627" s="148"/>
      <c r="R627" s="148"/>
      <c r="S627" s="148"/>
      <c r="T627" s="148"/>
      <c r="U627" s="148"/>
    </row>
    <row r="628" spans="4:21">
      <c r="D628" s="148"/>
      <c r="E628" s="148"/>
      <c r="F628" s="148"/>
      <c r="G628" s="148"/>
      <c r="H628" s="148"/>
      <c r="I628" s="148"/>
      <c r="J628" s="148"/>
      <c r="K628" s="148"/>
      <c r="L628" s="148"/>
      <c r="M628" s="148"/>
      <c r="N628" s="148"/>
      <c r="O628" s="148"/>
      <c r="P628" s="148"/>
      <c r="Q628" s="148"/>
      <c r="R628" s="148"/>
      <c r="S628" s="148"/>
      <c r="T628" s="148"/>
      <c r="U628" s="148"/>
    </row>
    <row r="629" spans="4:21">
      <c r="D629" s="148"/>
      <c r="E629" s="148"/>
      <c r="F629" s="148"/>
      <c r="G629" s="148"/>
      <c r="H629" s="148"/>
      <c r="I629" s="148"/>
      <c r="J629" s="148"/>
      <c r="K629" s="148"/>
      <c r="L629" s="148"/>
      <c r="M629" s="148"/>
      <c r="N629" s="148"/>
      <c r="O629" s="148"/>
      <c r="P629" s="148"/>
      <c r="Q629" s="148"/>
      <c r="R629" s="148"/>
      <c r="S629" s="148"/>
      <c r="T629" s="148"/>
      <c r="U629" s="148"/>
    </row>
    <row r="630" spans="4:21">
      <c r="D630" s="148"/>
      <c r="E630" s="148"/>
      <c r="F630" s="148"/>
      <c r="G630" s="148"/>
      <c r="H630" s="148"/>
      <c r="I630" s="148"/>
      <c r="J630" s="148"/>
      <c r="K630" s="148"/>
      <c r="L630" s="148"/>
      <c r="M630" s="148"/>
      <c r="N630" s="148"/>
      <c r="O630" s="148"/>
      <c r="P630" s="148"/>
      <c r="Q630" s="148"/>
      <c r="R630" s="148"/>
      <c r="S630" s="148"/>
      <c r="T630" s="148"/>
      <c r="U630" s="148"/>
    </row>
    <row r="631" spans="4:21">
      <c r="D631" s="148"/>
      <c r="E631" s="148"/>
      <c r="F631" s="148"/>
      <c r="G631" s="148"/>
      <c r="H631" s="148"/>
      <c r="I631" s="148"/>
      <c r="J631" s="148"/>
      <c r="K631" s="148"/>
      <c r="L631" s="148"/>
      <c r="M631" s="148"/>
      <c r="N631" s="148"/>
      <c r="O631" s="148"/>
      <c r="P631" s="148"/>
      <c r="Q631" s="148"/>
      <c r="R631" s="148"/>
      <c r="S631" s="148"/>
      <c r="T631" s="148"/>
      <c r="U631" s="148"/>
    </row>
    <row r="632" spans="4:21">
      <c r="D632" s="148"/>
      <c r="E632" s="148"/>
      <c r="F632" s="148"/>
      <c r="G632" s="148"/>
      <c r="H632" s="148"/>
      <c r="I632" s="148"/>
      <c r="J632" s="148"/>
      <c r="K632" s="148"/>
      <c r="L632" s="148"/>
      <c r="M632" s="148"/>
      <c r="N632" s="148"/>
      <c r="O632" s="148"/>
      <c r="P632" s="148"/>
      <c r="Q632" s="148"/>
      <c r="R632" s="148"/>
      <c r="S632" s="148"/>
      <c r="T632" s="148"/>
      <c r="U632" s="148"/>
    </row>
    <row r="633" spans="4:21">
      <c r="D633" s="148"/>
      <c r="E633" s="148"/>
      <c r="F633" s="148"/>
      <c r="G633" s="148"/>
      <c r="H633" s="148"/>
      <c r="I633" s="148"/>
      <c r="J633" s="148"/>
      <c r="K633" s="148"/>
      <c r="L633" s="148"/>
      <c r="M633" s="148"/>
      <c r="N633" s="148"/>
      <c r="O633" s="148"/>
      <c r="P633" s="148"/>
      <c r="Q633" s="148"/>
      <c r="R633" s="148"/>
      <c r="S633" s="148"/>
      <c r="T633" s="148"/>
      <c r="U633" s="148"/>
    </row>
    <row r="634" spans="4:21">
      <c r="D634" s="148"/>
      <c r="E634" s="148"/>
      <c r="F634" s="148"/>
      <c r="G634" s="148"/>
      <c r="H634" s="148"/>
      <c r="I634" s="148"/>
      <c r="J634" s="148"/>
      <c r="K634" s="148"/>
      <c r="L634" s="148"/>
      <c r="M634" s="148"/>
      <c r="N634" s="148"/>
      <c r="O634" s="148"/>
      <c r="P634" s="148"/>
      <c r="Q634" s="148"/>
      <c r="R634" s="148"/>
      <c r="S634" s="148"/>
      <c r="T634" s="148"/>
      <c r="U634" s="148"/>
    </row>
    <row r="635" spans="4:21">
      <c r="D635" s="148"/>
      <c r="E635" s="148"/>
      <c r="F635" s="148"/>
      <c r="G635" s="148"/>
      <c r="H635" s="148"/>
      <c r="I635" s="148"/>
      <c r="J635" s="148"/>
      <c r="K635" s="148"/>
      <c r="L635" s="148"/>
      <c r="M635" s="148"/>
      <c r="N635" s="148"/>
      <c r="O635" s="148"/>
      <c r="P635" s="148"/>
      <c r="Q635" s="148"/>
      <c r="R635" s="148"/>
      <c r="S635" s="148"/>
      <c r="T635" s="148"/>
      <c r="U635" s="148"/>
    </row>
    <row r="636" spans="4:21">
      <c r="D636" s="148"/>
      <c r="E636" s="148"/>
      <c r="F636" s="148"/>
      <c r="G636" s="148"/>
      <c r="H636" s="148"/>
      <c r="I636" s="148"/>
      <c r="J636" s="148"/>
      <c r="K636" s="148"/>
      <c r="L636" s="148"/>
      <c r="M636" s="148"/>
      <c r="N636" s="148"/>
      <c r="O636" s="148"/>
      <c r="P636" s="148"/>
      <c r="Q636" s="148"/>
      <c r="R636" s="148"/>
      <c r="S636" s="148"/>
      <c r="T636" s="148"/>
      <c r="U636" s="148"/>
    </row>
    <row r="637" spans="4:21">
      <c r="D637" s="148"/>
      <c r="E637" s="148"/>
      <c r="F637" s="148"/>
      <c r="G637" s="148"/>
      <c r="H637" s="148"/>
      <c r="I637" s="148"/>
      <c r="J637" s="148"/>
      <c r="K637" s="148"/>
      <c r="L637" s="148"/>
      <c r="M637" s="148"/>
      <c r="N637" s="148"/>
      <c r="O637" s="148"/>
      <c r="P637" s="148"/>
      <c r="Q637" s="148"/>
      <c r="R637" s="148"/>
      <c r="S637" s="148"/>
      <c r="T637" s="148"/>
      <c r="U637" s="148"/>
    </row>
    <row r="638" spans="4:21">
      <c r="D638" s="148"/>
      <c r="E638" s="148"/>
      <c r="F638" s="148"/>
      <c r="G638" s="148"/>
      <c r="H638" s="148"/>
      <c r="I638" s="148"/>
      <c r="J638" s="148"/>
      <c r="K638" s="148"/>
      <c r="L638" s="148"/>
      <c r="M638" s="148"/>
      <c r="N638" s="148"/>
      <c r="O638" s="148"/>
      <c r="P638" s="148"/>
      <c r="Q638" s="148"/>
      <c r="R638" s="148"/>
      <c r="S638" s="148"/>
      <c r="T638" s="148"/>
      <c r="U638" s="148"/>
    </row>
    <row r="639" spans="4:21">
      <c r="D639" s="148"/>
      <c r="E639" s="148"/>
      <c r="F639" s="148"/>
      <c r="G639" s="148"/>
      <c r="H639" s="148"/>
      <c r="I639" s="148"/>
      <c r="J639" s="148"/>
      <c r="K639" s="148"/>
      <c r="L639" s="148"/>
      <c r="M639" s="148"/>
      <c r="N639" s="148"/>
      <c r="O639" s="148"/>
      <c r="P639" s="148"/>
      <c r="Q639" s="148"/>
      <c r="R639" s="148"/>
      <c r="S639" s="148"/>
      <c r="T639" s="148"/>
      <c r="U639" s="148"/>
    </row>
    <row r="640" spans="4:21">
      <c r="D640" s="148"/>
      <c r="E640" s="148"/>
      <c r="F640" s="148"/>
      <c r="G640" s="148"/>
      <c r="H640" s="148"/>
      <c r="I640" s="148"/>
      <c r="J640" s="148"/>
      <c r="K640" s="148"/>
      <c r="L640" s="148"/>
      <c r="M640" s="148"/>
      <c r="N640" s="148"/>
      <c r="O640" s="148"/>
      <c r="P640" s="148"/>
      <c r="Q640" s="148"/>
      <c r="R640" s="148"/>
      <c r="S640" s="148"/>
      <c r="T640" s="148"/>
      <c r="U640" s="148"/>
    </row>
    <row r="641" spans="4:21">
      <c r="D641" s="148"/>
      <c r="E641" s="148"/>
      <c r="F641" s="148"/>
      <c r="G641" s="148"/>
      <c r="H641" s="148"/>
      <c r="I641" s="148"/>
      <c r="J641" s="148"/>
      <c r="K641" s="148"/>
      <c r="L641" s="148"/>
      <c r="M641" s="148"/>
      <c r="N641" s="148"/>
      <c r="O641" s="148"/>
      <c r="P641" s="148"/>
      <c r="Q641" s="148"/>
      <c r="R641" s="148"/>
      <c r="S641" s="148"/>
      <c r="T641" s="148"/>
      <c r="U641" s="148"/>
    </row>
    <row r="642" spans="4:21">
      <c r="D642" s="148"/>
      <c r="E642" s="148"/>
      <c r="F642" s="148"/>
      <c r="G642" s="148"/>
      <c r="H642" s="148"/>
      <c r="I642" s="148"/>
      <c r="J642" s="148"/>
      <c r="K642" s="148"/>
      <c r="L642" s="148"/>
      <c r="M642" s="148"/>
      <c r="N642" s="148"/>
      <c r="O642" s="148"/>
      <c r="P642" s="148"/>
      <c r="Q642" s="148"/>
      <c r="R642" s="148"/>
      <c r="S642" s="148"/>
      <c r="T642" s="148"/>
      <c r="U642" s="148"/>
    </row>
    <row r="643" spans="4:21">
      <c r="D643" s="148"/>
      <c r="E643" s="148"/>
      <c r="F643" s="148"/>
      <c r="G643" s="148"/>
      <c r="H643" s="148"/>
      <c r="I643" s="148"/>
      <c r="J643" s="148"/>
      <c r="K643" s="148"/>
      <c r="L643" s="148"/>
      <c r="M643" s="148"/>
      <c r="N643" s="148"/>
      <c r="O643" s="148"/>
      <c r="P643" s="148"/>
      <c r="Q643" s="148"/>
      <c r="R643" s="148"/>
      <c r="S643" s="148"/>
      <c r="T643" s="148"/>
      <c r="U643" s="148"/>
    </row>
    <row r="644" spans="4:21">
      <c r="D644" s="148"/>
      <c r="E644" s="148"/>
      <c r="F644" s="148"/>
      <c r="G644" s="148"/>
      <c r="H644" s="148"/>
      <c r="I644" s="148"/>
      <c r="J644" s="148"/>
      <c r="K644" s="148"/>
      <c r="L644" s="148"/>
      <c r="M644" s="148"/>
      <c r="N644" s="148"/>
      <c r="O644" s="148"/>
      <c r="P644" s="148"/>
      <c r="Q644" s="148"/>
      <c r="R644" s="148"/>
      <c r="S644" s="148"/>
      <c r="T644" s="148"/>
      <c r="U644" s="148"/>
    </row>
    <row r="645" spans="4:21">
      <c r="D645" s="148"/>
      <c r="E645" s="148"/>
      <c r="F645" s="148"/>
      <c r="G645" s="148"/>
      <c r="H645" s="148"/>
      <c r="I645" s="148"/>
      <c r="J645" s="148"/>
      <c r="K645" s="148"/>
      <c r="L645" s="148"/>
      <c r="M645" s="148"/>
      <c r="N645" s="148"/>
      <c r="O645" s="148"/>
      <c r="P645" s="148"/>
      <c r="Q645" s="148"/>
      <c r="R645" s="148"/>
      <c r="S645" s="148"/>
      <c r="T645" s="148"/>
      <c r="U645" s="148"/>
    </row>
    <row r="646" spans="4:21">
      <c r="D646" s="148"/>
      <c r="E646" s="148"/>
      <c r="F646" s="148"/>
      <c r="G646" s="148"/>
      <c r="H646" s="148"/>
      <c r="I646" s="148"/>
      <c r="J646" s="148"/>
      <c r="K646" s="148"/>
      <c r="L646" s="148"/>
      <c r="M646" s="148"/>
      <c r="N646" s="148"/>
      <c r="O646" s="148"/>
      <c r="P646" s="148"/>
      <c r="Q646" s="148"/>
      <c r="R646" s="148"/>
      <c r="S646" s="148"/>
      <c r="T646" s="148"/>
      <c r="U646" s="148"/>
    </row>
    <row r="647" spans="4:21">
      <c r="D647" s="148"/>
      <c r="E647" s="148"/>
      <c r="F647" s="148"/>
      <c r="G647" s="148"/>
      <c r="H647" s="148"/>
      <c r="I647" s="148"/>
      <c r="J647" s="148"/>
      <c r="K647" s="148"/>
      <c r="L647" s="148"/>
      <c r="M647" s="148"/>
      <c r="N647" s="148"/>
      <c r="O647" s="148"/>
      <c r="P647" s="148"/>
      <c r="Q647" s="148"/>
      <c r="R647" s="148"/>
      <c r="S647" s="148"/>
      <c r="T647" s="148"/>
      <c r="U647" s="148"/>
    </row>
    <row r="648" spans="4:21">
      <c r="D648" s="148"/>
      <c r="E648" s="148"/>
      <c r="F648" s="148"/>
      <c r="G648" s="148"/>
      <c r="H648" s="148"/>
      <c r="I648" s="148"/>
      <c r="J648" s="148"/>
      <c r="K648" s="148"/>
      <c r="L648" s="148"/>
      <c r="M648" s="148"/>
      <c r="N648" s="148"/>
      <c r="O648" s="148"/>
      <c r="P648" s="148"/>
      <c r="Q648" s="148"/>
      <c r="R648" s="148"/>
      <c r="S648" s="148"/>
      <c r="T648" s="148"/>
      <c r="U648" s="148"/>
    </row>
    <row r="649" spans="4:21">
      <c r="D649" s="148"/>
      <c r="E649" s="148"/>
      <c r="F649" s="148"/>
      <c r="G649" s="148"/>
      <c r="H649" s="148"/>
      <c r="I649" s="148"/>
      <c r="J649" s="148"/>
      <c r="K649" s="148"/>
      <c r="L649" s="148"/>
      <c r="M649" s="148"/>
      <c r="N649" s="148"/>
      <c r="O649" s="148"/>
      <c r="P649" s="148"/>
      <c r="Q649" s="148"/>
      <c r="R649" s="148"/>
      <c r="S649" s="148"/>
      <c r="T649" s="148"/>
      <c r="U649" s="148"/>
    </row>
    <row r="650" spans="4:21">
      <c r="D650" s="148"/>
      <c r="E650" s="148"/>
      <c r="F650" s="148"/>
      <c r="G650" s="148"/>
      <c r="H650" s="148"/>
      <c r="I650" s="148"/>
      <c r="J650" s="148"/>
      <c r="K650" s="148"/>
      <c r="L650" s="148"/>
      <c r="M650" s="148"/>
      <c r="N650" s="148"/>
      <c r="O650" s="148"/>
      <c r="P650" s="148"/>
      <c r="Q650" s="148"/>
      <c r="R650" s="148"/>
      <c r="S650" s="148"/>
      <c r="T650" s="148"/>
      <c r="U650" s="148"/>
    </row>
    <row r="651" spans="4:21">
      <c r="D651" s="148"/>
      <c r="E651" s="148"/>
      <c r="F651" s="148"/>
      <c r="G651" s="148"/>
      <c r="H651" s="148"/>
      <c r="I651" s="148"/>
      <c r="J651" s="148"/>
      <c r="K651" s="148"/>
      <c r="L651" s="148"/>
      <c r="M651" s="148"/>
      <c r="N651" s="148"/>
      <c r="O651" s="148"/>
      <c r="P651" s="148"/>
      <c r="Q651" s="148"/>
      <c r="R651" s="148"/>
      <c r="S651" s="148"/>
      <c r="T651" s="148"/>
      <c r="U651" s="148"/>
    </row>
    <row r="652" spans="4:21">
      <c r="D652" s="148"/>
      <c r="E652" s="148"/>
      <c r="F652" s="148"/>
      <c r="G652" s="148"/>
      <c r="H652" s="148"/>
      <c r="I652" s="148"/>
      <c r="J652" s="148"/>
      <c r="K652" s="148"/>
      <c r="L652" s="148"/>
      <c r="M652" s="148"/>
      <c r="N652" s="148"/>
      <c r="O652" s="148"/>
      <c r="P652" s="148"/>
      <c r="Q652" s="148"/>
      <c r="R652" s="148"/>
      <c r="S652" s="148"/>
      <c r="T652" s="148"/>
      <c r="U652" s="148"/>
    </row>
    <row r="653" spans="4:21">
      <c r="D653" s="148"/>
      <c r="E653" s="148"/>
      <c r="F653" s="148"/>
      <c r="G653" s="148"/>
      <c r="H653" s="148"/>
      <c r="I653" s="148"/>
      <c r="J653" s="148"/>
      <c r="K653" s="148"/>
      <c r="L653" s="148"/>
      <c r="M653" s="148"/>
      <c r="N653" s="148"/>
      <c r="O653" s="148"/>
      <c r="P653" s="148"/>
      <c r="Q653" s="148"/>
      <c r="R653" s="148"/>
      <c r="S653" s="148"/>
      <c r="T653" s="148"/>
      <c r="U653" s="148"/>
    </row>
    <row r="654" spans="4:21">
      <c r="D654" s="148"/>
      <c r="E654" s="148"/>
      <c r="F654" s="148"/>
      <c r="G654" s="148"/>
      <c r="H654" s="148"/>
      <c r="I654" s="148"/>
      <c r="J654" s="148"/>
      <c r="K654" s="148"/>
      <c r="L654" s="148"/>
      <c r="M654" s="148"/>
      <c r="N654" s="148"/>
      <c r="O654" s="148"/>
      <c r="P654" s="148"/>
      <c r="Q654" s="148"/>
      <c r="R654" s="148"/>
      <c r="S654" s="148"/>
      <c r="T654" s="148"/>
      <c r="U654" s="148"/>
    </row>
    <row r="655" spans="4:21">
      <c r="D655" s="148"/>
      <c r="E655" s="148"/>
      <c r="F655" s="148"/>
      <c r="G655" s="148"/>
      <c r="H655" s="148"/>
      <c r="I655" s="148"/>
      <c r="J655" s="148"/>
      <c r="K655" s="148"/>
      <c r="L655" s="148"/>
      <c r="M655" s="148"/>
      <c r="N655" s="148"/>
      <c r="O655" s="148"/>
      <c r="P655" s="148"/>
      <c r="Q655" s="148"/>
      <c r="R655" s="148"/>
      <c r="S655" s="148"/>
      <c r="T655" s="148"/>
      <c r="U655" s="148"/>
    </row>
    <row r="656" spans="4:21">
      <c r="D656" s="148"/>
      <c r="E656" s="148"/>
      <c r="F656" s="148"/>
      <c r="G656" s="148"/>
      <c r="H656" s="148"/>
      <c r="I656" s="148"/>
      <c r="J656" s="148"/>
      <c r="K656" s="148"/>
      <c r="L656" s="148"/>
      <c r="M656" s="148"/>
      <c r="N656" s="148"/>
      <c r="O656" s="148"/>
      <c r="P656" s="148"/>
      <c r="Q656" s="148"/>
      <c r="R656" s="148"/>
      <c r="S656" s="148"/>
      <c r="T656" s="148"/>
      <c r="U656" s="148"/>
    </row>
    <row r="657" spans="4:21">
      <c r="D657" s="148"/>
      <c r="E657" s="148"/>
      <c r="F657" s="148"/>
      <c r="G657" s="148"/>
      <c r="H657" s="148"/>
      <c r="I657" s="148"/>
      <c r="J657" s="148"/>
      <c r="K657" s="148"/>
      <c r="L657" s="148"/>
      <c r="M657" s="148"/>
      <c r="N657" s="148"/>
      <c r="O657" s="148"/>
      <c r="P657" s="148"/>
      <c r="Q657" s="148"/>
      <c r="R657" s="148"/>
      <c r="S657" s="148"/>
      <c r="T657" s="148"/>
      <c r="U657" s="148"/>
    </row>
    <row r="658" spans="4:21">
      <c r="D658" s="148"/>
      <c r="E658" s="148"/>
      <c r="F658" s="148"/>
      <c r="G658" s="148"/>
      <c r="H658" s="148"/>
      <c r="I658" s="148"/>
      <c r="J658" s="148"/>
      <c r="K658" s="148"/>
      <c r="L658" s="148"/>
      <c r="M658" s="148"/>
      <c r="N658" s="148"/>
      <c r="O658" s="148"/>
      <c r="P658" s="148"/>
      <c r="Q658" s="148"/>
      <c r="R658" s="148"/>
      <c r="S658" s="148"/>
      <c r="T658" s="148"/>
      <c r="U658" s="148"/>
    </row>
    <row r="659" spans="4:21">
      <c r="D659" s="148"/>
      <c r="E659" s="148"/>
      <c r="F659" s="148"/>
      <c r="G659" s="148"/>
      <c r="H659" s="148"/>
      <c r="I659" s="148"/>
      <c r="J659" s="148"/>
      <c r="K659" s="148"/>
      <c r="L659" s="148"/>
      <c r="M659" s="148"/>
      <c r="N659" s="148"/>
      <c r="O659" s="148"/>
      <c r="P659" s="148"/>
      <c r="Q659" s="148"/>
      <c r="R659" s="148"/>
      <c r="S659" s="148"/>
      <c r="T659" s="148"/>
      <c r="U659" s="148"/>
    </row>
    <row r="660" spans="4:21">
      <c r="D660" s="148"/>
      <c r="E660" s="148"/>
      <c r="F660" s="148"/>
      <c r="G660" s="148"/>
      <c r="H660" s="148"/>
      <c r="I660" s="148"/>
      <c r="J660" s="148"/>
      <c r="K660" s="148"/>
      <c r="L660" s="148"/>
      <c r="M660" s="148"/>
      <c r="N660" s="148"/>
      <c r="O660" s="148"/>
      <c r="P660" s="148"/>
      <c r="Q660" s="148"/>
      <c r="R660" s="148"/>
      <c r="S660" s="148"/>
      <c r="T660" s="148"/>
      <c r="U660" s="148"/>
    </row>
    <row r="661" spans="4:21">
      <c r="D661" s="148"/>
      <c r="E661" s="148"/>
      <c r="F661" s="148"/>
      <c r="G661" s="148"/>
      <c r="H661" s="148"/>
      <c r="I661" s="148"/>
      <c r="J661" s="148"/>
      <c r="K661" s="148"/>
      <c r="L661" s="148"/>
      <c r="M661" s="148"/>
      <c r="N661" s="148"/>
      <c r="O661" s="148"/>
      <c r="P661" s="148"/>
      <c r="Q661" s="148"/>
      <c r="R661" s="148"/>
      <c r="S661" s="148"/>
      <c r="T661" s="148"/>
      <c r="U661" s="148"/>
    </row>
    <row r="662" spans="4:21">
      <c r="D662" s="148"/>
      <c r="E662" s="148"/>
      <c r="F662" s="148"/>
      <c r="G662" s="148"/>
      <c r="H662" s="148"/>
      <c r="I662" s="148"/>
      <c r="J662" s="148"/>
      <c r="K662" s="148"/>
      <c r="L662" s="148"/>
      <c r="M662" s="148"/>
      <c r="N662" s="148"/>
      <c r="O662" s="148"/>
      <c r="P662" s="148"/>
      <c r="Q662" s="148"/>
      <c r="R662" s="148"/>
      <c r="S662" s="148"/>
      <c r="T662" s="148"/>
      <c r="U662" s="148"/>
    </row>
    <row r="663" spans="4:21">
      <c r="D663" s="148"/>
      <c r="E663" s="148"/>
      <c r="F663" s="148"/>
      <c r="G663" s="148"/>
      <c r="H663" s="148"/>
      <c r="I663" s="148"/>
      <c r="J663" s="148"/>
      <c r="K663" s="148"/>
      <c r="L663" s="148"/>
      <c r="M663" s="148"/>
      <c r="N663" s="148"/>
      <c r="O663" s="148"/>
      <c r="P663" s="148"/>
      <c r="Q663" s="148"/>
      <c r="R663" s="148"/>
      <c r="S663" s="148"/>
      <c r="T663" s="148"/>
      <c r="U663" s="148"/>
    </row>
    <row r="664" spans="4:21">
      <c r="D664" s="148"/>
      <c r="E664" s="148"/>
      <c r="F664" s="148"/>
      <c r="G664" s="148"/>
      <c r="H664" s="148"/>
      <c r="I664" s="148"/>
      <c r="J664" s="148"/>
      <c r="K664" s="148"/>
      <c r="L664" s="148"/>
      <c r="M664" s="148"/>
      <c r="N664" s="148"/>
      <c r="O664" s="148"/>
      <c r="P664" s="148"/>
      <c r="Q664" s="148"/>
      <c r="R664" s="148"/>
      <c r="S664" s="148"/>
      <c r="T664" s="148"/>
      <c r="U664" s="148"/>
    </row>
    <row r="665" spans="4:21">
      <c r="D665" s="148"/>
      <c r="E665" s="148"/>
      <c r="F665" s="148"/>
      <c r="G665" s="148"/>
      <c r="H665" s="148"/>
      <c r="I665" s="148"/>
      <c r="J665" s="148"/>
      <c r="K665" s="148"/>
      <c r="L665" s="148"/>
      <c r="M665" s="148"/>
      <c r="N665" s="148"/>
      <c r="O665" s="148"/>
      <c r="P665" s="148"/>
      <c r="Q665" s="148"/>
      <c r="R665" s="148"/>
      <c r="S665" s="148"/>
      <c r="T665" s="148"/>
      <c r="U665" s="148"/>
    </row>
    <row r="666" spans="4:21">
      <c r="D666" s="148"/>
      <c r="E666" s="148"/>
      <c r="F666" s="148"/>
      <c r="G666" s="148"/>
      <c r="H666" s="148"/>
      <c r="I666" s="148"/>
      <c r="J666" s="148"/>
      <c r="K666" s="148"/>
      <c r="L666" s="148"/>
      <c r="M666" s="148"/>
      <c r="N666" s="148"/>
      <c r="O666" s="148"/>
      <c r="P666" s="148"/>
      <c r="Q666" s="148"/>
      <c r="R666" s="148"/>
      <c r="S666" s="148"/>
      <c r="T666" s="148"/>
      <c r="U666" s="148"/>
    </row>
    <row r="667" spans="4:21">
      <c r="D667" s="148"/>
      <c r="E667" s="148"/>
      <c r="F667" s="148"/>
      <c r="G667" s="148"/>
      <c r="H667" s="148"/>
      <c r="I667" s="148"/>
      <c r="J667" s="148"/>
      <c r="K667" s="148"/>
      <c r="L667" s="148"/>
      <c r="M667" s="148"/>
      <c r="N667" s="148"/>
      <c r="O667" s="148"/>
      <c r="P667" s="148"/>
      <c r="Q667" s="148"/>
      <c r="R667" s="148"/>
      <c r="S667" s="148"/>
      <c r="T667" s="148"/>
      <c r="U667" s="148"/>
    </row>
    <row r="668" spans="4:21">
      <c r="D668" s="148"/>
      <c r="E668" s="148"/>
      <c r="F668" s="148"/>
      <c r="G668" s="148"/>
      <c r="H668" s="148"/>
      <c r="I668" s="148"/>
      <c r="J668" s="148"/>
      <c r="K668" s="148"/>
      <c r="L668" s="148"/>
      <c r="M668" s="148"/>
      <c r="N668" s="148"/>
      <c r="O668" s="148"/>
      <c r="P668" s="148"/>
      <c r="Q668" s="148"/>
      <c r="R668" s="148"/>
      <c r="S668" s="148"/>
      <c r="T668" s="148"/>
      <c r="U668" s="148"/>
    </row>
    <row r="669" spans="4:21">
      <c r="D669" s="148"/>
      <c r="E669" s="148"/>
      <c r="F669" s="148"/>
      <c r="G669" s="148"/>
      <c r="H669" s="148"/>
      <c r="I669" s="148"/>
      <c r="J669" s="148"/>
      <c r="K669" s="148"/>
      <c r="L669" s="148"/>
      <c r="M669" s="148"/>
      <c r="N669" s="148"/>
      <c r="O669" s="148"/>
      <c r="P669" s="148"/>
      <c r="Q669" s="148"/>
      <c r="R669" s="148"/>
      <c r="S669" s="148"/>
      <c r="T669" s="148"/>
      <c r="U669" s="148"/>
    </row>
    <row r="670" spans="4:21">
      <c r="D670" s="148"/>
      <c r="E670" s="148"/>
      <c r="F670" s="148"/>
      <c r="G670" s="148"/>
      <c r="H670" s="148"/>
      <c r="I670" s="148"/>
      <c r="J670" s="148"/>
      <c r="K670" s="148"/>
      <c r="L670" s="148"/>
      <c r="M670" s="148"/>
      <c r="N670" s="148"/>
      <c r="O670" s="148"/>
      <c r="P670" s="148"/>
      <c r="Q670" s="148"/>
      <c r="R670" s="148"/>
      <c r="S670" s="148"/>
      <c r="T670" s="148"/>
      <c r="U670" s="148"/>
    </row>
    <row r="671" spans="4:21">
      <c r="D671" s="148"/>
      <c r="E671" s="148"/>
      <c r="F671" s="148"/>
      <c r="G671" s="148"/>
      <c r="H671" s="148"/>
      <c r="I671" s="148"/>
      <c r="J671" s="148"/>
      <c r="K671" s="148"/>
      <c r="L671" s="148"/>
      <c r="M671" s="148"/>
      <c r="N671" s="148"/>
      <c r="O671" s="148"/>
      <c r="P671" s="148"/>
      <c r="Q671" s="148"/>
      <c r="R671" s="148"/>
      <c r="S671" s="148"/>
      <c r="T671" s="148"/>
      <c r="U671" s="148"/>
    </row>
    <row r="672" spans="4:21">
      <c r="D672" s="148"/>
      <c r="E672" s="148"/>
      <c r="F672" s="148"/>
      <c r="G672" s="148"/>
      <c r="H672" s="148"/>
      <c r="I672" s="148"/>
      <c r="J672" s="148"/>
      <c r="K672" s="148"/>
      <c r="L672" s="148"/>
      <c r="M672" s="148"/>
      <c r="N672" s="148"/>
      <c r="O672" s="148"/>
      <c r="P672" s="148"/>
      <c r="Q672" s="148"/>
      <c r="R672" s="148"/>
      <c r="S672" s="148"/>
      <c r="T672" s="148"/>
      <c r="U672" s="148"/>
    </row>
    <row r="673" spans="4:21">
      <c r="D673" s="148"/>
      <c r="E673" s="148"/>
      <c r="F673" s="148"/>
      <c r="G673" s="148"/>
      <c r="H673" s="148"/>
      <c r="I673" s="148"/>
      <c r="J673" s="148"/>
      <c r="K673" s="148"/>
      <c r="L673" s="148"/>
      <c r="M673" s="148"/>
      <c r="N673" s="148"/>
      <c r="O673" s="148"/>
      <c r="P673" s="148"/>
      <c r="Q673" s="148"/>
      <c r="R673" s="148"/>
      <c r="S673" s="148"/>
      <c r="T673" s="148"/>
      <c r="U673" s="148"/>
    </row>
    <row r="674" spans="4:21">
      <c r="D674" s="148"/>
      <c r="E674" s="148"/>
      <c r="F674" s="148"/>
      <c r="G674" s="148"/>
      <c r="H674" s="148"/>
      <c r="I674" s="148"/>
      <c r="J674" s="148"/>
      <c r="K674" s="148"/>
      <c r="L674" s="148"/>
      <c r="M674" s="148"/>
      <c r="N674" s="148"/>
      <c r="O674" s="148"/>
      <c r="P674" s="148"/>
      <c r="Q674" s="148"/>
      <c r="R674" s="148"/>
      <c r="S674" s="148"/>
      <c r="T674" s="148"/>
      <c r="U674" s="148"/>
    </row>
    <row r="675" spans="4:21">
      <c r="D675" s="148"/>
      <c r="E675" s="148"/>
      <c r="F675" s="148"/>
      <c r="G675" s="148"/>
      <c r="H675" s="148"/>
      <c r="I675" s="148"/>
      <c r="J675" s="148"/>
      <c r="K675" s="148"/>
      <c r="L675" s="148"/>
      <c r="M675" s="148"/>
      <c r="N675" s="148"/>
      <c r="O675" s="148"/>
      <c r="P675" s="148"/>
      <c r="Q675" s="148"/>
      <c r="R675" s="148"/>
      <c r="S675" s="148"/>
      <c r="T675" s="148"/>
      <c r="U675" s="148"/>
    </row>
    <row r="676" spans="4:21">
      <c r="D676" s="148"/>
      <c r="E676" s="148"/>
      <c r="F676" s="148"/>
      <c r="G676" s="148"/>
      <c r="H676" s="148"/>
      <c r="I676" s="148"/>
      <c r="J676" s="148"/>
      <c r="K676" s="148"/>
      <c r="L676" s="148"/>
      <c r="M676" s="148"/>
      <c r="N676" s="148"/>
      <c r="O676" s="148"/>
      <c r="P676" s="148"/>
      <c r="Q676" s="148"/>
      <c r="R676" s="148"/>
      <c r="S676" s="148"/>
      <c r="T676" s="148"/>
      <c r="U676" s="148"/>
    </row>
    <row r="677" spans="4:21">
      <c r="D677" s="148"/>
      <c r="E677" s="148"/>
      <c r="F677" s="148"/>
      <c r="G677" s="148"/>
      <c r="H677" s="148"/>
      <c r="I677" s="148"/>
      <c r="J677" s="148"/>
      <c r="K677" s="148"/>
      <c r="L677" s="148"/>
      <c r="M677" s="148"/>
      <c r="N677" s="148"/>
      <c r="O677" s="148"/>
      <c r="P677" s="148"/>
      <c r="Q677" s="148"/>
      <c r="R677" s="148"/>
      <c r="S677" s="148"/>
      <c r="T677" s="148"/>
      <c r="U677" s="148"/>
    </row>
    <row r="678" spans="4:21">
      <c r="D678" s="148"/>
      <c r="E678" s="148"/>
      <c r="F678" s="148"/>
      <c r="G678" s="148"/>
      <c r="H678" s="148"/>
      <c r="I678" s="148"/>
      <c r="J678" s="148"/>
      <c r="K678" s="148"/>
      <c r="L678" s="148"/>
      <c r="M678" s="148"/>
      <c r="N678" s="148"/>
      <c r="O678" s="148"/>
      <c r="P678" s="148"/>
      <c r="Q678" s="148"/>
      <c r="R678" s="148"/>
      <c r="S678" s="148"/>
      <c r="T678" s="148"/>
      <c r="U678" s="148"/>
    </row>
    <row r="679" spans="4:21">
      <c r="D679" s="148"/>
      <c r="E679" s="148"/>
      <c r="F679" s="148"/>
      <c r="G679" s="148"/>
      <c r="H679" s="148"/>
      <c r="I679" s="148"/>
      <c r="J679" s="148"/>
      <c r="K679" s="148"/>
      <c r="L679" s="148"/>
      <c r="M679" s="148"/>
      <c r="N679" s="148"/>
      <c r="O679" s="148"/>
      <c r="P679" s="148"/>
      <c r="Q679" s="148"/>
      <c r="R679" s="148"/>
      <c r="S679" s="148"/>
      <c r="T679" s="148"/>
      <c r="U679" s="148"/>
    </row>
    <row r="680" spans="4:21">
      <c r="D680" s="148"/>
      <c r="E680" s="148"/>
      <c r="F680" s="148"/>
      <c r="G680" s="148"/>
      <c r="H680" s="148"/>
      <c r="I680" s="148"/>
      <c r="J680" s="148"/>
      <c r="K680" s="148"/>
      <c r="L680" s="148"/>
      <c r="M680" s="148"/>
      <c r="N680" s="148"/>
      <c r="O680" s="148"/>
      <c r="P680" s="148"/>
      <c r="Q680" s="148"/>
      <c r="R680" s="148"/>
      <c r="S680" s="148"/>
      <c r="T680" s="148"/>
      <c r="U680" s="148"/>
    </row>
    <row r="681" spans="4:21">
      <c r="D681" s="148"/>
      <c r="E681" s="148"/>
      <c r="F681" s="148"/>
      <c r="G681" s="148"/>
      <c r="H681" s="148"/>
      <c r="I681" s="148"/>
      <c r="J681" s="148"/>
      <c r="K681" s="148"/>
      <c r="L681" s="148"/>
      <c r="M681" s="148"/>
      <c r="N681" s="148"/>
      <c r="O681" s="148"/>
      <c r="P681" s="148"/>
      <c r="Q681" s="148"/>
      <c r="R681" s="148"/>
      <c r="S681" s="148"/>
      <c r="T681" s="148"/>
      <c r="U681" s="148"/>
    </row>
    <row r="682" spans="4:21">
      <c r="D682" s="148"/>
      <c r="E682" s="148"/>
      <c r="F682" s="148"/>
      <c r="G682" s="148"/>
      <c r="H682" s="148"/>
      <c r="I682" s="148"/>
      <c r="J682" s="148"/>
      <c r="K682" s="148"/>
      <c r="L682" s="148"/>
      <c r="M682" s="148"/>
      <c r="N682" s="148"/>
      <c r="O682" s="148"/>
      <c r="P682" s="148"/>
      <c r="Q682" s="148"/>
      <c r="R682" s="148"/>
      <c r="S682" s="148"/>
      <c r="T682" s="148"/>
      <c r="U682" s="148"/>
    </row>
    <row r="683" spans="4:21">
      <c r="D683" s="148"/>
      <c r="E683" s="148"/>
      <c r="F683" s="148"/>
      <c r="G683" s="148"/>
      <c r="H683" s="148"/>
      <c r="I683" s="148"/>
      <c r="J683" s="148"/>
      <c r="K683" s="148"/>
      <c r="L683" s="148"/>
      <c r="M683" s="148"/>
      <c r="N683" s="148"/>
      <c r="O683" s="148"/>
      <c r="P683" s="148"/>
      <c r="Q683" s="148"/>
      <c r="R683" s="148"/>
      <c r="S683" s="148"/>
      <c r="T683" s="148"/>
      <c r="U683" s="148"/>
    </row>
    <row r="684" spans="4:21">
      <c r="D684" s="148"/>
      <c r="E684" s="148"/>
      <c r="F684" s="148"/>
      <c r="G684" s="148"/>
      <c r="H684" s="148"/>
      <c r="I684" s="148"/>
      <c r="J684" s="148"/>
      <c r="K684" s="148"/>
      <c r="L684" s="148"/>
      <c r="M684" s="148"/>
      <c r="N684" s="148"/>
      <c r="O684" s="148"/>
      <c r="P684" s="148"/>
      <c r="Q684" s="148"/>
      <c r="R684" s="148"/>
      <c r="S684" s="148"/>
      <c r="T684" s="148"/>
      <c r="U684" s="148"/>
    </row>
    <row r="685" spans="4:21">
      <c r="D685" s="148"/>
      <c r="E685" s="148"/>
      <c r="F685" s="148"/>
      <c r="G685" s="148"/>
      <c r="H685" s="148"/>
      <c r="I685" s="148"/>
      <c r="J685" s="148"/>
      <c r="K685" s="148"/>
      <c r="L685" s="148"/>
      <c r="M685" s="148"/>
      <c r="N685" s="148"/>
      <c r="O685" s="148"/>
      <c r="P685" s="148"/>
      <c r="Q685" s="148"/>
      <c r="R685" s="148"/>
      <c r="S685" s="148"/>
      <c r="T685" s="148"/>
      <c r="U685" s="148"/>
    </row>
    <row r="686" spans="4:21">
      <c r="D686" s="148"/>
      <c r="E686" s="148"/>
      <c r="F686" s="148"/>
      <c r="G686" s="148"/>
      <c r="H686" s="148"/>
      <c r="I686" s="148"/>
      <c r="J686" s="148"/>
      <c r="K686" s="148"/>
      <c r="L686" s="148"/>
      <c r="M686" s="148"/>
      <c r="N686" s="148"/>
      <c r="O686" s="148"/>
      <c r="P686" s="148"/>
      <c r="Q686" s="148"/>
      <c r="R686" s="148"/>
      <c r="S686" s="148"/>
      <c r="T686" s="148"/>
      <c r="U686" s="148"/>
    </row>
    <row r="687" spans="4:21">
      <c r="D687" s="148"/>
      <c r="E687" s="148"/>
      <c r="F687" s="148"/>
      <c r="G687" s="148"/>
      <c r="H687" s="148"/>
      <c r="I687" s="148"/>
      <c r="J687" s="148"/>
      <c r="K687" s="148"/>
      <c r="L687" s="148"/>
      <c r="M687" s="148"/>
      <c r="N687" s="148"/>
      <c r="O687" s="148"/>
      <c r="P687" s="148"/>
      <c r="Q687" s="148"/>
      <c r="R687" s="148"/>
      <c r="S687" s="148"/>
      <c r="T687" s="148"/>
      <c r="U687" s="148"/>
    </row>
    <row r="688" spans="4:21">
      <c r="D688" s="148"/>
      <c r="E688" s="148"/>
      <c r="F688" s="148"/>
      <c r="G688" s="148"/>
      <c r="H688" s="148"/>
      <c r="I688" s="148"/>
      <c r="J688" s="148"/>
      <c r="K688" s="148"/>
      <c r="L688" s="148"/>
      <c r="M688" s="148"/>
      <c r="N688" s="148"/>
      <c r="O688" s="148"/>
      <c r="P688" s="148"/>
      <c r="Q688" s="148"/>
      <c r="R688" s="148"/>
      <c r="S688" s="148"/>
      <c r="T688" s="148"/>
      <c r="U688" s="148"/>
    </row>
    <row r="689" spans="4:21">
      <c r="D689" s="148"/>
      <c r="E689" s="148"/>
      <c r="F689" s="148"/>
      <c r="G689" s="148"/>
      <c r="H689" s="148"/>
      <c r="I689" s="148"/>
      <c r="J689" s="148"/>
      <c r="K689" s="148"/>
      <c r="L689" s="148"/>
      <c r="M689" s="148"/>
      <c r="N689" s="148"/>
      <c r="O689" s="148"/>
      <c r="P689" s="148"/>
      <c r="Q689" s="148"/>
      <c r="R689" s="148"/>
      <c r="S689" s="148"/>
      <c r="T689" s="148"/>
      <c r="U689" s="148"/>
    </row>
    <row r="690" spans="4:21">
      <c r="D690" s="148"/>
      <c r="E690" s="148"/>
      <c r="F690" s="148"/>
      <c r="G690" s="148"/>
      <c r="H690" s="148"/>
      <c r="I690" s="148"/>
      <c r="J690" s="148"/>
      <c r="K690" s="148"/>
      <c r="L690" s="148"/>
      <c r="M690" s="148"/>
      <c r="N690" s="148"/>
      <c r="O690" s="148"/>
      <c r="P690" s="148"/>
      <c r="Q690" s="148"/>
      <c r="R690" s="148"/>
      <c r="S690" s="148"/>
      <c r="T690" s="148"/>
      <c r="U690" s="148"/>
    </row>
    <row r="691" spans="4:21">
      <c r="D691" s="148"/>
      <c r="E691" s="148"/>
      <c r="F691" s="148"/>
      <c r="G691" s="148"/>
      <c r="H691" s="148"/>
      <c r="I691" s="148"/>
      <c r="J691" s="148"/>
      <c r="K691" s="148"/>
      <c r="L691" s="148"/>
      <c r="M691" s="148"/>
      <c r="N691" s="148"/>
      <c r="O691" s="148"/>
      <c r="P691" s="148"/>
      <c r="Q691" s="148"/>
      <c r="R691" s="148"/>
      <c r="S691" s="148"/>
      <c r="T691" s="148"/>
      <c r="U691" s="148"/>
    </row>
    <row r="692" spans="4:21">
      <c r="D692" s="148"/>
      <c r="E692" s="148"/>
      <c r="F692" s="148"/>
      <c r="G692" s="148"/>
      <c r="H692" s="148"/>
      <c r="I692" s="148"/>
      <c r="J692" s="148"/>
      <c r="K692" s="148"/>
      <c r="L692" s="148"/>
      <c r="M692" s="148"/>
      <c r="N692" s="148"/>
      <c r="O692" s="148"/>
      <c r="P692" s="148"/>
      <c r="Q692" s="148"/>
      <c r="R692" s="148"/>
      <c r="S692" s="148"/>
      <c r="T692" s="148"/>
      <c r="U692" s="148"/>
    </row>
    <row r="693" spans="4:21">
      <c r="D693" s="148"/>
      <c r="E693" s="148"/>
      <c r="F693" s="148"/>
      <c r="G693" s="148"/>
      <c r="H693" s="148"/>
      <c r="I693" s="148"/>
      <c r="J693" s="148"/>
      <c r="K693" s="148"/>
      <c r="L693" s="148"/>
      <c r="M693" s="148"/>
      <c r="N693" s="148"/>
      <c r="O693" s="148"/>
      <c r="P693" s="148"/>
      <c r="Q693" s="148"/>
      <c r="R693" s="148"/>
      <c r="S693" s="148"/>
      <c r="T693" s="148"/>
      <c r="U693" s="148"/>
    </row>
    <row r="694" spans="4:21">
      <c r="D694" s="148"/>
      <c r="E694" s="148"/>
      <c r="F694" s="148"/>
      <c r="G694" s="148"/>
      <c r="H694" s="148"/>
      <c r="I694" s="148"/>
      <c r="J694" s="148"/>
      <c r="K694" s="148"/>
      <c r="L694" s="148"/>
      <c r="M694" s="148"/>
      <c r="N694" s="148"/>
      <c r="O694" s="148"/>
      <c r="P694" s="148"/>
      <c r="Q694" s="148"/>
      <c r="R694" s="148"/>
      <c r="S694" s="148"/>
      <c r="T694" s="148"/>
      <c r="U694" s="148"/>
    </row>
    <row r="695" spans="4:21">
      <c r="D695" s="148"/>
      <c r="E695" s="148"/>
      <c r="F695" s="148"/>
      <c r="G695" s="148"/>
      <c r="H695" s="148"/>
      <c r="I695" s="148"/>
      <c r="J695" s="148"/>
      <c r="K695" s="148"/>
      <c r="L695" s="148"/>
      <c r="M695" s="148"/>
      <c r="N695" s="148"/>
      <c r="O695" s="148"/>
      <c r="P695" s="148"/>
      <c r="Q695" s="148"/>
      <c r="R695" s="148"/>
      <c r="S695" s="148"/>
      <c r="T695" s="148"/>
      <c r="U695" s="148"/>
    </row>
    <row r="696" spans="4:21">
      <c r="D696" s="148"/>
      <c r="E696" s="148"/>
      <c r="F696" s="148"/>
      <c r="G696" s="148"/>
      <c r="H696" s="148"/>
      <c r="I696" s="148"/>
      <c r="J696" s="148"/>
      <c r="K696" s="148"/>
      <c r="L696" s="148"/>
      <c r="M696" s="148"/>
      <c r="N696" s="148"/>
      <c r="O696" s="148"/>
      <c r="P696" s="148"/>
      <c r="Q696" s="148"/>
      <c r="R696" s="148"/>
      <c r="S696" s="148"/>
      <c r="T696" s="148"/>
      <c r="U696" s="148"/>
    </row>
    <row r="697" spans="4:21">
      <c r="D697" s="148"/>
      <c r="E697" s="148"/>
      <c r="F697" s="148"/>
      <c r="G697" s="148"/>
      <c r="H697" s="148"/>
      <c r="I697" s="148"/>
      <c r="J697" s="148"/>
      <c r="K697" s="148"/>
      <c r="L697" s="148"/>
      <c r="M697" s="148"/>
      <c r="N697" s="148"/>
      <c r="O697" s="148"/>
      <c r="P697" s="148"/>
      <c r="Q697" s="148"/>
      <c r="R697" s="148"/>
      <c r="S697" s="148"/>
      <c r="T697" s="148"/>
      <c r="U697" s="148"/>
    </row>
    <row r="698" spans="4:21">
      <c r="D698" s="148"/>
      <c r="E698" s="148"/>
      <c r="F698" s="148"/>
      <c r="G698" s="148"/>
      <c r="H698" s="148"/>
      <c r="I698" s="148"/>
      <c r="J698" s="148"/>
      <c r="K698" s="148"/>
      <c r="L698" s="148"/>
      <c r="M698" s="148"/>
      <c r="N698" s="148"/>
      <c r="O698" s="148"/>
      <c r="P698" s="148"/>
      <c r="Q698" s="148"/>
      <c r="R698" s="148"/>
      <c r="S698" s="148"/>
      <c r="T698" s="148"/>
      <c r="U698" s="148"/>
    </row>
    <row r="699" spans="4:21">
      <c r="D699" s="148"/>
      <c r="E699" s="148"/>
      <c r="F699" s="148"/>
      <c r="G699" s="148"/>
      <c r="H699" s="148"/>
      <c r="I699" s="148"/>
      <c r="J699" s="148"/>
      <c r="K699" s="148"/>
      <c r="L699" s="148"/>
      <c r="M699" s="148"/>
      <c r="N699" s="148"/>
      <c r="O699" s="148"/>
      <c r="P699" s="148"/>
      <c r="Q699" s="148"/>
      <c r="R699" s="148"/>
      <c r="S699" s="148"/>
      <c r="T699" s="148"/>
      <c r="U699" s="148"/>
    </row>
    <row r="700" spans="4:21">
      <c r="D700" s="148"/>
      <c r="E700" s="148"/>
      <c r="F700" s="148"/>
      <c r="G700" s="148"/>
      <c r="H700" s="148"/>
      <c r="I700" s="148"/>
      <c r="J700" s="148"/>
      <c r="K700" s="148"/>
      <c r="L700" s="148"/>
      <c r="M700" s="148"/>
      <c r="N700" s="148"/>
      <c r="O700" s="148"/>
      <c r="P700" s="148"/>
      <c r="Q700" s="148"/>
      <c r="R700" s="148"/>
      <c r="S700" s="148"/>
      <c r="T700" s="148"/>
      <c r="U700" s="148"/>
    </row>
    <row r="701" spans="4:21">
      <c r="D701" s="148"/>
      <c r="E701" s="148"/>
      <c r="F701" s="148"/>
      <c r="G701" s="148"/>
      <c r="H701" s="148"/>
      <c r="I701" s="148"/>
      <c r="J701" s="148"/>
      <c r="K701" s="148"/>
      <c r="L701" s="148"/>
      <c r="M701" s="148"/>
      <c r="N701" s="148"/>
      <c r="O701" s="148"/>
      <c r="P701" s="148"/>
      <c r="Q701" s="148"/>
      <c r="R701" s="148"/>
      <c r="S701" s="148"/>
      <c r="T701" s="148"/>
      <c r="U701" s="148"/>
    </row>
    <row r="702" spans="4:21">
      <c r="D702" s="148"/>
      <c r="E702" s="148"/>
      <c r="F702" s="148"/>
      <c r="G702" s="148"/>
      <c r="H702" s="148"/>
      <c r="I702" s="148"/>
      <c r="J702" s="148"/>
      <c r="K702" s="148"/>
      <c r="L702" s="148"/>
      <c r="M702" s="148"/>
      <c r="N702" s="148"/>
      <c r="O702" s="148"/>
      <c r="P702" s="148"/>
      <c r="Q702" s="148"/>
      <c r="R702" s="148"/>
      <c r="S702" s="148"/>
      <c r="T702" s="148"/>
      <c r="U702" s="148"/>
    </row>
    <row r="703" spans="4:21">
      <c r="D703" s="148"/>
      <c r="E703" s="148"/>
      <c r="F703" s="148"/>
      <c r="G703" s="148"/>
      <c r="H703" s="148"/>
      <c r="I703" s="148"/>
      <c r="J703" s="148"/>
      <c r="K703" s="148"/>
      <c r="L703" s="148"/>
      <c r="M703" s="148"/>
      <c r="N703" s="148"/>
      <c r="O703" s="148"/>
      <c r="P703" s="148"/>
      <c r="Q703" s="148"/>
      <c r="R703" s="148"/>
      <c r="S703" s="148"/>
      <c r="T703" s="148"/>
      <c r="U703" s="148"/>
    </row>
    <row r="704" spans="4:21">
      <c r="D704" s="148"/>
      <c r="E704" s="148"/>
      <c r="F704" s="148"/>
      <c r="G704" s="148"/>
      <c r="H704" s="148"/>
      <c r="I704" s="148"/>
      <c r="J704" s="148"/>
      <c r="K704" s="148"/>
      <c r="L704" s="148"/>
      <c r="M704" s="148"/>
      <c r="N704" s="148"/>
      <c r="O704" s="148"/>
      <c r="P704" s="148"/>
      <c r="Q704" s="148"/>
      <c r="R704" s="148"/>
      <c r="S704" s="148"/>
      <c r="T704" s="148"/>
      <c r="U704" s="148"/>
    </row>
    <row r="705" spans="4:21">
      <c r="D705" s="148"/>
      <c r="E705" s="148"/>
      <c r="F705" s="148"/>
      <c r="G705" s="148"/>
      <c r="H705" s="148"/>
      <c r="I705" s="148"/>
      <c r="J705" s="148"/>
      <c r="K705" s="148"/>
      <c r="L705" s="148"/>
      <c r="M705" s="148"/>
      <c r="N705" s="148"/>
      <c r="O705" s="148"/>
      <c r="P705" s="148"/>
      <c r="Q705" s="148"/>
      <c r="R705" s="148"/>
      <c r="S705" s="148"/>
      <c r="T705" s="148"/>
      <c r="U705" s="148"/>
    </row>
    <row r="706" spans="4:21">
      <c r="D706" s="148"/>
      <c r="E706" s="148"/>
      <c r="F706" s="148"/>
      <c r="G706" s="148"/>
      <c r="H706" s="148"/>
      <c r="I706" s="148"/>
      <c r="J706" s="148"/>
      <c r="K706" s="148"/>
      <c r="L706" s="148"/>
      <c r="M706" s="148"/>
      <c r="N706" s="148"/>
      <c r="O706" s="148"/>
      <c r="P706" s="148"/>
      <c r="Q706" s="148"/>
      <c r="R706" s="148"/>
      <c r="S706" s="148"/>
      <c r="T706" s="148"/>
      <c r="U706" s="148"/>
    </row>
    <row r="707" spans="4:21">
      <c r="D707" s="148"/>
      <c r="E707" s="148"/>
      <c r="F707" s="148"/>
      <c r="G707" s="148"/>
      <c r="H707" s="148"/>
      <c r="I707" s="148"/>
      <c r="J707" s="148"/>
      <c r="K707" s="148"/>
      <c r="L707" s="148"/>
      <c r="M707" s="148"/>
      <c r="N707" s="148"/>
      <c r="O707" s="148"/>
      <c r="P707" s="148"/>
      <c r="Q707" s="148"/>
      <c r="R707" s="148"/>
      <c r="S707" s="148"/>
      <c r="T707" s="148"/>
      <c r="U707" s="148"/>
    </row>
    <row r="708" spans="4:21">
      <c r="D708" s="148"/>
      <c r="E708" s="148"/>
      <c r="F708" s="148"/>
      <c r="G708" s="148"/>
      <c r="H708" s="148"/>
      <c r="I708" s="148"/>
      <c r="J708" s="148"/>
      <c r="K708" s="148"/>
      <c r="L708" s="148"/>
      <c r="M708" s="148"/>
      <c r="N708" s="148"/>
      <c r="O708" s="148"/>
      <c r="P708" s="148"/>
      <c r="Q708" s="148"/>
      <c r="R708" s="148"/>
      <c r="S708" s="148"/>
      <c r="T708" s="148"/>
      <c r="U708" s="148"/>
    </row>
    <row r="709" spans="4:21">
      <c r="D709" s="148"/>
      <c r="E709" s="148"/>
      <c r="F709" s="148"/>
      <c r="G709" s="148"/>
      <c r="H709" s="148"/>
      <c r="I709" s="148"/>
      <c r="J709" s="148"/>
      <c r="K709" s="148"/>
      <c r="L709" s="148"/>
      <c r="M709" s="148"/>
      <c r="N709" s="148"/>
      <c r="O709" s="148"/>
      <c r="P709" s="148"/>
      <c r="Q709" s="148"/>
      <c r="R709" s="148"/>
      <c r="S709" s="148"/>
      <c r="T709" s="148"/>
      <c r="U709" s="148"/>
    </row>
    <row r="710" spans="4:21">
      <c r="D710" s="148"/>
      <c r="E710" s="148"/>
      <c r="F710" s="148"/>
      <c r="G710" s="148"/>
      <c r="H710" s="148"/>
      <c r="I710" s="148"/>
      <c r="J710" s="148"/>
      <c r="K710" s="148"/>
      <c r="L710" s="148"/>
      <c r="M710" s="148"/>
      <c r="N710" s="148"/>
      <c r="O710" s="148"/>
      <c r="P710" s="148"/>
      <c r="Q710" s="148"/>
      <c r="R710" s="148"/>
      <c r="S710" s="148"/>
      <c r="T710" s="148"/>
      <c r="U710" s="148"/>
    </row>
    <row r="711" spans="4:21">
      <c r="D711" s="148"/>
      <c r="E711" s="148"/>
      <c r="F711" s="148"/>
      <c r="G711" s="148"/>
      <c r="H711" s="148"/>
      <c r="I711" s="148"/>
      <c r="J711" s="148"/>
      <c r="K711" s="148"/>
      <c r="L711" s="148"/>
      <c r="M711" s="148"/>
      <c r="N711" s="148"/>
      <c r="O711" s="148"/>
      <c r="P711" s="148"/>
      <c r="Q711" s="148"/>
      <c r="R711" s="148"/>
      <c r="S711" s="148"/>
      <c r="T711" s="148"/>
      <c r="U711" s="148"/>
    </row>
    <row r="712" spans="4:21">
      <c r="D712" s="148"/>
      <c r="E712" s="148"/>
      <c r="F712" s="148"/>
      <c r="G712" s="148"/>
      <c r="H712" s="148"/>
      <c r="I712" s="148"/>
      <c r="J712" s="148"/>
      <c r="K712" s="148"/>
      <c r="L712" s="148"/>
      <c r="M712" s="148"/>
      <c r="N712" s="148"/>
      <c r="O712" s="148"/>
      <c r="P712" s="148"/>
      <c r="Q712" s="148"/>
      <c r="R712" s="148"/>
      <c r="S712" s="148"/>
      <c r="T712" s="148"/>
      <c r="U712" s="148"/>
    </row>
    <row r="713" spans="4:21">
      <c r="D713" s="148"/>
      <c r="E713" s="148"/>
      <c r="F713" s="148"/>
      <c r="G713" s="148"/>
      <c r="H713" s="148"/>
      <c r="I713" s="148"/>
      <c r="J713" s="148"/>
      <c r="K713" s="148"/>
      <c r="L713" s="148"/>
      <c r="M713" s="148"/>
      <c r="N713" s="148"/>
      <c r="O713" s="148"/>
      <c r="P713" s="148"/>
      <c r="Q713" s="148"/>
      <c r="R713" s="148"/>
      <c r="S713" s="148"/>
      <c r="T713" s="148"/>
      <c r="U713" s="148"/>
    </row>
    <row r="714" spans="4:21">
      <c r="D714" s="148"/>
      <c r="E714" s="148"/>
      <c r="F714" s="148"/>
      <c r="G714" s="148"/>
      <c r="H714" s="148"/>
      <c r="I714" s="148"/>
      <c r="J714" s="148"/>
      <c r="K714" s="148"/>
      <c r="L714" s="148"/>
      <c r="M714" s="148"/>
      <c r="N714" s="148"/>
      <c r="O714" s="148"/>
      <c r="P714" s="148"/>
      <c r="Q714" s="148"/>
      <c r="R714" s="148"/>
      <c r="S714" s="148"/>
      <c r="T714" s="148"/>
      <c r="U714" s="148"/>
    </row>
    <row r="715" spans="4:21">
      <c r="D715" s="148"/>
      <c r="E715" s="148"/>
      <c r="F715" s="148"/>
      <c r="G715" s="148"/>
      <c r="H715" s="148"/>
      <c r="I715" s="148"/>
      <c r="J715" s="148"/>
      <c r="K715" s="148"/>
      <c r="L715" s="148"/>
      <c r="M715" s="148"/>
      <c r="N715" s="148"/>
      <c r="O715" s="148"/>
      <c r="P715" s="148"/>
      <c r="Q715" s="148"/>
      <c r="R715" s="148"/>
      <c r="S715" s="148"/>
      <c r="T715" s="148"/>
      <c r="U715" s="148"/>
    </row>
    <row r="716" spans="4:21">
      <c r="D716" s="148"/>
      <c r="E716" s="148"/>
      <c r="F716" s="148"/>
      <c r="G716" s="148"/>
      <c r="H716" s="148"/>
      <c r="I716" s="148"/>
      <c r="J716" s="148"/>
      <c r="K716" s="148"/>
      <c r="L716" s="148"/>
      <c r="M716" s="148"/>
      <c r="N716" s="148"/>
      <c r="O716" s="148"/>
      <c r="P716" s="148"/>
      <c r="Q716" s="148"/>
      <c r="R716" s="148"/>
      <c r="S716" s="148"/>
      <c r="T716" s="148"/>
      <c r="U716" s="148"/>
    </row>
    <row r="717" spans="4:21">
      <c r="D717" s="148"/>
      <c r="E717" s="148"/>
      <c r="F717" s="148"/>
      <c r="G717" s="148"/>
      <c r="H717" s="148"/>
      <c r="I717" s="148"/>
      <c r="J717" s="148"/>
      <c r="K717" s="148"/>
      <c r="L717" s="148"/>
      <c r="M717" s="148"/>
      <c r="N717" s="148"/>
      <c r="O717" s="148"/>
      <c r="P717" s="148"/>
      <c r="Q717" s="148"/>
      <c r="R717" s="148"/>
      <c r="S717" s="148"/>
      <c r="T717" s="148"/>
      <c r="U717" s="148"/>
    </row>
    <row r="718" spans="4:21">
      <c r="D718" s="148"/>
      <c r="E718" s="148"/>
      <c r="F718" s="148"/>
      <c r="G718" s="148"/>
      <c r="H718" s="148"/>
      <c r="I718" s="148"/>
      <c r="J718" s="148"/>
      <c r="K718" s="148"/>
      <c r="L718" s="148"/>
      <c r="M718" s="148"/>
      <c r="N718" s="148"/>
      <c r="O718" s="148"/>
      <c r="P718" s="148"/>
      <c r="Q718" s="148"/>
      <c r="R718" s="148"/>
      <c r="S718" s="148"/>
      <c r="T718" s="148"/>
      <c r="U718" s="148"/>
    </row>
    <row r="719" spans="4:21">
      <c r="D719" s="148"/>
      <c r="E719" s="148"/>
      <c r="F719" s="148"/>
      <c r="G719" s="148"/>
      <c r="H719" s="148"/>
      <c r="I719" s="148"/>
      <c r="J719" s="148"/>
      <c r="K719" s="148"/>
      <c r="L719" s="148"/>
      <c r="M719" s="148"/>
      <c r="N719" s="148"/>
      <c r="O719" s="148"/>
      <c r="P719" s="148"/>
      <c r="Q719" s="148"/>
      <c r="R719" s="148"/>
      <c r="S719" s="148"/>
      <c r="T719" s="148"/>
      <c r="U719" s="148"/>
    </row>
    <row r="720" spans="4:21">
      <c r="D720" s="148"/>
      <c r="E720" s="148"/>
      <c r="F720" s="148"/>
      <c r="G720" s="148"/>
      <c r="H720" s="148"/>
      <c r="I720" s="148"/>
      <c r="J720" s="148"/>
      <c r="K720" s="148"/>
      <c r="L720" s="148"/>
      <c r="M720" s="148"/>
      <c r="N720" s="148"/>
      <c r="O720" s="148"/>
      <c r="P720" s="148"/>
      <c r="Q720" s="148"/>
      <c r="R720" s="148"/>
      <c r="S720" s="148"/>
      <c r="T720" s="148"/>
      <c r="U720" s="148"/>
    </row>
    <row r="721" spans="4:21">
      <c r="D721" s="148"/>
      <c r="E721" s="148"/>
      <c r="F721" s="148"/>
      <c r="G721" s="148"/>
      <c r="H721" s="148"/>
      <c r="I721" s="148"/>
      <c r="J721" s="148"/>
      <c r="K721" s="148"/>
      <c r="L721" s="148"/>
      <c r="M721" s="148"/>
      <c r="N721" s="148"/>
      <c r="O721" s="148"/>
      <c r="P721" s="148"/>
      <c r="Q721" s="148"/>
      <c r="R721" s="148"/>
      <c r="S721" s="148"/>
      <c r="T721" s="148"/>
      <c r="U721" s="148"/>
    </row>
    <row r="722" spans="4:21">
      <c r="D722" s="148"/>
      <c r="E722" s="148"/>
      <c r="F722" s="148"/>
      <c r="G722" s="148"/>
      <c r="H722" s="148"/>
      <c r="I722" s="148"/>
      <c r="J722" s="148"/>
      <c r="K722" s="148"/>
      <c r="L722" s="148"/>
      <c r="M722" s="148"/>
      <c r="N722" s="148"/>
      <c r="O722" s="148"/>
      <c r="P722" s="148"/>
      <c r="Q722" s="148"/>
      <c r="R722" s="148"/>
      <c r="S722" s="148"/>
      <c r="T722" s="148"/>
      <c r="U722" s="148"/>
    </row>
    <row r="723" spans="4:21">
      <c r="D723" s="148"/>
      <c r="E723" s="148"/>
      <c r="F723" s="148"/>
      <c r="G723" s="148"/>
      <c r="H723" s="148"/>
      <c r="I723" s="148"/>
      <c r="J723" s="148"/>
      <c r="K723" s="148"/>
      <c r="L723" s="148"/>
      <c r="M723" s="148"/>
      <c r="N723" s="148"/>
      <c r="O723" s="148"/>
      <c r="P723" s="148"/>
      <c r="Q723" s="148"/>
      <c r="R723" s="148"/>
      <c r="S723" s="148"/>
      <c r="T723" s="148"/>
      <c r="U723" s="148"/>
    </row>
    <row r="724" spans="4:21">
      <c r="D724" s="148"/>
      <c r="E724" s="148"/>
      <c r="F724" s="148"/>
      <c r="G724" s="148"/>
      <c r="H724" s="148"/>
      <c r="I724" s="148"/>
      <c r="J724" s="148"/>
      <c r="K724" s="148"/>
      <c r="L724" s="148"/>
      <c r="M724" s="148"/>
      <c r="N724" s="148"/>
      <c r="O724" s="148"/>
      <c r="P724" s="148"/>
      <c r="Q724" s="148"/>
      <c r="R724" s="148"/>
      <c r="S724" s="148"/>
      <c r="T724" s="148"/>
      <c r="U724" s="148"/>
    </row>
    <row r="725" spans="4:21">
      <c r="D725" s="148"/>
      <c r="E725" s="148"/>
      <c r="F725" s="148"/>
      <c r="G725" s="148"/>
      <c r="H725" s="148"/>
      <c r="I725" s="148"/>
      <c r="J725" s="148"/>
      <c r="K725" s="148"/>
      <c r="L725" s="148"/>
      <c r="M725" s="148"/>
      <c r="N725" s="148"/>
      <c r="O725" s="148"/>
      <c r="P725" s="148"/>
      <c r="Q725" s="148"/>
      <c r="R725" s="148"/>
      <c r="S725" s="148"/>
      <c r="T725" s="148"/>
      <c r="U725" s="148"/>
    </row>
  </sheetData>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00FF"/>
  </sheetPr>
  <dimension ref="A1:AH1556"/>
  <sheetViews>
    <sheetView topLeftCell="A2" workbookViewId="0">
      <pane xSplit="5" ySplit="6" topLeftCell="F8" activePane="bottomRight" state="frozen"/>
      <selection activeCell="A2" sqref="A2"/>
      <selection pane="topRight" activeCell="F2" sqref="F2"/>
      <selection pane="bottomLeft" activeCell="A8" sqref="A8"/>
      <selection pane="bottomRight" activeCell="F8" sqref="F8"/>
    </sheetView>
  </sheetViews>
  <sheetFormatPr defaultRowHeight="12.75"/>
  <cols>
    <col min="1" max="1" width="6.42578125" style="10" customWidth="1"/>
    <col min="2" max="2" width="32" style="11" customWidth="1"/>
    <col min="3" max="3" width="35" style="11" customWidth="1"/>
    <col min="4" max="4" width="10.140625" style="10" customWidth="1"/>
    <col min="5" max="5" width="6.7109375" style="10" customWidth="1"/>
    <col min="6" max="6" width="11.85546875" style="9" customWidth="1"/>
    <col min="7" max="7" width="11.85546875" style="12" customWidth="1"/>
    <col min="8" max="8" width="11.28515625" style="9" customWidth="1"/>
    <col min="9" max="9" width="11.28515625" style="12" customWidth="1"/>
    <col min="10" max="11" width="10.7109375" style="9" customWidth="1"/>
    <col min="12" max="12" width="10.5703125" style="9" customWidth="1"/>
    <col min="13" max="13" width="13.5703125" style="13" customWidth="1"/>
    <col min="14" max="14" width="10.5703125" style="13" customWidth="1"/>
    <col min="15" max="15" width="9.85546875" style="13" customWidth="1"/>
    <col min="16" max="16" width="11.5703125" style="9" customWidth="1"/>
    <col min="17" max="17" width="12.140625" style="12" customWidth="1"/>
    <col min="18" max="18" width="9.5703125" style="9" customWidth="1"/>
    <col min="19" max="19" width="9.5703125" style="12" customWidth="1"/>
    <col min="20" max="20" width="10.85546875" style="9" customWidth="1"/>
    <col min="21" max="21" width="10.85546875" style="12" customWidth="1"/>
    <col min="22" max="22" width="10.5703125" style="9" customWidth="1"/>
    <col min="23" max="23" width="10.5703125" style="12" customWidth="1"/>
    <col min="24" max="25" width="10.28515625" style="9" customWidth="1"/>
    <col min="26" max="26" width="8.7109375" style="9" customWidth="1"/>
    <col min="27" max="27" width="11.42578125" style="13" customWidth="1"/>
    <col min="28" max="28" width="12.42578125" style="13" customWidth="1"/>
    <col min="29" max="29" width="10.140625" style="13" customWidth="1"/>
    <col min="30" max="30" width="11.7109375" style="9" customWidth="1"/>
    <col min="31" max="31" width="12.28515625" style="12" customWidth="1"/>
    <col min="32" max="33" width="8.7109375" style="9" customWidth="1"/>
    <col min="34" max="16384" width="9.140625" style="9"/>
  </cols>
  <sheetData>
    <row r="1" spans="1:34" s="1" customFormat="1" hidden="1">
      <c r="A1" s="205"/>
      <c r="B1" s="206"/>
      <c r="C1" s="206"/>
      <c r="D1" s="207"/>
      <c r="E1" s="205"/>
      <c r="F1" s="217">
        <f t="shared" ref="F1" si="0">SUM(H1,J1,L1,M1,N1,R1)</f>
        <v>0</v>
      </c>
      <c r="G1" s="216">
        <f>SUM(I1,K1,O1,P1,Q1,S1)</f>
        <v>0</v>
      </c>
      <c r="H1" s="207"/>
      <c r="I1" s="207"/>
      <c r="J1" s="207"/>
      <c r="K1" s="207"/>
      <c r="L1" s="207"/>
      <c r="M1" s="207"/>
      <c r="N1" s="207"/>
      <c r="O1" s="207"/>
      <c r="P1" s="207"/>
      <c r="Q1" s="207"/>
      <c r="R1" s="207"/>
      <c r="S1" s="207"/>
      <c r="T1" s="218">
        <f t="shared" ref="T1" si="1">SUM(V1,X1,Z1,AA1,AB1,AF1)</f>
        <v>0</v>
      </c>
      <c r="U1" s="219">
        <f t="shared" ref="U1" si="2">SUM(W1,Y1,AC1,AD1,AE1,AG1)</f>
        <v>0</v>
      </c>
      <c r="V1" s="207"/>
      <c r="W1" s="207"/>
      <c r="X1" s="207"/>
      <c r="Y1" s="207"/>
      <c r="Z1" s="207"/>
      <c r="AA1" s="207"/>
      <c r="AB1" s="207"/>
      <c r="AC1" s="207"/>
      <c r="AD1" s="207"/>
      <c r="AE1" s="207"/>
      <c r="AF1" s="207"/>
      <c r="AG1" s="207"/>
    </row>
    <row r="2" spans="1:34" s="1" customFormat="1" ht="18.75" thickBot="1">
      <c r="A2" s="208" t="s">
        <v>238</v>
      </c>
      <c r="B2" s="208"/>
      <c r="C2" s="208"/>
      <c r="D2" s="208"/>
      <c r="E2" s="208"/>
      <c r="F2" s="214" t="s">
        <v>0</v>
      </c>
      <c r="G2" s="191"/>
      <c r="H2" s="191"/>
      <c r="I2" s="191"/>
      <c r="J2" s="191"/>
      <c r="K2" s="191"/>
      <c r="L2" s="191"/>
      <c r="M2" s="191"/>
      <c r="N2" s="192"/>
      <c r="O2" s="191"/>
      <c r="P2" s="191"/>
      <c r="Q2" s="191"/>
      <c r="R2" s="193"/>
      <c r="S2" s="191"/>
      <c r="T2" s="214" t="s">
        <v>1</v>
      </c>
      <c r="U2" s="191"/>
      <c r="V2" s="191"/>
      <c r="W2" s="191"/>
      <c r="X2" s="191"/>
      <c r="Y2" s="191"/>
      <c r="Z2" s="191"/>
      <c r="AA2" s="191"/>
      <c r="AB2" s="192"/>
      <c r="AC2" s="191"/>
      <c r="AD2" s="191"/>
      <c r="AE2" s="191"/>
      <c r="AF2" s="215"/>
      <c r="AG2" s="191"/>
    </row>
    <row r="3" spans="1:34" s="1" customFormat="1" ht="12.75" customHeight="1" thickTop="1">
      <c r="A3" s="209" t="s">
        <v>222</v>
      </c>
      <c r="B3" s="210"/>
      <c r="C3" s="210"/>
      <c r="D3" s="210"/>
      <c r="E3" s="210"/>
      <c r="F3" s="2" t="s">
        <v>2</v>
      </c>
      <c r="G3" s="3"/>
      <c r="H3" s="187"/>
      <c r="I3" s="384"/>
      <c r="J3" s="187"/>
      <c r="K3" s="385"/>
      <c r="L3" s="186" t="s">
        <v>3</v>
      </c>
      <c r="M3" s="188"/>
      <c r="N3" s="189"/>
      <c r="O3" s="4"/>
      <c r="P3" s="5"/>
      <c r="Q3" s="5"/>
      <c r="R3" s="386"/>
      <c r="S3" s="385"/>
      <c r="T3" s="2" t="s">
        <v>2</v>
      </c>
      <c r="U3" s="3"/>
      <c r="V3" s="187"/>
      <c r="W3" s="385"/>
      <c r="X3" s="187"/>
      <c r="Y3" s="385"/>
      <c r="Z3" s="186" t="s">
        <v>3</v>
      </c>
      <c r="AA3" s="188"/>
      <c r="AB3" s="189"/>
      <c r="AC3" s="196"/>
      <c r="AD3" s="197"/>
      <c r="AE3" s="197"/>
      <c r="AF3" s="386"/>
      <c r="AG3" s="385"/>
    </row>
    <row r="4" spans="1:34" s="1" customFormat="1" ht="127.5">
      <c r="A4" s="211" t="s">
        <v>223</v>
      </c>
      <c r="B4" s="212"/>
      <c r="C4" s="212"/>
      <c r="D4" s="212"/>
      <c r="E4" s="212"/>
      <c r="F4" s="183" t="s">
        <v>230</v>
      </c>
      <c r="G4" s="184"/>
      <c r="H4" s="687" t="s">
        <v>193</v>
      </c>
      <c r="I4" s="688"/>
      <c r="J4" s="186" t="s">
        <v>194</v>
      </c>
      <c r="K4" s="185"/>
      <c r="L4" s="198" t="s">
        <v>7</v>
      </c>
      <c r="M4" s="198" t="s">
        <v>195</v>
      </c>
      <c r="N4" s="194" t="s">
        <v>196</v>
      </c>
      <c r="O4" s="190" t="s">
        <v>7</v>
      </c>
      <c r="P4" s="190" t="s">
        <v>195</v>
      </c>
      <c r="Q4" s="190" t="s">
        <v>197</v>
      </c>
      <c r="R4" s="195" t="s">
        <v>198</v>
      </c>
      <c r="S4" s="185"/>
      <c r="T4" s="183" t="s">
        <v>231</v>
      </c>
      <c r="U4" s="184"/>
      <c r="V4" s="186" t="s">
        <v>193</v>
      </c>
      <c r="W4" s="185"/>
      <c r="X4" s="186" t="s">
        <v>194</v>
      </c>
      <c r="Y4" s="185"/>
      <c r="Z4" s="198" t="s">
        <v>7</v>
      </c>
      <c r="AA4" s="198" t="s">
        <v>195</v>
      </c>
      <c r="AB4" s="194" t="s">
        <v>196</v>
      </c>
      <c r="AC4" s="190" t="s">
        <v>7</v>
      </c>
      <c r="AD4" s="190" t="s">
        <v>195</v>
      </c>
      <c r="AE4" s="190" t="s">
        <v>197</v>
      </c>
      <c r="AF4" s="195" t="s">
        <v>198</v>
      </c>
      <c r="AG4" s="185"/>
    </row>
    <row r="5" spans="1:34" s="182" customFormat="1" ht="38.25" customHeight="1" thickBot="1">
      <c r="A5" s="175" t="s">
        <v>4</v>
      </c>
      <c r="B5" s="176" t="s">
        <v>5</v>
      </c>
      <c r="C5" s="213" t="s">
        <v>224</v>
      </c>
      <c r="D5" s="177" t="s">
        <v>192</v>
      </c>
      <c r="E5" s="178" t="s">
        <v>6</v>
      </c>
      <c r="F5" s="293">
        <v>2013</v>
      </c>
      <c r="G5" s="179">
        <v>2014</v>
      </c>
      <c r="H5" s="180">
        <v>2013</v>
      </c>
      <c r="I5" s="181">
        <v>2014</v>
      </c>
      <c r="J5" s="180">
        <v>2013</v>
      </c>
      <c r="K5" s="294">
        <v>2014</v>
      </c>
      <c r="L5" s="295">
        <v>2013</v>
      </c>
      <c r="M5" s="180">
        <v>2013</v>
      </c>
      <c r="N5" s="180">
        <v>2013</v>
      </c>
      <c r="O5" s="181">
        <v>2014</v>
      </c>
      <c r="P5" s="181">
        <v>2014</v>
      </c>
      <c r="Q5" s="294">
        <v>2014</v>
      </c>
      <c r="R5" s="295">
        <v>2013</v>
      </c>
      <c r="S5" s="294">
        <v>2014</v>
      </c>
      <c r="T5" s="293">
        <v>2013</v>
      </c>
      <c r="U5" s="179">
        <v>2014</v>
      </c>
      <c r="V5" s="180">
        <v>2013</v>
      </c>
      <c r="W5" s="181">
        <v>2014</v>
      </c>
      <c r="X5" s="180">
        <v>2013</v>
      </c>
      <c r="Y5" s="294">
        <v>2014</v>
      </c>
      <c r="Z5" s="295">
        <v>2013</v>
      </c>
      <c r="AA5" s="180">
        <v>2013</v>
      </c>
      <c r="AB5" s="180">
        <v>2013</v>
      </c>
      <c r="AC5" s="181">
        <v>2014</v>
      </c>
      <c r="AD5" s="181">
        <v>2014</v>
      </c>
      <c r="AE5" s="294">
        <v>2014</v>
      </c>
      <c r="AF5" s="295">
        <v>2013</v>
      </c>
      <c r="AG5" s="429">
        <v>2014</v>
      </c>
    </row>
    <row r="6" spans="1:34" s="1" customFormat="1" ht="40.5" hidden="1" customHeight="1" thickTop="1">
      <c r="A6" s="6" t="s">
        <v>4</v>
      </c>
      <c r="B6" s="7" t="s">
        <v>5</v>
      </c>
      <c r="C6" s="7" t="s">
        <v>199</v>
      </c>
      <c r="D6" s="6" t="s">
        <v>8</v>
      </c>
      <c r="E6" s="6" t="s">
        <v>9</v>
      </c>
      <c r="F6" s="8" t="s">
        <v>10</v>
      </c>
      <c r="G6" s="8" t="s">
        <v>11</v>
      </c>
      <c r="H6" s="8" t="s">
        <v>12</v>
      </c>
      <c r="I6" s="8" t="s">
        <v>13</v>
      </c>
      <c r="J6" s="8" t="s">
        <v>14</v>
      </c>
      <c r="K6" s="8" t="s">
        <v>15</v>
      </c>
      <c r="L6" s="8" t="s">
        <v>16</v>
      </c>
      <c r="M6" s="8" t="s">
        <v>17</v>
      </c>
      <c r="N6" s="8" t="s">
        <v>18</v>
      </c>
      <c r="O6" s="8" t="s">
        <v>19</v>
      </c>
      <c r="P6" s="8" t="s">
        <v>20</v>
      </c>
      <c r="Q6" s="8" t="s">
        <v>21</v>
      </c>
      <c r="R6" s="8" t="s">
        <v>22</v>
      </c>
      <c r="S6" s="8" t="s">
        <v>23</v>
      </c>
      <c r="T6" s="8" t="s">
        <v>24</v>
      </c>
      <c r="U6" s="8" t="s">
        <v>25</v>
      </c>
      <c r="V6" s="8" t="s">
        <v>26</v>
      </c>
      <c r="W6" s="8" t="s">
        <v>27</v>
      </c>
      <c r="X6" s="8" t="s">
        <v>28</v>
      </c>
      <c r="Y6" s="8" t="s">
        <v>29</v>
      </c>
      <c r="Z6" s="8" t="s">
        <v>30</v>
      </c>
      <c r="AA6" s="8" t="s">
        <v>31</v>
      </c>
      <c r="AB6" s="8" t="s">
        <v>32</v>
      </c>
      <c r="AC6" s="8" t="s">
        <v>33</v>
      </c>
      <c r="AD6" s="8" t="s">
        <v>34</v>
      </c>
      <c r="AE6" s="8" t="s">
        <v>35</v>
      </c>
      <c r="AF6" s="8" t="s">
        <v>36</v>
      </c>
      <c r="AG6" s="430" t="s">
        <v>37</v>
      </c>
    </row>
    <row r="7" spans="1:34" ht="15" customHeight="1" thickTop="1">
      <c r="A7" s="508" t="s">
        <v>38</v>
      </c>
      <c r="B7" s="509" t="s">
        <v>490</v>
      </c>
      <c r="C7" s="510"/>
      <c r="D7" s="498">
        <v>100858</v>
      </c>
      <c r="E7" s="498">
        <v>1</v>
      </c>
      <c r="F7" s="217">
        <f t="shared" ref="F7" si="3">SUM(H7,J7,L7,M7,N7,R7)</f>
        <v>585553</v>
      </c>
      <c r="G7" s="216">
        <f t="shared" ref="G7" si="4">SUM(I7,K7,O7,P7,Q7,S7)</f>
        <v>592715</v>
      </c>
      <c r="H7" s="370">
        <v>572553</v>
      </c>
      <c r="I7" s="387">
        <v>571694</v>
      </c>
      <c r="J7" s="370"/>
      <c r="K7" s="387"/>
      <c r="L7" s="367">
        <v>13000</v>
      </c>
      <c r="M7" s="369"/>
      <c r="N7" s="369"/>
      <c r="O7" s="387">
        <v>21021</v>
      </c>
      <c r="P7" s="387"/>
      <c r="Q7" s="388"/>
      <c r="R7" s="370"/>
      <c r="S7" s="387"/>
      <c r="T7" s="218">
        <f t="shared" ref="T7" si="5">SUM(V7,X7,Z7,AA7,AB7,AF7)</f>
        <v>94961</v>
      </c>
      <c r="U7" s="219">
        <f t="shared" ref="U7" si="6">SUM(W7,Y7,AC7,AD7,AE7,AG7)</f>
        <v>98025</v>
      </c>
      <c r="V7" s="370">
        <v>80968</v>
      </c>
      <c r="W7" s="387">
        <v>81292</v>
      </c>
      <c r="X7" s="370">
        <v>2332</v>
      </c>
      <c r="Y7" s="387">
        <v>2274</v>
      </c>
      <c r="Z7" s="367">
        <v>11661</v>
      </c>
      <c r="AA7" s="369"/>
      <c r="AB7" s="369"/>
      <c r="AC7" s="387">
        <v>14459</v>
      </c>
      <c r="AD7" s="387"/>
      <c r="AE7" s="388"/>
      <c r="AF7" s="370"/>
      <c r="AG7" s="387"/>
      <c r="AH7" s="389"/>
    </row>
    <row r="8" spans="1:34" ht="15" customHeight="1">
      <c r="A8" s="508" t="s">
        <v>38</v>
      </c>
      <c r="B8" s="509" t="s">
        <v>491</v>
      </c>
      <c r="C8" s="510"/>
      <c r="D8" s="498">
        <v>100751</v>
      </c>
      <c r="E8" s="498">
        <v>1</v>
      </c>
      <c r="F8" s="217">
        <f t="shared" ref="F8:F71" si="7">SUM(H8,J8,L8,M8,N8,R8)</f>
        <v>820825</v>
      </c>
      <c r="G8" s="216">
        <f t="shared" ref="G8:G71" si="8">SUM(I8,K8,O8,P8,Q8,S8)</f>
        <v>851688</v>
      </c>
      <c r="H8" s="368">
        <v>756919</v>
      </c>
      <c r="I8" s="511">
        <v>779628</v>
      </c>
      <c r="J8" s="368">
        <v>221</v>
      </c>
      <c r="K8" s="511">
        <v>377</v>
      </c>
      <c r="L8" s="367">
        <v>63366</v>
      </c>
      <c r="M8" s="367">
        <v>319</v>
      </c>
      <c r="N8" s="367"/>
      <c r="O8" s="512">
        <v>71092</v>
      </c>
      <c r="P8" s="512">
        <v>591</v>
      </c>
      <c r="Q8" s="391"/>
      <c r="R8" s="368"/>
      <c r="S8" s="511"/>
      <c r="T8" s="218">
        <f t="shared" ref="T8:T71" si="9">SUM(V8,X8,Z8,AA8,AB8,AF8)</f>
        <v>95498</v>
      </c>
      <c r="U8" s="219">
        <f t="shared" ref="U8:U71" si="10">SUM(W8,Y8,AC8,AD8,AE8,AG8)</f>
        <v>95376</v>
      </c>
      <c r="V8" s="368">
        <v>76893</v>
      </c>
      <c r="W8" s="511">
        <v>75698</v>
      </c>
      <c r="X8" s="368">
        <v>3329</v>
      </c>
      <c r="Y8" s="511">
        <v>3232</v>
      </c>
      <c r="Z8" s="367">
        <v>14991</v>
      </c>
      <c r="AA8" s="367">
        <v>285</v>
      </c>
      <c r="AB8" s="367"/>
      <c r="AC8" s="512">
        <v>16107</v>
      </c>
      <c r="AD8" s="512">
        <v>339</v>
      </c>
      <c r="AE8" s="391"/>
      <c r="AF8" s="368"/>
      <c r="AG8" s="512"/>
      <c r="AH8" s="389"/>
    </row>
    <row r="9" spans="1:34" ht="15" customHeight="1">
      <c r="A9" s="508" t="s">
        <v>38</v>
      </c>
      <c r="B9" s="509" t="s">
        <v>492</v>
      </c>
      <c r="C9" s="482" t="s">
        <v>530</v>
      </c>
      <c r="D9" s="498">
        <v>100663</v>
      </c>
      <c r="E9" s="498">
        <v>2</v>
      </c>
      <c r="F9" s="217">
        <f t="shared" si="7"/>
        <v>267690</v>
      </c>
      <c r="G9" s="216">
        <f t="shared" si="8"/>
        <v>265514</v>
      </c>
      <c r="H9" s="368">
        <v>219422</v>
      </c>
      <c r="I9" s="390">
        <v>211042</v>
      </c>
      <c r="J9" s="368">
        <v>147</v>
      </c>
      <c r="K9" s="390">
        <v>138</v>
      </c>
      <c r="L9" s="367">
        <v>47769</v>
      </c>
      <c r="M9" s="367">
        <v>352</v>
      </c>
      <c r="N9" s="367"/>
      <c r="O9" s="390">
        <v>54232</v>
      </c>
      <c r="P9" s="390">
        <v>102</v>
      </c>
      <c r="Q9" s="391"/>
      <c r="R9" s="368"/>
      <c r="S9" s="390"/>
      <c r="T9" s="218">
        <f t="shared" si="9"/>
        <v>44933</v>
      </c>
      <c r="U9" s="219">
        <f t="shared" si="10"/>
        <v>44293</v>
      </c>
      <c r="V9" s="368">
        <v>33244</v>
      </c>
      <c r="W9" s="390">
        <v>29061</v>
      </c>
      <c r="X9" s="368">
        <v>1138</v>
      </c>
      <c r="Y9" s="390">
        <v>1918</v>
      </c>
      <c r="Z9" s="367">
        <v>10313</v>
      </c>
      <c r="AA9" s="367">
        <v>238</v>
      </c>
      <c r="AB9" s="367"/>
      <c r="AC9" s="390">
        <v>13097</v>
      </c>
      <c r="AD9" s="390">
        <v>217</v>
      </c>
      <c r="AE9" s="391"/>
      <c r="AF9" s="368"/>
      <c r="AG9" s="390"/>
      <c r="AH9" s="389"/>
    </row>
    <row r="10" spans="1:34" ht="15" customHeight="1">
      <c r="A10" s="508" t="s">
        <v>38</v>
      </c>
      <c r="B10" s="509" t="s">
        <v>493</v>
      </c>
      <c r="C10" s="513"/>
      <c r="D10" s="498">
        <v>100706</v>
      </c>
      <c r="E10" s="498">
        <v>2</v>
      </c>
      <c r="F10" s="217">
        <f t="shared" si="7"/>
        <v>147375</v>
      </c>
      <c r="G10" s="216">
        <f t="shared" si="8"/>
        <v>145893</v>
      </c>
      <c r="H10" s="368">
        <v>143734</v>
      </c>
      <c r="I10" s="390">
        <v>142452</v>
      </c>
      <c r="J10" s="368"/>
      <c r="K10" s="390"/>
      <c r="L10" s="367">
        <v>3641</v>
      </c>
      <c r="M10" s="367"/>
      <c r="N10" s="367"/>
      <c r="O10" s="390">
        <v>3441</v>
      </c>
      <c r="P10" s="390"/>
      <c r="Q10" s="391"/>
      <c r="R10" s="368"/>
      <c r="S10" s="390"/>
      <c r="T10" s="218">
        <f t="shared" si="9"/>
        <v>24568</v>
      </c>
      <c r="U10" s="219">
        <f t="shared" si="10"/>
        <v>25297</v>
      </c>
      <c r="V10" s="368">
        <v>20235</v>
      </c>
      <c r="W10" s="390">
        <v>20850</v>
      </c>
      <c r="X10" s="368"/>
      <c r="Y10" s="390"/>
      <c r="Z10" s="367">
        <v>4333</v>
      </c>
      <c r="AA10" s="367"/>
      <c r="AB10" s="367"/>
      <c r="AC10" s="390">
        <v>4447</v>
      </c>
      <c r="AD10" s="390"/>
      <c r="AE10" s="391"/>
      <c r="AF10" s="368"/>
      <c r="AG10" s="390"/>
      <c r="AH10" s="389"/>
    </row>
    <row r="11" spans="1:34" ht="15" customHeight="1">
      <c r="A11" s="508" t="s">
        <v>38</v>
      </c>
      <c r="B11" s="509" t="s">
        <v>494</v>
      </c>
      <c r="C11" s="510"/>
      <c r="D11" s="498">
        <v>100654</v>
      </c>
      <c r="E11" s="498">
        <v>3</v>
      </c>
      <c r="F11" s="217">
        <f t="shared" si="7"/>
        <v>112522</v>
      </c>
      <c r="G11" s="216">
        <f t="shared" si="8"/>
        <v>114052</v>
      </c>
      <c r="H11" s="368">
        <v>111823</v>
      </c>
      <c r="I11" s="390">
        <v>109398</v>
      </c>
      <c r="J11" s="368"/>
      <c r="K11" s="390"/>
      <c r="L11" s="367">
        <v>699</v>
      </c>
      <c r="M11" s="367"/>
      <c r="N11" s="367"/>
      <c r="O11" s="390">
        <v>4654</v>
      </c>
      <c r="P11" s="390"/>
      <c r="Q11" s="391"/>
      <c r="R11" s="368"/>
      <c r="S11" s="390"/>
      <c r="T11" s="218">
        <f t="shared" si="9"/>
        <v>16557</v>
      </c>
      <c r="U11" s="219">
        <f t="shared" si="10"/>
        <v>19870</v>
      </c>
      <c r="V11" s="368">
        <v>16516</v>
      </c>
      <c r="W11" s="390">
        <v>19327</v>
      </c>
      <c r="X11" s="368">
        <v>41</v>
      </c>
      <c r="Y11" s="390"/>
      <c r="Z11" s="367"/>
      <c r="AA11" s="367"/>
      <c r="AB11" s="367"/>
      <c r="AC11" s="390">
        <v>543</v>
      </c>
      <c r="AD11" s="390"/>
      <c r="AE11" s="391"/>
      <c r="AF11" s="368"/>
      <c r="AG11" s="390"/>
      <c r="AH11" s="389"/>
    </row>
    <row r="12" spans="1:34" ht="15" customHeight="1">
      <c r="A12" s="508" t="s">
        <v>38</v>
      </c>
      <c r="B12" s="509" t="s">
        <v>495</v>
      </c>
      <c r="C12" s="510"/>
      <c r="D12" s="498">
        <v>101480</v>
      </c>
      <c r="E12" s="498">
        <v>3</v>
      </c>
      <c r="F12" s="217">
        <f t="shared" si="7"/>
        <v>201752</v>
      </c>
      <c r="G12" s="216">
        <f t="shared" si="8"/>
        <v>194584</v>
      </c>
      <c r="H12" s="368">
        <v>158216</v>
      </c>
      <c r="I12" s="390">
        <v>153032</v>
      </c>
      <c r="J12" s="368">
        <v>1994</v>
      </c>
      <c r="K12" s="390">
        <v>2890</v>
      </c>
      <c r="L12" s="367">
        <v>39438</v>
      </c>
      <c r="M12" s="367">
        <v>2104</v>
      </c>
      <c r="N12" s="367"/>
      <c r="O12" s="390">
        <v>36841</v>
      </c>
      <c r="P12" s="390">
        <v>1821</v>
      </c>
      <c r="Q12" s="391"/>
      <c r="R12" s="368"/>
      <c r="S12" s="390"/>
      <c r="T12" s="218">
        <f t="shared" si="9"/>
        <v>16614</v>
      </c>
      <c r="U12" s="219">
        <f t="shared" si="10"/>
        <v>15877</v>
      </c>
      <c r="V12" s="368">
        <v>4510</v>
      </c>
      <c r="W12" s="390">
        <v>4233</v>
      </c>
      <c r="X12" s="368"/>
      <c r="Y12" s="390"/>
      <c r="Z12" s="367">
        <v>12104</v>
      </c>
      <c r="AA12" s="367"/>
      <c r="AB12" s="367"/>
      <c r="AC12" s="390">
        <v>11644</v>
      </c>
      <c r="AD12" s="390"/>
      <c r="AE12" s="391"/>
      <c r="AF12" s="368"/>
      <c r="AG12" s="390"/>
      <c r="AH12" s="389"/>
    </row>
    <row r="13" spans="1:34" ht="15" customHeight="1">
      <c r="A13" s="508" t="s">
        <v>38</v>
      </c>
      <c r="B13" s="509" t="s">
        <v>496</v>
      </c>
      <c r="C13" s="510"/>
      <c r="D13" s="498">
        <v>102368</v>
      </c>
      <c r="E13" s="498">
        <v>3</v>
      </c>
      <c r="F13" s="217">
        <f t="shared" si="7"/>
        <v>279141</v>
      </c>
      <c r="G13" s="216">
        <f t="shared" si="8"/>
        <v>268959</v>
      </c>
      <c r="H13" s="368">
        <v>208607</v>
      </c>
      <c r="I13" s="390">
        <v>203995</v>
      </c>
      <c r="J13" s="368">
        <v>742</v>
      </c>
      <c r="K13" s="390">
        <v>448</v>
      </c>
      <c r="L13" s="367">
        <v>69627</v>
      </c>
      <c r="M13" s="367"/>
      <c r="N13" s="367">
        <v>165</v>
      </c>
      <c r="O13" s="390">
        <v>64060</v>
      </c>
      <c r="P13" s="390"/>
      <c r="Q13" s="391">
        <v>456</v>
      </c>
      <c r="R13" s="368"/>
      <c r="S13" s="390"/>
      <c r="T13" s="218">
        <f t="shared" si="9"/>
        <v>38484</v>
      </c>
      <c r="U13" s="219">
        <f t="shared" si="10"/>
        <v>36287</v>
      </c>
      <c r="V13" s="368">
        <v>25560</v>
      </c>
      <c r="W13" s="390">
        <v>22908</v>
      </c>
      <c r="X13" s="368">
        <v>168</v>
      </c>
      <c r="Y13" s="390">
        <v>51</v>
      </c>
      <c r="Z13" s="367">
        <v>12258</v>
      </c>
      <c r="AA13" s="367"/>
      <c r="AB13" s="367">
        <v>498</v>
      </c>
      <c r="AC13" s="390">
        <v>13208</v>
      </c>
      <c r="AD13" s="390"/>
      <c r="AE13" s="391">
        <v>120</v>
      </c>
      <c r="AF13" s="368"/>
      <c r="AG13" s="390"/>
      <c r="AH13" s="389"/>
    </row>
    <row r="14" spans="1:34" ht="15" customHeight="1">
      <c r="A14" s="508" t="s">
        <v>38</v>
      </c>
      <c r="B14" s="509" t="s">
        <v>497</v>
      </c>
      <c r="C14" s="510"/>
      <c r="D14" s="498">
        <v>102094</v>
      </c>
      <c r="E14" s="498">
        <v>3</v>
      </c>
      <c r="F14" s="217">
        <f t="shared" si="7"/>
        <v>267274</v>
      </c>
      <c r="G14" s="216">
        <f t="shared" si="8"/>
        <v>271939</v>
      </c>
      <c r="H14" s="368">
        <v>244306</v>
      </c>
      <c r="I14" s="390">
        <v>246414</v>
      </c>
      <c r="J14" s="368">
        <v>172</v>
      </c>
      <c r="K14" s="390">
        <v>208</v>
      </c>
      <c r="L14" s="367">
        <v>22796</v>
      </c>
      <c r="M14" s="367"/>
      <c r="N14" s="367"/>
      <c r="O14" s="514">
        <v>25317</v>
      </c>
      <c r="P14" s="390"/>
      <c r="Q14" s="391"/>
      <c r="R14" s="368"/>
      <c r="S14" s="390"/>
      <c r="T14" s="218">
        <f t="shared" si="9"/>
        <v>15612</v>
      </c>
      <c r="U14" s="219">
        <f t="shared" si="10"/>
        <v>18830</v>
      </c>
      <c r="V14" s="368">
        <v>11456</v>
      </c>
      <c r="W14" s="390">
        <v>14495</v>
      </c>
      <c r="X14" s="368"/>
      <c r="Y14" s="390"/>
      <c r="Z14" s="367">
        <v>4156</v>
      </c>
      <c r="AA14" s="367"/>
      <c r="AB14" s="367"/>
      <c r="AC14" s="514">
        <v>4335</v>
      </c>
      <c r="AD14" s="390"/>
      <c r="AE14" s="391"/>
      <c r="AF14" s="368"/>
      <c r="AG14" s="390"/>
      <c r="AH14" s="389"/>
    </row>
    <row r="15" spans="1:34" ht="15" customHeight="1">
      <c r="A15" s="508" t="s">
        <v>38</v>
      </c>
      <c r="B15" s="509" t="s">
        <v>498</v>
      </c>
      <c r="C15" s="510"/>
      <c r="D15" s="498">
        <v>100724</v>
      </c>
      <c r="E15" s="498">
        <v>4</v>
      </c>
      <c r="F15" s="217">
        <f t="shared" si="7"/>
        <v>161087</v>
      </c>
      <c r="G15" s="216">
        <f t="shared" si="8"/>
        <v>152105</v>
      </c>
      <c r="H15" s="368">
        <v>150872</v>
      </c>
      <c r="I15" s="515">
        <v>139319</v>
      </c>
      <c r="J15" s="368">
        <v>42</v>
      </c>
      <c r="K15" s="515">
        <v>57</v>
      </c>
      <c r="L15" s="367">
        <v>10173</v>
      </c>
      <c r="M15" s="367"/>
      <c r="N15" s="367"/>
      <c r="O15" s="515">
        <v>12729</v>
      </c>
      <c r="P15" s="390"/>
      <c r="Q15" s="391"/>
      <c r="R15" s="368"/>
      <c r="S15" s="515"/>
      <c r="T15" s="218">
        <f t="shared" si="9"/>
        <v>15174</v>
      </c>
      <c r="U15" s="219">
        <f t="shared" si="10"/>
        <v>15238</v>
      </c>
      <c r="V15" s="368">
        <v>11775</v>
      </c>
      <c r="W15" s="515">
        <v>12060</v>
      </c>
      <c r="X15" s="368">
        <v>99</v>
      </c>
      <c r="Y15" s="515">
        <v>63</v>
      </c>
      <c r="Z15" s="367">
        <v>3300</v>
      </c>
      <c r="AA15" s="367"/>
      <c r="AB15" s="367"/>
      <c r="AC15" s="515">
        <v>3115</v>
      </c>
      <c r="AD15" s="390"/>
      <c r="AE15" s="391"/>
      <c r="AF15" s="368"/>
      <c r="AG15" s="515"/>
      <c r="AH15" s="389"/>
    </row>
    <row r="16" spans="1:34" ht="15" customHeight="1">
      <c r="A16" s="508" t="s">
        <v>38</v>
      </c>
      <c r="B16" s="509" t="s">
        <v>499</v>
      </c>
      <c r="C16" s="510"/>
      <c r="D16" s="498">
        <v>100830</v>
      </c>
      <c r="E16" s="498">
        <v>4</v>
      </c>
      <c r="F16" s="217">
        <f t="shared" si="7"/>
        <v>107565</v>
      </c>
      <c r="G16" s="216">
        <f t="shared" si="8"/>
        <v>108187</v>
      </c>
      <c r="H16" s="368">
        <v>86432</v>
      </c>
      <c r="I16" s="516">
        <v>86321</v>
      </c>
      <c r="J16" s="368">
        <v>2523</v>
      </c>
      <c r="K16" s="516">
        <v>2052</v>
      </c>
      <c r="L16" s="367">
        <v>18610</v>
      </c>
      <c r="M16" s="367"/>
      <c r="N16" s="367"/>
      <c r="O16" s="516">
        <v>19814</v>
      </c>
      <c r="P16" s="390"/>
      <c r="Q16" s="391"/>
      <c r="R16" s="368"/>
      <c r="S16" s="516"/>
      <c r="T16" s="218">
        <f t="shared" si="9"/>
        <v>12306</v>
      </c>
      <c r="U16" s="219">
        <f t="shared" si="10"/>
        <v>11092</v>
      </c>
      <c r="V16" s="368">
        <v>6793</v>
      </c>
      <c r="W16" s="516">
        <v>4875</v>
      </c>
      <c r="X16" s="368">
        <v>411</v>
      </c>
      <c r="Y16" s="516">
        <v>126</v>
      </c>
      <c r="Z16" s="367">
        <v>5102</v>
      </c>
      <c r="AA16" s="367"/>
      <c r="AB16" s="367"/>
      <c r="AC16" s="516">
        <v>6091</v>
      </c>
      <c r="AD16" s="390"/>
      <c r="AE16" s="391"/>
      <c r="AF16" s="368"/>
      <c r="AG16" s="516"/>
      <c r="AH16" s="389"/>
    </row>
    <row r="17" spans="1:34" ht="15" customHeight="1">
      <c r="A17" s="508" t="s">
        <v>38</v>
      </c>
      <c r="B17" s="509" t="s">
        <v>500</v>
      </c>
      <c r="C17" s="482" t="s">
        <v>531</v>
      </c>
      <c r="D17" s="498">
        <v>101879</v>
      </c>
      <c r="E17" s="498">
        <v>4</v>
      </c>
      <c r="F17" s="217">
        <f t="shared" si="7"/>
        <v>156277</v>
      </c>
      <c r="G17" s="216">
        <f t="shared" si="8"/>
        <v>149700</v>
      </c>
      <c r="H17" s="368">
        <v>128813</v>
      </c>
      <c r="I17" s="516">
        <v>123687</v>
      </c>
      <c r="J17" s="368">
        <v>333</v>
      </c>
      <c r="K17" s="516"/>
      <c r="L17" s="367">
        <v>27131</v>
      </c>
      <c r="M17" s="367"/>
      <c r="N17" s="367"/>
      <c r="O17" s="516">
        <v>26013</v>
      </c>
      <c r="P17" s="390"/>
      <c r="Q17" s="391"/>
      <c r="R17" s="368"/>
      <c r="S17" s="516"/>
      <c r="T17" s="218">
        <f t="shared" si="9"/>
        <v>13746</v>
      </c>
      <c r="U17" s="219">
        <f t="shared" si="10"/>
        <v>13021</v>
      </c>
      <c r="V17" s="368">
        <v>5098</v>
      </c>
      <c r="W17" s="516">
        <v>4610</v>
      </c>
      <c r="X17" s="368">
        <v>657</v>
      </c>
      <c r="Y17" s="516"/>
      <c r="Z17" s="367">
        <v>7991</v>
      </c>
      <c r="AA17" s="367"/>
      <c r="AB17" s="367"/>
      <c r="AC17" s="516">
        <v>8411</v>
      </c>
      <c r="AD17" s="390"/>
      <c r="AE17" s="391"/>
      <c r="AF17" s="368"/>
      <c r="AG17" s="516"/>
      <c r="AH17" s="389"/>
    </row>
    <row r="18" spans="1:34" ht="15" customHeight="1">
      <c r="A18" s="508" t="s">
        <v>38</v>
      </c>
      <c r="B18" s="509" t="s">
        <v>501</v>
      </c>
      <c r="C18" s="510"/>
      <c r="D18" s="498">
        <v>101709</v>
      </c>
      <c r="E18" s="498">
        <v>5</v>
      </c>
      <c r="F18" s="217">
        <f t="shared" si="7"/>
        <v>74167</v>
      </c>
      <c r="G18" s="216">
        <f t="shared" si="8"/>
        <v>74112</v>
      </c>
      <c r="H18" s="368">
        <v>72557</v>
      </c>
      <c r="I18" s="390">
        <v>71789</v>
      </c>
      <c r="J18" s="368">
        <v>95</v>
      </c>
      <c r="K18" s="390">
        <v>75</v>
      </c>
      <c r="L18" s="367">
        <v>1515</v>
      </c>
      <c r="M18" s="367"/>
      <c r="N18" s="367"/>
      <c r="O18" s="390">
        <v>2248</v>
      </c>
      <c r="P18" s="390"/>
      <c r="Q18" s="391"/>
      <c r="R18" s="368"/>
      <c r="S18" s="390"/>
      <c r="T18" s="218">
        <f t="shared" si="9"/>
        <v>8282.5</v>
      </c>
      <c r="U18" s="219">
        <f t="shared" si="10"/>
        <v>7559</v>
      </c>
      <c r="V18" s="368">
        <v>6796.5</v>
      </c>
      <c r="W18" s="390">
        <v>6272</v>
      </c>
      <c r="X18" s="368">
        <v>98</v>
      </c>
      <c r="Y18" s="390">
        <v>113</v>
      </c>
      <c r="Z18" s="367">
        <v>1388</v>
      </c>
      <c r="AA18" s="367"/>
      <c r="AB18" s="367"/>
      <c r="AC18" s="390">
        <v>1174</v>
      </c>
      <c r="AD18" s="390"/>
      <c r="AE18" s="391"/>
      <c r="AF18" s="368"/>
      <c r="AG18" s="390"/>
      <c r="AH18" s="389"/>
    </row>
    <row r="19" spans="1:34" ht="15" customHeight="1">
      <c r="A19" s="508" t="s">
        <v>38</v>
      </c>
      <c r="B19" s="509" t="s">
        <v>502</v>
      </c>
      <c r="C19" s="510"/>
      <c r="D19" s="498">
        <v>101587</v>
      </c>
      <c r="E19" s="498">
        <v>5</v>
      </c>
      <c r="F19" s="217">
        <f t="shared" si="7"/>
        <v>52363</v>
      </c>
      <c r="G19" s="216">
        <f t="shared" si="8"/>
        <v>51775</v>
      </c>
      <c r="H19" s="368">
        <v>48201</v>
      </c>
      <c r="I19" s="517">
        <v>47629</v>
      </c>
      <c r="J19" s="368">
        <v>501</v>
      </c>
      <c r="K19" s="517">
        <v>425</v>
      </c>
      <c r="L19" s="367">
        <v>3661</v>
      </c>
      <c r="M19" s="367"/>
      <c r="N19" s="367"/>
      <c r="O19" s="517">
        <v>3721</v>
      </c>
      <c r="P19" s="390"/>
      <c r="Q19" s="391"/>
      <c r="R19" s="368"/>
      <c r="S19" s="517"/>
      <c r="T19" s="218">
        <f t="shared" si="9"/>
        <v>37813</v>
      </c>
      <c r="U19" s="219">
        <f t="shared" si="10"/>
        <v>32227</v>
      </c>
      <c r="V19" s="368">
        <v>4667</v>
      </c>
      <c r="W19" s="517">
        <v>3232</v>
      </c>
      <c r="X19" s="368">
        <v>9</v>
      </c>
      <c r="Y19" s="517"/>
      <c r="Z19" s="367">
        <v>33137</v>
      </c>
      <c r="AA19" s="367"/>
      <c r="AB19" s="367"/>
      <c r="AC19" s="517">
        <v>28995</v>
      </c>
      <c r="AD19" s="390"/>
      <c r="AE19" s="391"/>
      <c r="AF19" s="368"/>
      <c r="AG19" s="517"/>
      <c r="AH19" s="389"/>
    </row>
    <row r="20" spans="1:34" ht="15" customHeight="1">
      <c r="A20" s="508" t="s">
        <v>38</v>
      </c>
      <c r="B20" s="509" t="s">
        <v>503</v>
      </c>
      <c r="C20" s="518"/>
      <c r="D20" s="519">
        <v>100812</v>
      </c>
      <c r="E20" s="498">
        <v>6</v>
      </c>
      <c r="F20" s="217">
        <f t="shared" si="7"/>
        <v>79729</v>
      </c>
      <c r="G20" s="216">
        <f t="shared" si="8"/>
        <v>73371</v>
      </c>
      <c r="H20" s="368">
        <v>26668</v>
      </c>
      <c r="I20" s="390">
        <v>17326</v>
      </c>
      <c r="J20" s="368">
        <v>4660</v>
      </c>
      <c r="K20" s="390">
        <v>3472</v>
      </c>
      <c r="L20" s="367">
        <v>48401</v>
      </c>
      <c r="M20" s="367"/>
      <c r="N20" s="367"/>
      <c r="O20" s="390">
        <v>52573</v>
      </c>
      <c r="P20" s="390"/>
      <c r="Q20" s="391"/>
      <c r="R20" s="368"/>
      <c r="S20" s="390"/>
      <c r="T20" s="218">
        <f t="shared" si="9"/>
        <v>0</v>
      </c>
      <c r="U20" s="219">
        <f t="shared" si="10"/>
        <v>0</v>
      </c>
      <c r="V20" s="368"/>
      <c r="W20" s="390"/>
      <c r="X20" s="368"/>
      <c r="Y20" s="390"/>
      <c r="Z20" s="367"/>
      <c r="AA20" s="367"/>
      <c r="AB20" s="367"/>
      <c r="AC20" s="390"/>
      <c r="AD20" s="390"/>
      <c r="AE20" s="391"/>
      <c r="AF20" s="368"/>
      <c r="AG20" s="390"/>
      <c r="AH20" s="389"/>
    </row>
    <row r="21" spans="1:34" ht="15" customHeight="1">
      <c r="A21" s="508" t="s">
        <v>38</v>
      </c>
      <c r="B21" s="509" t="s">
        <v>504</v>
      </c>
      <c r="C21" s="482" t="s">
        <v>532</v>
      </c>
      <c r="D21" s="484">
        <v>101240</v>
      </c>
      <c r="E21" s="498">
        <v>8</v>
      </c>
      <c r="F21" s="217">
        <f t="shared" si="7"/>
        <v>138918</v>
      </c>
      <c r="G21" s="216">
        <f t="shared" si="8"/>
        <v>129944</v>
      </c>
      <c r="H21" s="368">
        <v>116399</v>
      </c>
      <c r="I21" s="390">
        <v>107713</v>
      </c>
      <c r="J21" s="368"/>
      <c r="K21" s="390">
        <v>0</v>
      </c>
      <c r="L21" s="367">
        <v>22519</v>
      </c>
      <c r="M21" s="367"/>
      <c r="N21" s="367"/>
      <c r="O21" s="390">
        <v>22231</v>
      </c>
      <c r="P21" s="390">
        <v>0</v>
      </c>
      <c r="Q21" s="391">
        <v>0</v>
      </c>
      <c r="R21" s="368"/>
      <c r="S21" s="390"/>
      <c r="T21" s="218">
        <f t="shared" si="9"/>
        <v>0</v>
      </c>
      <c r="U21" s="219">
        <f t="shared" si="10"/>
        <v>0</v>
      </c>
      <c r="V21" s="368"/>
      <c r="W21" s="390"/>
      <c r="X21" s="368"/>
      <c r="Y21" s="390"/>
      <c r="Z21" s="367"/>
      <c r="AA21" s="367"/>
      <c r="AB21" s="367"/>
      <c r="AC21" s="390"/>
      <c r="AD21" s="390"/>
      <c r="AE21" s="391"/>
      <c r="AF21" s="368"/>
      <c r="AG21" s="390"/>
      <c r="AH21" s="389"/>
    </row>
    <row r="22" spans="1:34" ht="15" customHeight="1">
      <c r="A22" s="508" t="s">
        <v>38</v>
      </c>
      <c r="B22" s="509" t="s">
        <v>505</v>
      </c>
      <c r="C22" s="520"/>
      <c r="D22" s="484">
        <v>101505</v>
      </c>
      <c r="E22" s="484">
        <v>8</v>
      </c>
      <c r="F22" s="217">
        <f t="shared" si="7"/>
        <v>178385</v>
      </c>
      <c r="G22" s="216">
        <f t="shared" si="8"/>
        <v>173477</v>
      </c>
      <c r="H22" s="368">
        <v>106046</v>
      </c>
      <c r="I22" s="390">
        <v>100050</v>
      </c>
      <c r="J22" s="368">
        <v>22954</v>
      </c>
      <c r="K22" s="390">
        <v>22495</v>
      </c>
      <c r="L22" s="367">
        <v>47935</v>
      </c>
      <c r="M22" s="367">
        <v>1450</v>
      </c>
      <c r="N22" s="367"/>
      <c r="O22" s="390">
        <v>49410</v>
      </c>
      <c r="P22" s="390">
        <v>1522</v>
      </c>
      <c r="Q22" s="391">
        <v>0</v>
      </c>
      <c r="R22" s="368"/>
      <c r="S22" s="390"/>
      <c r="T22" s="218">
        <f t="shared" si="9"/>
        <v>0</v>
      </c>
      <c r="U22" s="219">
        <f t="shared" si="10"/>
        <v>0</v>
      </c>
      <c r="V22" s="368"/>
      <c r="W22" s="390"/>
      <c r="X22" s="368"/>
      <c r="Y22" s="390"/>
      <c r="Z22" s="367"/>
      <c r="AA22" s="367"/>
      <c r="AB22" s="367"/>
      <c r="AC22" s="390"/>
      <c r="AD22" s="390"/>
      <c r="AE22" s="391"/>
      <c r="AF22" s="368"/>
      <c r="AG22" s="390"/>
      <c r="AH22" s="389"/>
    </row>
    <row r="23" spans="1:34" ht="15" customHeight="1">
      <c r="A23" s="508" t="s">
        <v>38</v>
      </c>
      <c r="B23" s="509" t="s">
        <v>506</v>
      </c>
      <c r="C23" s="520"/>
      <c r="D23" s="484">
        <v>101514</v>
      </c>
      <c r="E23" s="484">
        <v>8</v>
      </c>
      <c r="F23" s="217">
        <f t="shared" si="7"/>
        <v>236477</v>
      </c>
      <c r="G23" s="216">
        <f t="shared" si="8"/>
        <v>231264</v>
      </c>
      <c r="H23" s="368">
        <v>187467</v>
      </c>
      <c r="I23" s="390">
        <v>169740</v>
      </c>
      <c r="J23" s="368"/>
      <c r="K23" s="390">
        <v>0</v>
      </c>
      <c r="L23" s="367">
        <v>49010</v>
      </c>
      <c r="M23" s="367"/>
      <c r="N23" s="367"/>
      <c r="O23" s="390">
        <v>61524</v>
      </c>
      <c r="P23" s="390">
        <v>0</v>
      </c>
      <c r="Q23" s="391">
        <v>0</v>
      </c>
      <c r="R23" s="368"/>
      <c r="S23" s="390"/>
      <c r="T23" s="218">
        <f t="shared" si="9"/>
        <v>0</v>
      </c>
      <c r="U23" s="219">
        <f t="shared" si="10"/>
        <v>0</v>
      </c>
      <c r="V23" s="368"/>
      <c r="W23" s="390"/>
      <c r="X23" s="368"/>
      <c r="Y23" s="390"/>
      <c r="Z23" s="367"/>
      <c r="AA23" s="367"/>
      <c r="AB23" s="367"/>
      <c r="AC23" s="390"/>
      <c r="AD23" s="390"/>
      <c r="AE23" s="391"/>
      <c r="AF23" s="368"/>
      <c r="AG23" s="390"/>
      <c r="AH23" s="389"/>
    </row>
    <row r="24" spans="1:34" ht="15" customHeight="1">
      <c r="A24" s="508" t="s">
        <v>38</v>
      </c>
      <c r="B24" s="509" t="s">
        <v>507</v>
      </c>
      <c r="C24" s="493" t="s">
        <v>533</v>
      </c>
      <c r="D24" s="484">
        <v>101295</v>
      </c>
      <c r="E24" s="524">
        <v>9</v>
      </c>
      <c r="F24" s="217">
        <f t="shared" si="7"/>
        <v>133233</v>
      </c>
      <c r="G24" s="216">
        <f t="shared" si="8"/>
        <v>132422</v>
      </c>
      <c r="H24" s="368">
        <v>105022</v>
      </c>
      <c r="I24" s="390">
        <v>103727</v>
      </c>
      <c r="J24" s="368"/>
      <c r="K24" s="390">
        <v>0</v>
      </c>
      <c r="L24" s="367">
        <v>28211</v>
      </c>
      <c r="M24" s="367"/>
      <c r="N24" s="367"/>
      <c r="O24" s="390">
        <v>28695</v>
      </c>
      <c r="P24" s="390">
        <v>0</v>
      </c>
      <c r="Q24" s="391">
        <v>0</v>
      </c>
      <c r="R24" s="368"/>
      <c r="S24" s="390"/>
      <c r="T24" s="218">
        <f t="shared" si="9"/>
        <v>0</v>
      </c>
      <c r="U24" s="219">
        <f t="shared" si="10"/>
        <v>0</v>
      </c>
      <c r="V24" s="368"/>
      <c r="W24" s="390"/>
      <c r="X24" s="368"/>
      <c r="Y24" s="390"/>
      <c r="Z24" s="367"/>
      <c r="AA24" s="367"/>
      <c r="AB24" s="367"/>
      <c r="AC24" s="390"/>
      <c r="AD24" s="390"/>
      <c r="AE24" s="391"/>
      <c r="AF24" s="368"/>
      <c r="AG24" s="390"/>
      <c r="AH24" s="389"/>
    </row>
    <row r="25" spans="1:34" ht="15" customHeight="1">
      <c r="A25" s="508" t="s">
        <v>38</v>
      </c>
      <c r="B25" s="509" t="s">
        <v>508</v>
      </c>
      <c r="C25" s="520"/>
      <c r="D25" s="484">
        <v>102429</v>
      </c>
      <c r="E25" s="484">
        <v>9</v>
      </c>
      <c r="F25" s="217">
        <f t="shared" si="7"/>
        <v>86442</v>
      </c>
      <c r="G25" s="216">
        <f t="shared" si="8"/>
        <v>83868</v>
      </c>
      <c r="H25" s="368">
        <v>22608</v>
      </c>
      <c r="I25" s="390">
        <v>21874</v>
      </c>
      <c r="J25" s="368">
        <v>42627</v>
      </c>
      <c r="K25" s="390">
        <v>40741</v>
      </c>
      <c r="L25" s="367">
        <v>17057</v>
      </c>
      <c r="M25" s="367">
        <v>4150</v>
      </c>
      <c r="N25" s="367"/>
      <c r="O25" s="390">
        <v>16717</v>
      </c>
      <c r="P25" s="390">
        <v>4536</v>
      </c>
      <c r="Q25" s="391">
        <v>0</v>
      </c>
      <c r="R25" s="368"/>
      <c r="S25" s="390"/>
      <c r="T25" s="218">
        <f t="shared" si="9"/>
        <v>0</v>
      </c>
      <c r="U25" s="219">
        <f t="shared" si="10"/>
        <v>0</v>
      </c>
      <c r="V25" s="368"/>
      <c r="W25" s="390"/>
      <c r="X25" s="368"/>
      <c r="Y25" s="390"/>
      <c r="Z25" s="367"/>
      <c r="AA25" s="367"/>
      <c r="AB25" s="367"/>
      <c r="AC25" s="390"/>
      <c r="AD25" s="390"/>
      <c r="AE25" s="391"/>
      <c r="AF25" s="368"/>
      <c r="AG25" s="390"/>
      <c r="AH25" s="389"/>
    </row>
    <row r="26" spans="1:34" ht="15" customHeight="1">
      <c r="A26" s="508" t="s">
        <v>38</v>
      </c>
      <c r="B26" s="509" t="s">
        <v>509</v>
      </c>
      <c r="C26" s="521"/>
      <c r="D26" s="484">
        <v>102030</v>
      </c>
      <c r="E26" s="484">
        <v>9</v>
      </c>
      <c r="F26" s="217">
        <f t="shared" si="7"/>
        <v>85871</v>
      </c>
      <c r="G26" s="216">
        <f t="shared" si="8"/>
        <v>79735</v>
      </c>
      <c r="H26" s="368">
        <v>77380</v>
      </c>
      <c r="I26" s="390">
        <v>71418</v>
      </c>
      <c r="J26" s="368">
        <v>741</v>
      </c>
      <c r="K26" s="390">
        <v>703</v>
      </c>
      <c r="L26" s="367">
        <v>6749</v>
      </c>
      <c r="M26" s="367"/>
      <c r="N26" s="367">
        <v>1001</v>
      </c>
      <c r="O26" s="390">
        <v>6549</v>
      </c>
      <c r="P26" s="390">
        <v>0</v>
      </c>
      <c r="Q26" s="391">
        <v>1065</v>
      </c>
      <c r="R26" s="368"/>
      <c r="S26" s="390"/>
      <c r="T26" s="218">
        <f t="shared" si="9"/>
        <v>0</v>
      </c>
      <c r="U26" s="219">
        <f t="shared" si="10"/>
        <v>0</v>
      </c>
      <c r="V26" s="368"/>
      <c r="W26" s="390"/>
      <c r="X26" s="368"/>
      <c r="Y26" s="390"/>
      <c r="Z26" s="367"/>
      <c r="AA26" s="367"/>
      <c r="AB26" s="367"/>
      <c r="AC26" s="390"/>
      <c r="AD26" s="390"/>
      <c r="AE26" s="391"/>
      <c r="AF26" s="368"/>
      <c r="AG26" s="390"/>
      <c r="AH26" s="389"/>
    </row>
    <row r="27" spans="1:34" ht="15" customHeight="1">
      <c r="A27" s="508" t="s">
        <v>38</v>
      </c>
      <c r="B27" s="509" t="s">
        <v>510</v>
      </c>
      <c r="C27" s="493" t="s">
        <v>465</v>
      </c>
      <c r="D27" s="484">
        <v>100760</v>
      </c>
      <c r="E27" s="524">
        <v>10</v>
      </c>
      <c r="F27" s="217">
        <f t="shared" si="7"/>
        <v>42469</v>
      </c>
      <c r="G27" s="216">
        <f t="shared" si="8"/>
        <v>40899</v>
      </c>
      <c r="H27" s="368">
        <v>34960</v>
      </c>
      <c r="I27" s="390">
        <v>33010</v>
      </c>
      <c r="J27" s="368"/>
      <c r="K27" s="390">
        <v>0</v>
      </c>
      <c r="L27" s="367">
        <v>7509</v>
      </c>
      <c r="M27" s="367"/>
      <c r="N27" s="367"/>
      <c r="O27" s="390">
        <v>7889</v>
      </c>
      <c r="P27" s="390">
        <v>0</v>
      </c>
      <c r="Q27" s="391">
        <v>0</v>
      </c>
      <c r="R27" s="368"/>
      <c r="S27" s="390"/>
      <c r="T27" s="218">
        <f t="shared" si="9"/>
        <v>0</v>
      </c>
      <c r="U27" s="219">
        <f t="shared" si="10"/>
        <v>0</v>
      </c>
      <c r="V27" s="368"/>
      <c r="W27" s="390"/>
      <c r="X27" s="368"/>
      <c r="Y27" s="390"/>
      <c r="Z27" s="367"/>
      <c r="AA27" s="367"/>
      <c r="AB27" s="367"/>
      <c r="AC27" s="390"/>
      <c r="AD27" s="390"/>
      <c r="AE27" s="391"/>
      <c r="AF27" s="368"/>
      <c r="AG27" s="390"/>
      <c r="AH27" s="389"/>
    </row>
    <row r="28" spans="1:34" ht="15" customHeight="1">
      <c r="A28" s="508" t="s">
        <v>38</v>
      </c>
      <c r="B28" s="509" t="s">
        <v>511</v>
      </c>
      <c r="C28" s="482" t="s">
        <v>357</v>
      </c>
      <c r="D28" s="484">
        <v>101143</v>
      </c>
      <c r="E28" s="498">
        <v>9</v>
      </c>
      <c r="F28" s="217">
        <f t="shared" si="7"/>
        <v>60259</v>
      </c>
      <c r="G28" s="216">
        <f t="shared" si="8"/>
        <v>52649</v>
      </c>
      <c r="H28" s="368">
        <v>51513</v>
      </c>
      <c r="I28" s="390">
        <v>43319</v>
      </c>
      <c r="J28" s="368">
        <v>312</v>
      </c>
      <c r="K28" s="390">
        <v>177</v>
      </c>
      <c r="L28" s="367">
        <v>8434</v>
      </c>
      <c r="M28" s="367"/>
      <c r="N28" s="367"/>
      <c r="O28" s="390">
        <v>9153</v>
      </c>
      <c r="P28" s="390">
        <v>0</v>
      </c>
      <c r="Q28" s="391">
        <v>0</v>
      </c>
      <c r="R28" s="368"/>
      <c r="S28" s="390"/>
      <c r="T28" s="218">
        <f t="shared" si="9"/>
        <v>0</v>
      </c>
      <c r="U28" s="219">
        <f t="shared" si="10"/>
        <v>0</v>
      </c>
      <c r="V28" s="368"/>
      <c r="W28" s="390"/>
      <c r="X28" s="368"/>
      <c r="Y28" s="390"/>
      <c r="Z28" s="367"/>
      <c r="AA28" s="367"/>
      <c r="AB28" s="367"/>
      <c r="AC28" s="390"/>
      <c r="AD28" s="390"/>
      <c r="AE28" s="391"/>
      <c r="AF28" s="368"/>
      <c r="AG28" s="390"/>
      <c r="AH28" s="389"/>
    </row>
    <row r="29" spans="1:34" ht="15" customHeight="1">
      <c r="A29" s="508" t="s">
        <v>38</v>
      </c>
      <c r="B29" s="509" t="s">
        <v>512</v>
      </c>
      <c r="C29" s="520"/>
      <c r="D29" s="484">
        <v>101286</v>
      </c>
      <c r="E29" s="484">
        <v>9</v>
      </c>
      <c r="F29" s="217">
        <f t="shared" si="7"/>
        <v>108988</v>
      </c>
      <c r="G29" s="216">
        <f t="shared" si="8"/>
        <v>109528</v>
      </c>
      <c r="H29" s="368">
        <v>78876</v>
      </c>
      <c r="I29" s="390">
        <v>80398</v>
      </c>
      <c r="J29" s="368">
        <v>5737</v>
      </c>
      <c r="K29" s="390">
        <v>6019</v>
      </c>
      <c r="L29" s="367">
        <v>24270</v>
      </c>
      <c r="M29" s="367"/>
      <c r="N29" s="367">
        <v>105</v>
      </c>
      <c r="O29" s="390">
        <v>23111</v>
      </c>
      <c r="P29" s="390">
        <v>0</v>
      </c>
      <c r="Q29" s="391">
        <v>0</v>
      </c>
      <c r="R29" s="368"/>
      <c r="S29" s="390"/>
      <c r="T29" s="218">
        <f t="shared" si="9"/>
        <v>0</v>
      </c>
      <c r="U29" s="219">
        <f t="shared" si="10"/>
        <v>0</v>
      </c>
      <c r="V29" s="368"/>
      <c r="W29" s="390"/>
      <c r="X29" s="368"/>
      <c r="Y29" s="390"/>
      <c r="Z29" s="367"/>
      <c r="AA29" s="367"/>
      <c r="AB29" s="367"/>
      <c r="AC29" s="390"/>
      <c r="AD29" s="390"/>
      <c r="AE29" s="391"/>
      <c r="AF29" s="368"/>
      <c r="AG29" s="390"/>
      <c r="AH29" s="389"/>
    </row>
    <row r="30" spans="1:34" ht="15" customHeight="1">
      <c r="A30" s="508" t="s">
        <v>38</v>
      </c>
      <c r="B30" s="509" t="s">
        <v>513</v>
      </c>
      <c r="C30" s="520"/>
      <c r="D30" s="484">
        <v>101161</v>
      </c>
      <c r="E30" s="484">
        <v>9</v>
      </c>
      <c r="F30" s="217">
        <f t="shared" si="7"/>
        <v>111585</v>
      </c>
      <c r="G30" s="216">
        <f t="shared" si="8"/>
        <v>112230</v>
      </c>
      <c r="H30" s="368">
        <v>54211</v>
      </c>
      <c r="I30" s="390">
        <v>52423</v>
      </c>
      <c r="J30" s="368">
        <v>35299</v>
      </c>
      <c r="K30" s="390">
        <v>35439</v>
      </c>
      <c r="L30" s="367">
        <v>20779</v>
      </c>
      <c r="M30" s="367"/>
      <c r="N30" s="367">
        <v>1296</v>
      </c>
      <c r="O30" s="390">
        <v>23254</v>
      </c>
      <c r="P30" s="390">
        <v>0</v>
      </c>
      <c r="Q30" s="391">
        <v>1114</v>
      </c>
      <c r="R30" s="368"/>
      <c r="S30" s="390"/>
      <c r="T30" s="218">
        <f t="shared" si="9"/>
        <v>0</v>
      </c>
      <c r="U30" s="219">
        <f t="shared" si="10"/>
        <v>0</v>
      </c>
      <c r="V30" s="368"/>
      <c r="W30" s="390"/>
      <c r="X30" s="368"/>
      <c r="Y30" s="390"/>
      <c r="Z30" s="367"/>
      <c r="AA30" s="367"/>
      <c r="AB30" s="367"/>
      <c r="AC30" s="390"/>
      <c r="AD30" s="390"/>
      <c r="AE30" s="391"/>
      <c r="AF30" s="368"/>
      <c r="AG30" s="390"/>
      <c r="AH30" s="389"/>
    </row>
    <row r="31" spans="1:34" ht="15" customHeight="1">
      <c r="A31" s="508" t="s">
        <v>38</v>
      </c>
      <c r="B31" s="509" t="s">
        <v>514</v>
      </c>
      <c r="C31" s="520"/>
      <c r="D31" s="484">
        <v>101569</v>
      </c>
      <c r="E31" s="484">
        <v>9</v>
      </c>
      <c r="F31" s="217">
        <f t="shared" si="7"/>
        <v>77501</v>
      </c>
      <c r="G31" s="216">
        <f t="shared" si="8"/>
        <v>73746</v>
      </c>
      <c r="H31" s="368">
        <v>71041</v>
      </c>
      <c r="I31" s="390">
        <v>65336</v>
      </c>
      <c r="J31" s="368">
        <v>869</v>
      </c>
      <c r="K31" s="390">
        <v>595</v>
      </c>
      <c r="L31" s="367">
        <v>5591</v>
      </c>
      <c r="M31" s="367"/>
      <c r="N31" s="367"/>
      <c r="O31" s="390">
        <v>7815</v>
      </c>
      <c r="P31" s="390">
        <v>0</v>
      </c>
      <c r="Q31" s="391">
        <v>0</v>
      </c>
      <c r="R31" s="368"/>
      <c r="S31" s="390"/>
      <c r="T31" s="218">
        <f t="shared" si="9"/>
        <v>0</v>
      </c>
      <c r="U31" s="219">
        <f t="shared" si="10"/>
        <v>0</v>
      </c>
      <c r="V31" s="368"/>
      <c r="W31" s="390"/>
      <c r="X31" s="368"/>
      <c r="Y31" s="390"/>
      <c r="Z31" s="367"/>
      <c r="AA31" s="367"/>
      <c r="AB31" s="367"/>
      <c r="AC31" s="390"/>
      <c r="AD31" s="390"/>
      <c r="AE31" s="391"/>
      <c r="AF31" s="368"/>
      <c r="AG31" s="390"/>
      <c r="AH31" s="389"/>
    </row>
    <row r="32" spans="1:34" ht="15" customHeight="1">
      <c r="A32" s="508" t="s">
        <v>38</v>
      </c>
      <c r="B32" s="522" t="s">
        <v>515</v>
      </c>
      <c r="C32" s="521"/>
      <c r="D32" s="498">
        <v>101897</v>
      </c>
      <c r="E32" s="498">
        <v>9</v>
      </c>
      <c r="F32" s="217">
        <f t="shared" si="7"/>
        <v>68921</v>
      </c>
      <c r="G32" s="216">
        <f t="shared" si="8"/>
        <v>61324</v>
      </c>
      <c r="H32" s="368">
        <v>45437</v>
      </c>
      <c r="I32" s="390">
        <v>40831</v>
      </c>
      <c r="J32" s="368">
        <v>5060</v>
      </c>
      <c r="K32" s="390">
        <v>4641</v>
      </c>
      <c r="L32" s="367">
        <v>18424</v>
      </c>
      <c r="M32" s="367"/>
      <c r="N32" s="367"/>
      <c r="O32" s="390">
        <v>15852</v>
      </c>
      <c r="P32" s="390">
        <v>0</v>
      </c>
      <c r="Q32" s="391">
        <v>0</v>
      </c>
      <c r="R32" s="368"/>
      <c r="S32" s="390"/>
      <c r="T32" s="218">
        <f t="shared" si="9"/>
        <v>0</v>
      </c>
      <c r="U32" s="219">
        <f t="shared" si="10"/>
        <v>0</v>
      </c>
      <c r="V32" s="368"/>
      <c r="W32" s="390"/>
      <c r="X32" s="368"/>
      <c r="Y32" s="390"/>
      <c r="Z32" s="367"/>
      <c r="AA32" s="367"/>
      <c r="AB32" s="367"/>
      <c r="AC32" s="390"/>
      <c r="AD32" s="390"/>
      <c r="AE32" s="391"/>
      <c r="AF32" s="368"/>
      <c r="AG32" s="390"/>
      <c r="AH32" s="389"/>
    </row>
    <row r="33" spans="1:34" ht="15" customHeight="1">
      <c r="A33" s="508" t="s">
        <v>38</v>
      </c>
      <c r="B33" s="509" t="s">
        <v>516</v>
      </c>
      <c r="C33" s="520"/>
      <c r="D33" s="484">
        <v>101736</v>
      </c>
      <c r="E33" s="484">
        <v>9</v>
      </c>
      <c r="F33" s="217">
        <f t="shared" si="7"/>
        <v>81349</v>
      </c>
      <c r="G33" s="216">
        <f t="shared" si="8"/>
        <v>82992</v>
      </c>
      <c r="H33" s="368">
        <v>72149</v>
      </c>
      <c r="I33" s="390">
        <v>73551</v>
      </c>
      <c r="J33" s="368">
        <v>232</v>
      </c>
      <c r="K33" s="390">
        <v>262</v>
      </c>
      <c r="L33" s="367">
        <v>7685</v>
      </c>
      <c r="M33" s="367">
        <v>263</v>
      </c>
      <c r="N33" s="367">
        <v>1020</v>
      </c>
      <c r="O33" s="390">
        <v>8838</v>
      </c>
      <c r="P33" s="390">
        <v>341</v>
      </c>
      <c r="Q33" s="391">
        <v>0</v>
      </c>
      <c r="R33" s="368"/>
      <c r="S33" s="390"/>
      <c r="T33" s="218">
        <f t="shared" si="9"/>
        <v>0</v>
      </c>
      <c r="U33" s="219">
        <f t="shared" si="10"/>
        <v>0</v>
      </c>
      <c r="V33" s="368"/>
      <c r="W33" s="390"/>
      <c r="X33" s="368"/>
      <c r="Y33" s="390"/>
      <c r="Z33" s="367"/>
      <c r="AA33" s="367"/>
      <c r="AB33" s="367"/>
      <c r="AC33" s="390"/>
      <c r="AD33" s="390"/>
      <c r="AE33" s="391"/>
      <c r="AF33" s="368"/>
      <c r="AG33" s="390"/>
      <c r="AH33" s="389"/>
    </row>
    <row r="34" spans="1:34" ht="15" customHeight="1">
      <c r="A34" s="508" t="s">
        <v>38</v>
      </c>
      <c r="B34" s="509" t="s">
        <v>517</v>
      </c>
      <c r="C34" s="513"/>
      <c r="D34" s="484">
        <v>102067</v>
      </c>
      <c r="E34" s="484">
        <v>9</v>
      </c>
      <c r="F34" s="217">
        <f t="shared" si="7"/>
        <v>121600</v>
      </c>
      <c r="G34" s="216">
        <f t="shared" si="8"/>
        <v>117937</v>
      </c>
      <c r="H34" s="368">
        <v>116656</v>
      </c>
      <c r="I34" s="390">
        <v>110094</v>
      </c>
      <c r="J34" s="368"/>
      <c r="K34" s="390">
        <v>0</v>
      </c>
      <c r="L34" s="367">
        <v>4944</v>
      </c>
      <c r="M34" s="367"/>
      <c r="N34" s="367"/>
      <c r="O34" s="390">
        <v>7843</v>
      </c>
      <c r="P34" s="390">
        <v>0</v>
      </c>
      <c r="Q34" s="391">
        <v>0</v>
      </c>
      <c r="R34" s="368"/>
      <c r="S34" s="390"/>
      <c r="T34" s="218">
        <f t="shared" si="9"/>
        <v>0</v>
      </c>
      <c r="U34" s="219">
        <f t="shared" si="10"/>
        <v>0</v>
      </c>
      <c r="V34" s="368"/>
      <c r="W34" s="390"/>
      <c r="X34" s="368"/>
      <c r="Y34" s="390"/>
      <c r="Z34" s="367"/>
      <c r="AA34" s="367"/>
      <c r="AB34" s="367"/>
      <c r="AC34" s="390"/>
      <c r="AD34" s="390"/>
      <c r="AE34" s="391"/>
      <c r="AF34" s="368"/>
      <c r="AG34" s="390"/>
      <c r="AH34" s="389"/>
    </row>
    <row r="35" spans="1:34" ht="15" customHeight="1">
      <c r="A35" s="508" t="s">
        <v>38</v>
      </c>
      <c r="B35" s="509" t="s">
        <v>518</v>
      </c>
      <c r="C35" s="520"/>
      <c r="D35" s="484">
        <v>251260</v>
      </c>
      <c r="E35" s="484">
        <v>9</v>
      </c>
      <c r="F35" s="217">
        <f t="shared" si="7"/>
        <v>121299</v>
      </c>
      <c r="G35" s="216">
        <f t="shared" si="8"/>
        <v>117831</v>
      </c>
      <c r="H35" s="368">
        <v>15143</v>
      </c>
      <c r="I35" s="390">
        <v>14957</v>
      </c>
      <c r="J35" s="368">
        <v>87186</v>
      </c>
      <c r="K35" s="390">
        <v>86906</v>
      </c>
      <c r="L35" s="367">
        <v>18781</v>
      </c>
      <c r="M35" s="367">
        <v>189</v>
      </c>
      <c r="N35" s="367"/>
      <c r="O35" s="390">
        <v>15956</v>
      </c>
      <c r="P35" s="390">
        <v>12</v>
      </c>
      <c r="Q35" s="391">
        <v>0</v>
      </c>
      <c r="R35" s="368"/>
      <c r="S35" s="390"/>
      <c r="T35" s="218">
        <f t="shared" si="9"/>
        <v>0</v>
      </c>
      <c r="U35" s="219">
        <f t="shared" si="10"/>
        <v>0</v>
      </c>
      <c r="V35" s="368"/>
      <c r="W35" s="390"/>
      <c r="X35" s="368"/>
      <c r="Y35" s="390"/>
      <c r="Z35" s="367"/>
      <c r="AA35" s="367"/>
      <c r="AB35" s="367"/>
      <c r="AC35" s="390"/>
      <c r="AD35" s="390"/>
      <c r="AE35" s="391"/>
      <c r="AF35" s="368"/>
      <c r="AG35" s="390"/>
      <c r="AH35" s="389"/>
    </row>
    <row r="36" spans="1:34" ht="15" customHeight="1">
      <c r="A36" s="508" t="s">
        <v>38</v>
      </c>
      <c r="B36" s="509" t="s">
        <v>519</v>
      </c>
      <c r="C36" s="513"/>
      <c r="D36" s="484">
        <v>101949</v>
      </c>
      <c r="E36" s="484">
        <v>10</v>
      </c>
      <c r="F36" s="217">
        <f t="shared" si="7"/>
        <v>34458</v>
      </c>
      <c r="G36" s="216">
        <f t="shared" si="8"/>
        <v>34538</v>
      </c>
      <c r="H36" s="370">
        <v>12574</v>
      </c>
      <c r="I36" s="445">
        <v>11946</v>
      </c>
      <c r="J36" s="370">
        <v>18623</v>
      </c>
      <c r="K36" s="445">
        <v>18712</v>
      </c>
      <c r="L36" s="367">
        <v>3261</v>
      </c>
      <c r="M36" s="369"/>
      <c r="N36" s="369"/>
      <c r="O36" s="445">
        <v>3880</v>
      </c>
      <c r="P36" s="445">
        <v>0</v>
      </c>
      <c r="Q36" s="446">
        <v>0</v>
      </c>
      <c r="R36" s="370"/>
      <c r="S36" s="445"/>
      <c r="T36" s="218">
        <f t="shared" si="9"/>
        <v>0</v>
      </c>
      <c r="U36" s="219">
        <f t="shared" si="10"/>
        <v>0</v>
      </c>
      <c r="V36" s="370"/>
      <c r="W36" s="445"/>
      <c r="X36" s="370"/>
      <c r="Y36" s="445"/>
      <c r="Z36" s="367"/>
      <c r="AA36" s="369"/>
      <c r="AB36" s="369"/>
      <c r="AC36" s="445"/>
      <c r="AD36" s="445"/>
      <c r="AE36" s="446"/>
      <c r="AF36" s="370"/>
      <c r="AG36" s="445"/>
      <c r="AH36" s="389"/>
    </row>
    <row r="37" spans="1:34" ht="15" customHeight="1">
      <c r="A37" s="508" t="s">
        <v>38</v>
      </c>
      <c r="B37" s="509" t="s">
        <v>520</v>
      </c>
      <c r="C37" s="513"/>
      <c r="D37" s="484">
        <v>101028</v>
      </c>
      <c r="E37" s="484">
        <v>10</v>
      </c>
      <c r="F37" s="217">
        <f t="shared" si="7"/>
        <v>44206</v>
      </c>
      <c r="G37" s="216">
        <f t="shared" si="8"/>
        <v>44710</v>
      </c>
      <c r="H37" s="368">
        <v>41510</v>
      </c>
      <c r="I37" s="390">
        <v>42112</v>
      </c>
      <c r="J37" s="368">
        <v>83</v>
      </c>
      <c r="K37" s="390">
        <v>264</v>
      </c>
      <c r="L37" s="367">
        <v>2613</v>
      </c>
      <c r="M37" s="367"/>
      <c r="N37" s="367"/>
      <c r="O37" s="390">
        <v>2334</v>
      </c>
      <c r="P37" s="390">
        <v>0</v>
      </c>
      <c r="Q37" s="391">
        <v>0</v>
      </c>
      <c r="R37" s="368"/>
      <c r="S37" s="390"/>
      <c r="T37" s="218">
        <f t="shared" si="9"/>
        <v>0</v>
      </c>
      <c r="U37" s="219">
        <f t="shared" si="10"/>
        <v>0</v>
      </c>
      <c r="V37" s="368"/>
      <c r="W37" s="390"/>
      <c r="X37" s="368"/>
      <c r="Y37" s="390"/>
      <c r="Z37" s="367"/>
      <c r="AA37" s="367"/>
      <c r="AB37" s="367"/>
      <c r="AC37" s="390"/>
      <c r="AD37" s="390"/>
      <c r="AE37" s="391"/>
      <c r="AF37" s="368"/>
      <c r="AG37" s="390"/>
      <c r="AH37" s="389"/>
    </row>
    <row r="38" spans="1:34" ht="15" customHeight="1">
      <c r="A38" s="508" t="s">
        <v>38</v>
      </c>
      <c r="B38" s="509" t="s">
        <v>521</v>
      </c>
      <c r="C38" s="513"/>
      <c r="D38" s="484">
        <v>101301</v>
      </c>
      <c r="E38" s="484">
        <v>10</v>
      </c>
      <c r="F38" s="217">
        <f t="shared" si="7"/>
        <v>46302</v>
      </c>
      <c r="G38" s="216">
        <f t="shared" si="8"/>
        <v>42675</v>
      </c>
      <c r="H38" s="368">
        <v>29862</v>
      </c>
      <c r="I38" s="390">
        <v>28005</v>
      </c>
      <c r="J38" s="368"/>
      <c r="K38" s="390">
        <v>0</v>
      </c>
      <c r="L38" s="367">
        <v>16440</v>
      </c>
      <c r="M38" s="367"/>
      <c r="N38" s="367"/>
      <c r="O38" s="390">
        <v>14670</v>
      </c>
      <c r="P38" s="390">
        <v>0</v>
      </c>
      <c r="Q38" s="391">
        <v>0</v>
      </c>
      <c r="R38" s="368"/>
      <c r="S38" s="390"/>
      <c r="T38" s="218">
        <f t="shared" si="9"/>
        <v>0</v>
      </c>
      <c r="U38" s="219">
        <f t="shared" si="10"/>
        <v>0</v>
      </c>
      <c r="V38" s="368"/>
      <c r="W38" s="390"/>
      <c r="X38" s="368"/>
      <c r="Y38" s="390"/>
      <c r="Z38" s="367"/>
      <c r="AA38" s="367"/>
      <c r="AB38" s="367"/>
      <c r="AC38" s="390"/>
      <c r="AD38" s="390"/>
      <c r="AE38" s="391"/>
      <c r="AF38" s="368"/>
      <c r="AG38" s="390"/>
      <c r="AH38" s="389"/>
    </row>
    <row r="39" spans="1:34" ht="15" customHeight="1">
      <c r="A39" s="508" t="s">
        <v>38</v>
      </c>
      <c r="B39" s="509" t="s">
        <v>522</v>
      </c>
      <c r="C39" s="513"/>
      <c r="D39" s="484">
        <v>101499</v>
      </c>
      <c r="E39" s="484">
        <v>10</v>
      </c>
      <c r="F39" s="217">
        <f t="shared" si="7"/>
        <v>28260</v>
      </c>
      <c r="G39" s="216">
        <f t="shared" si="8"/>
        <v>28046</v>
      </c>
      <c r="H39" s="368">
        <v>12266</v>
      </c>
      <c r="I39" s="390">
        <v>13076</v>
      </c>
      <c r="J39" s="368">
        <v>11732</v>
      </c>
      <c r="K39" s="390">
        <v>11167</v>
      </c>
      <c r="L39" s="367">
        <v>4145</v>
      </c>
      <c r="M39" s="367"/>
      <c r="N39" s="367">
        <v>117</v>
      </c>
      <c r="O39" s="390">
        <v>3803</v>
      </c>
      <c r="P39" s="390">
        <v>0</v>
      </c>
      <c r="Q39" s="391">
        <v>0</v>
      </c>
      <c r="R39" s="368"/>
      <c r="S39" s="390"/>
      <c r="T39" s="218">
        <f t="shared" si="9"/>
        <v>0</v>
      </c>
      <c r="U39" s="219">
        <f t="shared" si="10"/>
        <v>0</v>
      </c>
      <c r="V39" s="368"/>
      <c r="W39" s="390"/>
      <c r="X39" s="368"/>
      <c r="Y39" s="390"/>
      <c r="Z39" s="367"/>
      <c r="AA39" s="367"/>
      <c r="AB39" s="367"/>
      <c r="AC39" s="390"/>
      <c r="AD39" s="390"/>
      <c r="AE39" s="391"/>
      <c r="AF39" s="368"/>
      <c r="AG39" s="390"/>
      <c r="AH39" s="389"/>
    </row>
    <row r="40" spans="1:34" ht="15" customHeight="1">
      <c r="A40" s="508" t="s">
        <v>38</v>
      </c>
      <c r="B40" s="509" t="s">
        <v>523</v>
      </c>
      <c r="C40" s="513"/>
      <c r="D40" s="484">
        <v>101602</v>
      </c>
      <c r="E40" s="484">
        <v>10</v>
      </c>
      <c r="F40" s="217">
        <f t="shared" si="7"/>
        <v>39424</v>
      </c>
      <c r="G40" s="216">
        <f t="shared" si="8"/>
        <v>39670</v>
      </c>
      <c r="H40" s="368">
        <v>30727</v>
      </c>
      <c r="I40" s="390">
        <v>30198</v>
      </c>
      <c r="J40" s="368">
        <v>1130</v>
      </c>
      <c r="K40" s="390">
        <v>846</v>
      </c>
      <c r="L40" s="367">
        <v>7495</v>
      </c>
      <c r="M40" s="367"/>
      <c r="N40" s="367">
        <v>72</v>
      </c>
      <c r="O40" s="390">
        <v>8626</v>
      </c>
      <c r="P40" s="390">
        <v>0</v>
      </c>
      <c r="Q40" s="391">
        <v>0</v>
      </c>
      <c r="R40" s="368"/>
      <c r="S40" s="390"/>
      <c r="T40" s="218">
        <f t="shared" si="9"/>
        <v>0</v>
      </c>
      <c r="U40" s="219">
        <f t="shared" si="10"/>
        <v>0</v>
      </c>
      <c r="V40" s="368"/>
      <c r="W40" s="390"/>
      <c r="X40" s="368"/>
      <c r="Y40" s="390"/>
      <c r="Z40" s="367"/>
      <c r="AA40" s="367"/>
      <c r="AB40" s="367"/>
      <c r="AC40" s="390"/>
      <c r="AD40" s="390"/>
      <c r="AE40" s="391"/>
      <c r="AF40" s="368"/>
      <c r="AG40" s="390"/>
      <c r="AH40" s="389"/>
    </row>
    <row r="41" spans="1:34" ht="15" customHeight="1">
      <c r="A41" s="508" t="s">
        <v>38</v>
      </c>
      <c r="B41" s="509" t="s">
        <v>524</v>
      </c>
      <c r="C41" s="513"/>
      <c r="D41" s="484">
        <v>102076</v>
      </c>
      <c r="E41" s="484">
        <v>10</v>
      </c>
      <c r="F41" s="217">
        <f t="shared" si="7"/>
        <v>60193</v>
      </c>
      <c r="G41" s="216">
        <f t="shared" si="8"/>
        <v>59832</v>
      </c>
      <c r="H41" s="368">
        <v>35044</v>
      </c>
      <c r="I41" s="390">
        <v>33186</v>
      </c>
      <c r="J41" s="368"/>
      <c r="K41" s="390">
        <v>0</v>
      </c>
      <c r="L41" s="367">
        <v>25149</v>
      </c>
      <c r="M41" s="367"/>
      <c r="N41" s="367"/>
      <c r="O41" s="390">
        <v>26646</v>
      </c>
      <c r="P41" s="390">
        <v>0</v>
      </c>
      <c r="Q41" s="391">
        <v>0</v>
      </c>
      <c r="R41" s="368"/>
      <c r="S41" s="390"/>
      <c r="T41" s="218">
        <f t="shared" si="9"/>
        <v>0</v>
      </c>
      <c r="U41" s="219">
        <f t="shared" si="10"/>
        <v>0</v>
      </c>
      <c r="V41" s="368"/>
      <c r="W41" s="390"/>
      <c r="X41" s="368"/>
      <c r="Y41" s="390"/>
      <c r="Z41" s="367"/>
      <c r="AA41" s="367"/>
      <c r="AB41" s="367"/>
      <c r="AC41" s="390"/>
      <c r="AD41" s="390"/>
      <c r="AE41" s="391"/>
      <c r="AF41" s="368"/>
      <c r="AG41" s="390"/>
      <c r="AH41" s="389"/>
    </row>
    <row r="42" spans="1:34" ht="15" customHeight="1">
      <c r="A42" s="508" t="s">
        <v>38</v>
      </c>
      <c r="B42" s="509" t="s">
        <v>525</v>
      </c>
      <c r="C42" s="520"/>
      <c r="D42" s="484">
        <v>102313</v>
      </c>
      <c r="E42" s="484">
        <v>12</v>
      </c>
      <c r="F42" s="217">
        <f t="shared" si="7"/>
        <v>36995</v>
      </c>
      <c r="G42" s="216">
        <f t="shared" si="8"/>
        <v>34794</v>
      </c>
      <c r="H42" s="368">
        <v>14855</v>
      </c>
      <c r="I42" s="390">
        <v>29878</v>
      </c>
      <c r="J42" s="368">
        <v>19442</v>
      </c>
      <c r="K42" s="390">
        <v>2522</v>
      </c>
      <c r="L42" s="367">
        <v>2698</v>
      </c>
      <c r="M42" s="367"/>
      <c r="N42" s="367"/>
      <c r="O42" s="390">
        <v>2394</v>
      </c>
      <c r="P42" s="390">
        <v>0</v>
      </c>
      <c r="Q42" s="391">
        <v>0</v>
      </c>
      <c r="R42" s="368"/>
      <c r="S42" s="390"/>
      <c r="T42" s="218">
        <f t="shared" si="9"/>
        <v>0</v>
      </c>
      <c r="U42" s="219">
        <f t="shared" si="10"/>
        <v>0</v>
      </c>
      <c r="V42" s="368"/>
      <c r="W42" s="390"/>
      <c r="X42" s="368"/>
      <c r="Y42" s="390"/>
      <c r="Z42" s="367"/>
      <c r="AA42" s="367"/>
      <c r="AB42" s="367"/>
      <c r="AC42" s="390"/>
      <c r="AD42" s="390"/>
      <c r="AE42" s="391"/>
      <c r="AF42" s="368"/>
      <c r="AG42" s="390"/>
      <c r="AH42" s="389"/>
    </row>
    <row r="43" spans="1:34" ht="15" customHeight="1">
      <c r="A43" s="508" t="s">
        <v>38</v>
      </c>
      <c r="B43" s="509" t="s">
        <v>526</v>
      </c>
      <c r="C43" s="513"/>
      <c r="D43" s="484">
        <v>101462</v>
      </c>
      <c r="E43" s="484">
        <v>13</v>
      </c>
      <c r="F43" s="217">
        <f t="shared" si="7"/>
        <v>28855</v>
      </c>
      <c r="G43" s="216">
        <f t="shared" si="8"/>
        <v>26608</v>
      </c>
      <c r="H43" s="368">
        <v>23265</v>
      </c>
      <c r="I43" s="390">
        <v>22997</v>
      </c>
      <c r="J43" s="368">
        <v>1154</v>
      </c>
      <c r="K43" s="390">
        <v>501</v>
      </c>
      <c r="L43" s="367">
        <v>4436</v>
      </c>
      <c r="M43" s="367"/>
      <c r="N43" s="367"/>
      <c r="O43" s="390">
        <v>3110</v>
      </c>
      <c r="P43" s="390">
        <v>0</v>
      </c>
      <c r="Q43" s="391">
        <v>0</v>
      </c>
      <c r="R43" s="368"/>
      <c r="S43" s="390"/>
      <c r="T43" s="218">
        <f t="shared" si="9"/>
        <v>0</v>
      </c>
      <c r="U43" s="219">
        <f t="shared" si="10"/>
        <v>0</v>
      </c>
      <c r="V43" s="368"/>
      <c r="W43" s="390"/>
      <c r="X43" s="368"/>
      <c r="Y43" s="390"/>
      <c r="Z43" s="367"/>
      <c r="AA43" s="367"/>
      <c r="AB43" s="367"/>
      <c r="AC43" s="390"/>
      <c r="AD43" s="390"/>
      <c r="AE43" s="391"/>
      <c r="AF43" s="368"/>
      <c r="AG43" s="390"/>
      <c r="AH43" s="389"/>
    </row>
    <row r="44" spans="1:34" ht="15" customHeight="1">
      <c r="A44" s="508" t="s">
        <v>38</v>
      </c>
      <c r="B44" s="509" t="s">
        <v>527</v>
      </c>
      <c r="C44" s="520"/>
      <c r="D44" s="484">
        <v>101471</v>
      </c>
      <c r="E44" s="484">
        <v>13</v>
      </c>
      <c r="F44" s="217">
        <f t="shared" si="7"/>
        <v>18230</v>
      </c>
      <c r="G44" s="216">
        <f t="shared" si="8"/>
        <v>17638</v>
      </c>
      <c r="H44" s="368">
        <v>18230</v>
      </c>
      <c r="I44" s="390">
        <v>17638</v>
      </c>
      <c r="J44" s="368"/>
      <c r="K44" s="390">
        <v>0</v>
      </c>
      <c r="L44" s="367"/>
      <c r="M44" s="367"/>
      <c r="N44" s="367"/>
      <c r="O44" s="390">
        <v>0</v>
      </c>
      <c r="P44" s="390">
        <v>0</v>
      </c>
      <c r="Q44" s="391">
        <v>0</v>
      </c>
      <c r="R44" s="368"/>
      <c r="S44" s="390"/>
      <c r="T44" s="218">
        <f t="shared" si="9"/>
        <v>0</v>
      </c>
      <c r="U44" s="219">
        <f t="shared" si="10"/>
        <v>0</v>
      </c>
      <c r="V44" s="368"/>
      <c r="W44" s="390"/>
      <c r="X44" s="368"/>
      <c r="Y44" s="390"/>
      <c r="Z44" s="367"/>
      <c r="AA44" s="367"/>
      <c r="AB44" s="367"/>
      <c r="AC44" s="390"/>
      <c r="AD44" s="390"/>
      <c r="AE44" s="391"/>
      <c r="AF44" s="368"/>
      <c r="AG44" s="390"/>
      <c r="AH44" s="389"/>
    </row>
    <row r="45" spans="1:34" ht="15" customHeight="1">
      <c r="A45" s="508" t="s">
        <v>38</v>
      </c>
      <c r="B45" s="509" t="s">
        <v>528</v>
      </c>
      <c r="C45" s="520"/>
      <c r="D45" s="484">
        <v>101994</v>
      </c>
      <c r="E45" s="484">
        <v>13</v>
      </c>
      <c r="F45" s="217">
        <f t="shared" si="7"/>
        <v>12581</v>
      </c>
      <c r="G45" s="216">
        <f t="shared" si="8"/>
        <v>13000</v>
      </c>
      <c r="H45" s="368">
        <v>11067</v>
      </c>
      <c r="I45" s="390">
        <v>10290</v>
      </c>
      <c r="J45" s="368">
        <v>1439</v>
      </c>
      <c r="K45" s="390">
        <v>2432</v>
      </c>
      <c r="L45" s="367">
        <v>75</v>
      </c>
      <c r="M45" s="367"/>
      <c r="N45" s="367"/>
      <c r="O45" s="390">
        <v>278</v>
      </c>
      <c r="P45" s="390">
        <v>0</v>
      </c>
      <c r="Q45" s="391">
        <v>0</v>
      </c>
      <c r="R45" s="368"/>
      <c r="S45" s="390"/>
      <c r="T45" s="218">
        <f t="shared" si="9"/>
        <v>0</v>
      </c>
      <c r="U45" s="219">
        <f t="shared" si="10"/>
        <v>0</v>
      </c>
      <c r="V45" s="368"/>
      <c r="W45" s="390"/>
      <c r="X45" s="368"/>
      <c r="Y45" s="390"/>
      <c r="Z45" s="367"/>
      <c r="AA45" s="367"/>
      <c r="AB45" s="367"/>
      <c r="AC45" s="390"/>
      <c r="AD45" s="390"/>
      <c r="AE45" s="391"/>
      <c r="AF45" s="368"/>
      <c r="AG45" s="390"/>
      <c r="AH45" s="389"/>
    </row>
    <row r="46" spans="1:34" ht="15" customHeight="1">
      <c r="A46" s="508" t="s">
        <v>38</v>
      </c>
      <c r="B46" s="509" t="s">
        <v>529</v>
      </c>
      <c r="C46" s="513"/>
      <c r="D46" s="498">
        <v>101648</v>
      </c>
      <c r="E46" s="498">
        <v>15</v>
      </c>
      <c r="F46" s="217">
        <f t="shared" si="7"/>
        <v>12980</v>
      </c>
      <c r="G46" s="216">
        <f t="shared" si="8"/>
        <v>13624</v>
      </c>
      <c r="H46" s="368">
        <v>12980</v>
      </c>
      <c r="I46" s="390">
        <v>13624</v>
      </c>
      <c r="J46" s="368"/>
      <c r="K46" s="390">
        <v>0</v>
      </c>
      <c r="L46" s="367"/>
      <c r="M46" s="367"/>
      <c r="N46" s="367"/>
      <c r="O46" s="523">
        <v>0</v>
      </c>
      <c r="P46" s="390">
        <v>0</v>
      </c>
      <c r="Q46" s="391">
        <v>0</v>
      </c>
      <c r="R46" s="368"/>
      <c r="S46" s="390"/>
      <c r="T46" s="218">
        <f t="shared" si="9"/>
        <v>0</v>
      </c>
      <c r="U46" s="219">
        <f t="shared" si="10"/>
        <v>0</v>
      </c>
      <c r="V46" s="368"/>
      <c r="W46" s="390"/>
      <c r="X46" s="368"/>
      <c r="Y46" s="390"/>
      <c r="Z46" s="367"/>
      <c r="AA46" s="367"/>
      <c r="AB46" s="367"/>
      <c r="AC46" s="523"/>
      <c r="AD46" s="390"/>
      <c r="AE46" s="391"/>
      <c r="AF46" s="368"/>
      <c r="AG46" s="390"/>
      <c r="AH46" s="389"/>
    </row>
    <row r="47" spans="1:34" ht="15" customHeight="1">
      <c r="A47" s="393" t="s">
        <v>40</v>
      </c>
      <c r="B47" s="394" t="s">
        <v>288</v>
      </c>
      <c r="C47" s="395"/>
      <c r="D47" s="396">
        <v>106397</v>
      </c>
      <c r="E47" s="396">
        <v>1</v>
      </c>
      <c r="F47" s="217">
        <f t="shared" si="7"/>
        <v>600640</v>
      </c>
      <c r="G47" s="216">
        <f t="shared" si="8"/>
        <v>621377</v>
      </c>
      <c r="H47" s="368">
        <v>548055</v>
      </c>
      <c r="I47" s="390">
        <v>551799</v>
      </c>
      <c r="J47" s="368">
        <v>8905</v>
      </c>
      <c r="K47" s="390">
        <v>9599</v>
      </c>
      <c r="L47" s="367">
        <v>36786</v>
      </c>
      <c r="M47" s="367">
        <v>875</v>
      </c>
      <c r="N47" s="367">
        <v>27</v>
      </c>
      <c r="O47" s="390">
        <v>55649</v>
      </c>
      <c r="P47" s="390">
        <v>730</v>
      </c>
      <c r="Q47" s="391">
        <v>0</v>
      </c>
      <c r="R47" s="368">
        <v>5992</v>
      </c>
      <c r="S47" s="390">
        <v>3600</v>
      </c>
      <c r="T47" s="218">
        <f t="shared" si="9"/>
        <v>77596</v>
      </c>
      <c r="U47" s="219">
        <f t="shared" si="10"/>
        <v>79534</v>
      </c>
      <c r="V47" s="368">
        <v>58384</v>
      </c>
      <c r="W47" s="390">
        <v>57901</v>
      </c>
      <c r="X47" s="368">
        <v>3207</v>
      </c>
      <c r="Y47" s="390">
        <v>3145</v>
      </c>
      <c r="Z47" s="367">
        <v>15306</v>
      </c>
      <c r="AA47" s="367">
        <v>0</v>
      </c>
      <c r="AB47" s="367">
        <v>699</v>
      </c>
      <c r="AC47" s="390">
        <v>18473</v>
      </c>
      <c r="AD47" s="390">
        <v>3</v>
      </c>
      <c r="AE47" s="391">
        <v>12</v>
      </c>
      <c r="AF47" s="368">
        <v>0</v>
      </c>
      <c r="AG47" s="391">
        <v>0</v>
      </c>
    </row>
    <row r="48" spans="1:34" ht="15" customHeight="1">
      <c r="A48" s="393" t="s">
        <v>40</v>
      </c>
      <c r="B48" s="394" t="s">
        <v>289</v>
      </c>
      <c r="C48" s="395"/>
      <c r="D48" s="396">
        <v>106458</v>
      </c>
      <c r="E48" s="396">
        <v>3</v>
      </c>
      <c r="F48" s="217">
        <f t="shared" si="7"/>
        <v>275783</v>
      </c>
      <c r="G48" s="216">
        <f t="shared" si="8"/>
        <v>271755</v>
      </c>
      <c r="H48" s="368">
        <v>179922</v>
      </c>
      <c r="I48" s="390">
        <v>176688</v>
      </c>
      <c r="J48" s="368">
        <v>19998</v>
      </c>
      <c r="K48" s="390">
        <v>17865</v>
      </c>
      <c r="L48" s="367">
        <v>72853</v>
      </c>
      <c r="M48" s="367">
        <v>2938</v>
      </c>
      <c r="N48" s="367">
        <v>72</v>
      </c>
      <c r="O48" s="390">
        <v>74648</v>
      </c>
      <c r="P48" s="390">
        <v>2554</v>
      </c>
      <c r="Q48" s="391">
        <v>0</v>
      </c>
      <c r="R48" s="368">
        <v>0</v>
      </c>
      <c r="S48" s="390">
        <v>0</v>
      </c>
      <c r="T48" s="218">
        <f t="shared" si="9"/>
        <v>72591</v>
      </c>
      <c r="U48" s="219">
        <f t="shared" si="10"/>
        <v>72457</v>
      </c>
      <c r="V48" s="368">
        <v>23533</v>
      </c>
      <c r="W48" s="390">
        <v>21869</v>
      </c>
      <c r="X48" s="368">
        <v>33</v>
      </c>
      <c r="Y48" s="390">
        <v>54</v>
      </c>
      <c r="Z48" s="367">
        <v>48938</v>
      </c>
      <c r="AA48" s="367">
        <v>18</v>
      </c>
      <c r="AB48" s="367">
        <v>69</v>
      </c>
      <c r="AC48" s="390">
        <v>50459</v>
      </c>
      <c r="AD48" s="390">
        <v>0</v>
      </c>
      <c r="AE48" s="391">
        <v>75</v>
      </c>
      <c r="AF48" s="368">
        <v>0</v>
      </c>
      <c r="AG48" s="391">
        <v>0</v>
      </c>
    </row>
    <row r="49" spans="1:33" ht="15" customHeight="1">
      <c r="A49" s="393" t="s">
        <v>40</v>
      </c>
      <c r="B49" s="394" t="s">
        <v>290</v>
      </c>
      <c r="C49" s="398"/>
      <c r="D49" s="396">
        <v>106467</v>
      </c>
      <c r="E49" s="396">
        <v>3</v>
      </c>
      <c r="F49" s="217">
        <f t="shared" si="7"/>
        <v>222615</v>
      </c>
      <c r="G49" s="216">
        <f t="shared" si="8"/>
        <v>229610</v>
      </c>
      <c r="H49" s="368">
        <v>161070</v>
      </c>
      <c r="I49" s="390">
        <v>161040</v>
      </c>
      <c r="J49" s="368">
        <v>10754</v>
      </c>
      <c r="K49" s="390">
        <v>13384</v>
      </c>
      <c r="L49" s="367">
        <v>49999</v>
      </c>
      <c r="M49" s="367">
        <v>0</v>
      </c>
      <c r="N49" s="367">
        <v>792</v>
      </c>
      <c r="O49" s="390">
        <v>53736</v>
      </c>
      <c r="P49" s="390">
        <v>0</v>
      </c>
      <c r="Q49" s="391">
        <v>1450</v>
      </c>
      <c r="R49" s="368">
        <v>0</v>
      </c>
      <c r="S49" s="390">
        <v>0</v>
      </c>
      <c r="T49" s="218">
        <f t="shared" si="9"/>
        <v>15492</v>
      </c>
      <c r="U49" s="219">
        <f t="shared" si="10"/>
        <v>15322</v>
      </c>
      <c r="V49" s="368">
        <v>5872</v>
      </c>
      <c r="W49" s="390">
        <v>6701</v>
      </c>
      <c r="X49" s="368">
        <v>1120</v>
      </c>
      <c r="Y49" s="390">
        <v>371</v>
      </c>
      <c r="Z49" s="367">
        <v>8261</v>
      </c>
      <c r="AA49" s="367">
        <v>0</v>
      </c>
      <c r="AB49" s="367">
        <v>239</v>
      </c>
      <c r="AC49" s="390">
        <v>7848</v>
      </c>
      <c r="AD49" s="390">
        <v>0</v>
      </c>
      <c r="AE49" s="391">
        <v>402</v>
      </c>
      <c r="AF49" s="368">
        <v>0</v>
      </c>
      <c r="AG49" s="391">
        <v>0</v>
      </c>
    </row>
    <row r="50" spans="1:33" ht="15" customHeight="1">
      <c r="A50" s="393" t="s">
        <v>40</v>
      </c>
      <c r="B50" s="394" t="s">
        <v>291</v>
      </c>
      <c r="C50" s="398" t="s">
        <v>321</v>
      </c>
      <c r="D50" s="396">
        <v>106245</v>
      </c>
      <c r="E50" s="408">
        <v>2</v>
      </c>
      <c r="F50" s="217">
        <f t="shared" si="7"/>
        <v>232360</v>
      </c>
      <c r="G50" s="216">
        <f t="shared" si="8"/>
        <v>215915</v>
      </c>
      <c r="H50" s="368">
        <v>144271</v>
      </c>
      <c r="I50" s="390">
        <v>132286</v>
      </c>
      <c r="J50" s="368">
        <v>21770</v>
      </c>
      <c r="K50" s="390">
        <v>17779</v>
      </c>
      <c r="L50" s="367">
        <v>66319</v>
      </c>
      <c r="M50" s="367">
        <v>0</v>
      </c>
      <c r="N50" s="367">
        <v>0</v>
      </c>
      <c r="O50" s="390">
        <v>65850</v>
      </c>
      <c r="P50" s="390">
        <v>0</v>
      </c>
      <c r="Q50" s="391">
        <v>0</v>
      </c>
      <c r="R50" s="368">
        <v>0</v>
      </c>
      <c r="S50" s="390">
        <v>0</v>
      </c>
      <c r="T50" s="218">
        <f t="shared" si="9"/>
        <v>44745</v>
      </c>
      <c r="U50" s="219">
        <f t="shared" si="10"/>
        <v>42737</v>
      </c>
      <c r="V50" s="368">
        <v>21764</v>
      </c>
      <c r="W50" s="390">
        <v>21160</v>
      </c>
      <c r="X50" s="368">
        <v>12458</v>
      </c>
      <c r="Y50" s="390">
        <v>12108</v>
      </c>
      <c r="Z50" s="367">
        <v>10523</v>
      </c>
      <c r="AA50" s="367">
        <v>0</v>
      </c>
      <c r="AB50" s="367">
        <v>0</v>
      </c>
      <c r="AC50" s="390">
        <v>9469</v>
      </c>
      <c r="AD50" s="390">
        <v>0</v>
      </c>
      <c r="AE50" s="391">
        <v>0</v>
      </c>
      <c r="AF50" s="368">
        <v>0</v>
      </c>
      <c r="AG50" s="391">
        <v>0</v>
      </c>
    </row>
    <row r="51" spans="1:33" ht="15" customHeight="1">
      <c r="A51" s="393" t="s">
        <v>40</v>
      </c>
      <c r="B51" s="394" t="s">
        <v>292</v>
      </c>
      <c r="C51" s="395"/>
      <c r="D51" s="396">
        <v>106704</v>
      </c>
      <c r="E51" s="396">
        <v>3</v>
      </c>
      <c r="F51" s="217">
        <f t="shared" si="7"/>
        <v>268340</v>
      </c>
      <c r="G51" s="216">
        <f t="shared" si="8"/>
        <v>268070</v>
      </c>
      <c r="H51" s="368">
        <v>254471</v>
      </c>
      <c r="I51" s="390">
        <v>251994</v>
      </c>
      <c r="J51" s="368">
        <v>2339</v>
      </c>
      <c r="K51" s="390">
        <v>2340</v>
      </c>
      <c r="L51" s="367">
        <v>11032</v>
      </c>
      <c r="M51" s="367">
        <v>120</v>
      </c>
      <c r="N51" s="367">
        <v>0</v>
      </c>
      <c r="O51" s="390">
        <v>13469</v>
      </c>
      <c r="P51" s="390">
        <v>102</v>
      </c>
      <c r="Q51" s="391">
        <v>0</v>
      </c>
      <c r="R51" s="368">
        <v>378</v>
      </c>
      <c r="S51" s="390">
        <v>165</v>
      </c>
      <c r="T51" s="218">
        <f t="shared" si="9"/>
        <v>34299</v>
      </c>
      <c r="U51" s="219">
        <f t="shared" si="10"/>
        <v>37624</v>
      </c>
      <c r="V51" s="368">
        <v>21641</v>
      </c>
      <c r="W51" s="390">
        <v>21098</v>
      </c>
      <c r="X51" s="368">
        <v>0</v>
      </c>
      <c r="Y51" s="390">
        <v>0</v>
      </c>
      <c r="Z51" s="367">
        <v>10849</v>
      </c>
      <c r="AA51" s="367">
        <v>1809</v>
      </c>
      <c r="AB51" s="367">
        <v>0</v>
      </c>
      <c r="AC51" s="390">
        <v>12060</v>
      </c>
      <c r="AD51" s="390">
        <v>4466</v>
      </c>
      <c r="AE51" s="391">
        <v>0</v>
      </c>
      <c r="AF51" s="368">
        <v>0</v>
      </c>
      <c r="AG51" s="391">
        <v>0</v>
      </c>
    </row>
    <row r="52" spans="1:33" ht="15" customHeight="1">
      <c r="A52" s="393" t="s">
        <v>40</v>
      </c>
      <c r="B52" s="394" t="s">
        <v>293</v>
      </c>
      <c r="C52" s="395"/>
      <c r="D52" s="396">
        <v>107071</v>
      </c>
      <c r="E52" s="396">
        <v>4</v>
      </c>
      <c r="F52" s="217">
        <f t="shared" si="7"/>
        <v>93951</v>
      </c>
      <c r="G52" s="216">
        <f t="shared" si="8"/>
        <v>92151</v>
      </c>
      <c r="H52" s="368">
        <v>80163</v>
      </c>
      <c r="I52" s="390">
        <v>78777</v>
      </c>
      <c r="J52" s="368">
        <v>789</v>
      </c>
      <c r="K52" s="390">
        <v>1168</v>
      </c>
      <c r="L52" s="367">
        <v>12999</v>
      </c>
      <c r="M52" s="367">
        <v>0</v>
      </c>
      <c r="N52" s="367">
        <v>0</v>
      </c>
      <c r="O52" s="390">
        <v>12206</v>
      </c>
      <c r="P52" s="390">
        <v>0</v>
      </c>
      <c r="Q52" s="391">
        <v>0</v>
      </c>
      <c r="R52" s="368">
        <v>0</v>
      </c>
      <c r="S52" s="390">
        <v>0</v>
      </c>
      <c r="T52" s="218">
        <f t="shared" si="9"/>
        <v>8210</v>
      </c>
      <c r="U52" s="219">
        <f t="shared" si="10"/>
        <v>8188</v>
      </c>
      <c r="V52" s="368">
        <v>4841</v>
      </c>
      <c r="W52" s="390">
        <v>3442</v>
      </c>
      <c r="X52" s="368">
        <v>1485</v>
      </c>
      <c r="Y52" s="390">
        <v>2400</v>
      </c>
      <c r="Z52" s="367">
        <v>1884</v>
      </c>
      <c r="AA52" s="367">
        <v>0</v>
      </c>
      <c r="AB52" s="367">
        <v>0</v>
      </c>
      <c r="AC52" s="390">
        <v>2346</v>
      </c>
      <c r="AD52" s="390">
        <v>0</v>
      </c>
      <c r="AE52" s="391">
        <v>0</v>
      </c>
      <c r="AF52" s="368">
        <v>0</v>
      </c>
      <c r="AG52" s="391">
        <v>0</v>
      </c>
    </row>
    <row r="53" spans="1:33" ht="15" customHeight="1">
      <c r="A53" s="393" t="s">
        <v>40</v>
      </c>
      <c r="B53" s="394" t="s">
        <v>294</v>
      </c>
      <c r="C53" s="398"/>
      <c r="D53" s="396">
        <v>107983</v>
      </c>
      <c r="E53" s="396">
        <v>4</v>
      </c>
      <c r="F53" s="217">
        <f t="shared" si="7"/>
        <v>81929</v>
      </c>
      <c r="G53" s="216">
        <f t="shared" si="8"/>
        <v>84332</v>
      </c>
      <c r="H53" s="368">
        <v>67630</v>
      </c>
      <c r="I53" s="390">
        <v>68504</v>
      </c>
      <c r="J53" s="368">
        <v>2316</v>
      </c>
      <c r="K53" s="390">
        <v>2387</v>
      </c>
      <c r="L53" s="367">
        <v>11776</v>
      </c>
      <c r="M53" s="367">
        <v>207</v>
      </c>
      <c r="N53" s="367">
        <v>0</v>
      </c>
      <c r="O53" s="390">
        <v>13372</v>
      </c>
      <c r="P53" s="390">
        <v>69</v>
      </c>
      <c r="Q53" s="391">
        <v>0</v>
      </c>
      <c r="R53" s="368">
        <v>0</v>
      </c>
      <c r="S53" s="390">
        <v>0</v>
      </c>
      <c r="T53" s="218">
        <f t="shared" si="9"/>
        <v>7587</v>
      </c>
      <c r="U53" s="219">
        <f t="shared" si="10"/>
        <v>7793</v>
      </c>
      <c r="V53" s="368">
        <v>1527</v>
      </c>
      <c r="W53" s="390">
        <v>1520</v>
      </c>
      <c r="X53" s="368">
        <v>51</v>
      </c>
      <c r="Y53" s="390">
        <v>0</v>
      </c>
      <c r="Z53" s="367">
        <v>6009</v>
      </c>
      <c r="AA53" s="367">
        <v>0</v>
      </c>
      <c r="AB53" s="367">
        <v>0</v>
      </c>
      <c r="AC53" s="390">
        <v>6273</v>
      </c>
      <c r="AD53" s="390">
        <v>0</v>
      </c>
      <c r="AE53" s="391">
        <v>0</v>
      </c>
      <c r="AF53" s="368">
        <v>0</v>
      </c>
      <c r="AG53" s="391">
        <v>0</v>
      </c>
    </row>
    <row r="54" spans="1:33" ht="15" customHeight="1">
      <c r="A54" s="393" t="s">
        <v>40</v>
      </c>
      <c r="B54" s="394" t="s">
        <v>295</v>
      </c>
      <c r="C54" s="395"/>
      <c r="D54" s="396">
        <v>106485</v>
      </c>
      <c r="E54" s="396">
        <v>5</v>
      </c>
      <c r="F54" s="217">
        <f t="shared" si="7"/>
        <v>68493</v>
      </c>
      <c r="G54" s="216">
        <f t="shared" si="8"/>
        <v>69456</v>
      </c>
      <c r="H54" s="368">
        <v>53770</v>
      </c>
      <c r="I54" s="390">
        <v>51599</v>
      </c>
      <c r="J54" s="368">
        <v>1220</v>
      </c>
      <c r="K54" s="390">
        <v>3886</v>
      </c>
      <c r="L54" s="367">
        <v>10311</v>
      </c>
      <c r="M54" s="367">
        <v>3192</v>
      </c>
      <c r="N54" s="367">
        <v>0</v>
      </c>
      <c r="O54" s="390">
        <v>12501</v>
      </c>
      <c r="P54" s="390">
        <v>1470</v>
      </c>
      <c r="Q54" s="391">
        <v>0</v>
      </c>
      <c r="R54" s="368">
        <v>0</v>
      </c>
      <c r="S54" s="390">
        <v>0</v>
      </c>
      <c r="T54" s="218">
        <f t="shared" si="9"/>
        <v>2892</v>
      </c>
      <c r="U54" s="219">
        <f t="shared" si="10"/>
        <v>3407</v>
      </c>
      <c r="V54" s="368">
        <v>1224</v>
      </c>
      <c r="W54" s="390">
        <v>582</v>
      </c>
      <c r="X54" s="368">
        <v>0</v>
      </c>
      <c r="Y54" s="390">
        <v>0</v>
      </c>
      <c r="Z54" s="367">
        <v>1668</v>
      </c>
      <c r="AA54" s="367">
        <v>0</v>
      </c>
      <c r="AB54" s="367">
        <v>0</v>
      </c>
      <c r="AC54" s="390">
        <v>2825</v>
      </c>
      <c r="AD54" s="390">
        <v>0</v>
      </c>
      <c r="AE54" s="391">
        <v>0</v>
      </c>
      <c r="AF54" s="368">
        <v>0</v>
      </c>
      <c r="AG54" s="391">
        <v>0</v>
      </c>
    </row>
    <row r="55" spans="1:33" ht="15" customHeight="1">
      <c r="A55" s="393" t="s">
        <v>40</v>
      </c>
      <c r="B55" s="394" t="s">
        <v>296</v>
      </c>
      <c r="C55" s="395"/>
      <c r="D55" s="396">
        <v>108092</v>
      </c>
      <c r="E55" s="396">
        <v>6</v>
      </c>
      <c r="F55" s="217">
        <f t="shared" si="7"/>
        <v>182249</v>
      </c>
      <c r="G55" s="216">
        <f t="shared" si="8"/>
        <v>171515</v>
      </c>
      <c r="H55" s="368">
        <v>155290</v>
      </c>
      <c r="I55" s="390">
        <v>140791</v>
      </c>
      <c r="J55" s="368">
        <v>2063</v>
      </c>
      <c r="K55" s="390">
        <v>2268</v>
      </c>
      <c r="L55" s="367">
        <v>24497</v>
      </c>
      <c r="M55" s="367">
        <v>399</v>
      </c>
      <c r="N55" s="367">
        <v>0</v>
      </c>
      <c r="O55" s="390">
        <v>28225</v>
      </c>
      <c r="P55" s="390">
        <v>231</v>
      </c>
      <c r="Q55" s="391">
        <v>0</v>
      </c>
      <c r="R55" s="368">
        <v>0</v>
      </c>
      <c r="S55" s="390">
        <v>0</v>
      </c>
      <c r="T55" s="218">
        <f t="shared" si="9"/>
        <v>0</v>
      </c>
      <c r="U55" s="219">
        <f t="shared" si="10"/>
        <v>0</v>
      </c>
      <c r="V55" s="368">
        <v>0</v>
      </c>
      <c r="W55" s="390">
        <v>0</v>
      </c>
      <c r="X55" s="368">
        <v>0</v>
      </c>
      <c r="Y55" s="390">
        <v>0</v>
      </c>
      <c r="Z55" s="367">
        <v>0</v>
      </c>
      <c r="AA55" s="367">
        <v>0</v>
      </c>
      <c r="AB55" s="367">
        <v>0</v>
      </c>
      <c r="AC55" s="390">
        <v>0</v>
      </c>
      <c r="AD55" s="390">
        <v>0</v>
      </c>
      <c r="AE55" s="391">
        <v>0</v>
      </c>
      <c r="AF55" s="368">
        <v>0</v>
      </c>
      <c r="AG55" s="391">
        <v>0</v>
      </c>
    </row>
    <row r="56" spans="1:33" ht="15" customHeight="1">
      <c r="A56" s="393" t="s">
        <v>40</v>
      </c>
      <c r="B56" s="394" t="s">
        <v>297</v>
      </c>
      <c r="C56" s="395"/>
      <c r="D56" s="396">
        <v>106412</v>
      </c>
      <c r="E56" s="396">
        <v>6</v>
      </c>
      <c r="F56" s="217">
        <f t="shared" si="7"/>
        <v>71754</v>
      </c>
      <c r="G56" s="216">
        <f t="shared" si="8"/>
        <v>69195</v>
      </c>
      <c r="H56" s="368">
        <v>61379</v>
      </c>
      <c r="I56" s="390">
        <v>58133</v>
      </c>
      <c r="J56" s="368">
        <v>194</v>
      </c>
      <c r="K56" s="390">
        <v>81</v>
      </c>
      <c r="L56" s="367">
        <v>10181</v>
      </c>
      <c r="M56" s="367">
        <v>0</v>
      </c>
      <c r="N56" s="367">
        <v>0</v>
      </c>
      <c r="O56" s="390">
        <v>10981</v>
      </c>
      <c r="P56" s="390">
        <v>0</v>
      </c>
      <c r="Q56" s="391">
        <v>0</v>
      </c>
      <c r="R56" s="368">
        <v>0</v>
      </c>
      <c r="S56" s="390">
        <v>0</v>
      </c>
      <c r="T56" s="218">
        <f t="shared" si="9"/>
        <v>1581</v>
      </c>
      <c r="U56" s="219">
        <f t="shared" si="10"/>
        <v>1504</v>
      </c>
      <c r="V56" s="368">
        <v>1095</v>
      </c>
      <c r="W56" s="390">
        <v>1150</v>
      </c>
      <c r="X56" s="368">
        <v>0</v>
      </c>
      <c r="Y56" s="390">
        <v>0</v>
      </c>
      <c r="Z56" s="367">
        <v>486</v>
      </c>
      <c r="AA56" s="367">
        <v>0</v>
      </c>
      <c r="AB56" s="367">
        <v>0</v>
      </c>
      <c r="AC56" s="390">
        <v>354</v>
      </c>
      <c r="AD56" s="390">
        <v>0</v>
      </c>
      <c r="AE56" s="391">
        <v>0</v>
      </c>
      <c r="AF56" s="368">
        <v>0</v>
      </c>
      <c r="AG56" s="391">
        <v>0</v>
      </c>
    </row>
    <row r="57" spans="1:33" ht="15" customHeight="1">
      <c r="A57" s="397" t="s">
        <v>40</v>
      </c>
      <c r="B57" s="394" t="s">
        <v>298</v>
      </c>
      <c r="C57" s="398"/>
      <c r="D57" s="399">
        <v>367459</v>
      </c>
      <c r="E57" s="396">
        <v>8</v>
      </c>
      <c r="F57" s="217">
        <f t="shared" si="7"/>
        <v>165681</v>
      </c>
      <c r="G57" s="216">
        <f t="shared" si="8"/>
        <v>157406</v>
      </c>
      <c r="H57" s="368">
        <v>105813</v>
      </c>
      <c r="I57" s="390">
        <v>99141</v>
      </c>
      <c r="J57" s="368">
        <v>20344</v>
      </c>
      <c r="K57" s="390">
        <v>20330</v>
      </c>
      <c r="L57" s="367">
        <v>39367</v>
      </c>
      <c r="M57" s="367">
        <v>157</v>
      </c>
      <c r="N57" s="367">
        <v>0</v>
      </c>
      <c r="O57" s="390">
        <v>37829</v>
      </c>
      <c r="P57" s="390">
        <v>106</v>
      </c>
      <c r="Q57" s="391">
        <v>0</v>
      </c>
      <c r="R57" s="368">
        <v>0</v>
      </c>
      <c r="S57" s="390">
        <v>0</v>
      </c>
      <c r="T57" s="218">
        <f t="shared" si="9"/>
        <v>0</v>
      </c>
      <c r="U57" s="219">
        <f t="shared" si="10"/>
        <v>0</v>
      </c>
      <c r="V57" s="368"/>
      <c r="W57" s="390"/>
      <c r="X57" s="368"/>
      <c r="Y57" s="390"/>
      <c r="Z57" s="367"/>
      <c r="AA57" s="367"/>
      <c r="AB57" s="367"/>
      <c r="AC57" s="390"/>
      <c r="AD57" s="390"/>
      <c r="AE57" s="391"/>
      <c r="AF57" s="368"/>
      <c r="AG57" s="391"/>
    </row>
    <row r="58" spans="1:33" ht="15" customHeight="1">
      <c r="A58" s="400" t="s">
        <v>40</v>
      </c>
      <c r="B58" s="401" t="s">
        <v>299</v>
      </c>
      <c r="C58" s="402"/>
      <c r="D58" s="403">
        <v>107664</v>
      </c>
      <c r="E58" s="404">
        <v>8</v>
      </c>
      <c r="F58" s="217">
        <f t="shared" si="7"/>
        <v>237583</v>
      </c>
      <c r="G58" s="216">
        <f t="shared" si="8"/>
        <v>205923</v>
      </c>
      <c r="H58" s="368">
        <v>156449</v>
      </c>
      <c r="I58" s="390">
        <v>135799</v>
      </c>
      <c r="J58" s="368">
        <v>1291</v>
      </c>
      <c r="K58" s="390">
        <v>897</v>
      </c>
      <c r="L58" s="367">
        <v>79843</v>
      </c>
      <c r="M58" s="367">
        <v>0</v>
      </c>
      <c r="N58" s="367">
        <v>0</v>
      </c>
      <c r="O58" s="390">
        <v>69227</v>
      </c>
      <c r="P58" s="390">
        <v>0</v>
      </c>
      <c r="Q58" s="391">
        <v>0</v>
      </c>
      <c r="R58" s="368">
        <v>0</v>
      </c>
      <c r="S58" s="390">
        <v>0</v>
      </c>
      <c r="T58" s="218">
        <f t="shared" si="9"/>
        <v>0</v>
      </c>
      <c r="U58" s="219">
        <f t="shared" si="10"/>
        <v>0</v>
      </c>
      <c r="V58" s="368"/>
      <c r="W58" s="390"/>
      <c r="X58" s="368"/>
      <c r="Y58" s="390"/>
      <c r="Z58" s="367"/>
      <c r="AA58" s="367"/>
      <c r="AB58" s="367"/>
      <c r="AC58" s="390"/>
      <c r="AD58" s="390"/>
      <c r="AE58" s="391"/>
      <c r="AF58" s="368"/>
      <c r="AG58" s="391"/>
    </row>
    <row r="59" spans="1:33" ht="15" customHeight="1">
      <c r="A59" s="397" t="s">
        <v>40</v>
      </c>
      <c r="B59" s="394" t="s">
        <v>300</v>
      </c>
      <c r="C59" s="405"/>
      <c r="D59" s="399">
        <v>106449</v>
      </c>
      <c r="E59" s="399">
        <v>9</v>
      </c>
      <c r="F59" s="217">
        <f t="shared" si="7"/>
        <v>98088</v>
      </c>
      <c r="G59" s="216">
        <f t="shared" si="8"/>
        <v>91414</v>
      </c>
      <c r="H59" s="368">
        <v>65629</v>
      </c>
      <c r="I59" s="390">
        <v>61933</v>
      </c>
      <c r="J59" s="368">
        <v>10472</v>
      </c>
      <c r="K59" s="390">
        <v>10053</v>
      </c>
      <c r="L59" s="367">
        <v>21987</v>
      </c>
      <c r="M59" s="367">
        <v>0</v>
      </c>
      <c r="N59" s="367">
        <v>0</v>
      </c>
      <c r="O59" s="390">
        <v>19428</v>
      </c>
      <c r="P59" s="390">
        <v>0</v>
      </c>
      <c r="Q59" s="391">
        <v>0</v>
      </c>
      <c r="R59" s="368">
        <v>0</v>
      </c>
      <c r="S59" s="390">
        <v>0</v>
      </c>
      <c r="T59" s="218">
        <f t="shared" si="9"/>
        <v>0</v>
      </c>
      <c r="U59" s="219">
        <f t="shared" si="10"/>
        <v>0</v>
      </c>
      <c r="V59" s="368"/>
      <c r="W59" s="390"/>
      <c r="X59" s="368"/>
      <c r="Y59" s="390"/>
      <c r="Z59" s="367"/>
      <c r="AA59" s="367"/>
      <c r="AB59" s="367"/>
      <c r="AC59" s="390"/>
      <c r="AD59" s="390"/>
      <c r="AE59" s="391"/>
      <c r="AF59" s="368"/>
      <c r="AG59" s="391"/>
    </row>
    <row r="60" spans="1:33" ht="15" customHeight="1">
      <c r="A60" s="397" t="s">
        <v>40</v>
      </c>
      <c r="B60" s="406" t="s">
        <v>301</v>
      </c>
      <c r="C60" s="407"/>
      <c r="D60" s="396">
        <v>106980</v>
      </c>
      <c r="E60" s="396">
        <v>9</v>
      </c>
      <c r="F60" s="217">
        <f t="shared" si="7"/>
        <v>64854</v>
      </c>
      <c r="G60" s="216">
        <f t="shared" si="8"/>
        <v>61755</v>
      </c>
      <c r="H60" s="368">
        <v>53126</v>
      </c>
      <c r="I60" s="390">
        <v>49925</v>
      </c>
      <c r="J60" s="368">
        <v>19</v>
      </c>
      <c r="K60" s="390">
        <v>79</v>
      </c>
      <c r="L60" s="367">
        <v>11709</v>
      </c>
      <c r="M60" s="367">
        <v>0</v>
      </c>
      <c r="N60" s="367">
        <v>0</v>
      </c>
      <c r="O60" s="390">
        <v>11751</v>
      </c>
      <c r="P60" s="390">
        <v>0</v>
      </c>
      <c r="Q60" s="391">
        <v>0</v>
      </c>
      <c r="R60" s="368">
        <v>0</v>
      </c>
      <c r="S60" s="390">
        <v>0</v>
      </c>
      <c r="T60" s="218">
        <f t="shared" si="9"/>
        <v>0</v>
      </c>
      <c r="U60" s="219">
        <f t="shared" si="10"/>
        <v>0</v>
      </c>
      <c r="V60" s="368"/>
      <c r="W60" s="390"/>
      <c r="X60" s="368"/>
      <c r="Y60" s="390"/>
      <c r="Z60" s="367"/>
      <c r="AA60" s="367"/>
      <c r="AB60" s="367"/>
      <c r="AC60" s="390"/>
      <c r="AD60" s="390"/>
      <c r="AE60" s="391"/>
      <c r="AF60" s="368"/>
      <c r="AG60" s="391"/>
    </row>
    <row r="61" spans="1:33" ht="15" customHeight="1">
      <c r="A61" s="397" t="s">
        <v>40</v>
      </c>
      <c r="B61" s="394" t="s">
        <v>302</v>
      </c>
      <c r="C61" s="405"/>
      <c r="D61" s="399">
        <v>107327</v>
      </c>
      <c r="E61" s="399">
        <v>10</v>
      </c>
      <c r="F61" s="217">
        <f t="shared" si="7"/>
        <v>31196</v>
      </c>
      <c r="G61" s="216">
        <f t="shared" si="8"/>
        <v>26988</v>
      </c>
      <c r="H61" s="368">
        <v>23551</v>
      </c>
      <c r="I61" s="390">
        <v>20534</v>
      </c>
      <c r="J61" s="368">
        <v>1318</v>
      </c>
      <c r="K61" s="390">
        <v>366</v>
      </c>
      <c r="L61" s="367">
        <v>5993</v>
      </c>
      <c r="M61" s="367">
        <v>334</v>
      </c>
      <c r="N61" s="367">
        <v>0</v>
      </c>
      <c r="O61" s="390">
        <v>6088</v>
      </c>
      <c r="P61" s="390">
        <v>0</v>
      </c>
      <c r="Q61" s="391">
        <v>0</v>
      </c>
      <c r="R61" s="368">
        <v>0</v>
      </c>
      <c r="S61" s="390">
        <v>0</v>
      </c>
      <c r="T61" s="218">
        <f t="shared" si="9"/>
        <v>0</v>
      </c>
      <c r="U61" s="219">
        <f t="shared" si="10"/>
        <v>0</v>
      </c>
      <c r="V61" s="368"/>
      <c r="W61" s="390"/>
      <c r="X61" s="368"/>
      <c r="Y61" s="390"/>
      <c r="Z61" s="367"/>
      <c r="AA61" s="367"/>
      <c r="AB61" s="367"/>
      <c r="AC61" s="390"/>
      <c r="AD61" s="390"/>
      <c r="AE61" s="391"/>
      <c r="AF61" s="368"/>
      <c r="AG61" s="391"/>
    </row>
    <row r="62" spans="1:33" ht="15" customHeight="1">
      <c r="A62" s="397" t="s">
        <v>40</v>
      </c>
      <c r="B62" s="394" t="s">
        <v>303</v>
      </c>
      <c r="C62" s="405"/>
      <c r="D62" s="399">
        <v>420538</v>
      </c>
      <c r="E62" s="399">
        <v>10</v>
      </c>
      <c r="F62" s="217">
        <f t="shared" si="7"/>
        <v>35896</v>
      </c>
      <c r="G62" s="216">
        <f t="shared" si="8"/>
        <v>33665</v>
      </c>
      <c r="H62" s="368">
        <v>20453</v>
      </c>
      <c r="I62" s="390">
        <v>18028</v>
      </c>
      <c r="J62" s="368">
        <v>774</v>
      </c>
      <c r="K62" s="390">
        <v>1941</v>
      </c>
      <c r="L62" s="367">
        <v>14235</v>
      </c>
      <c r="M62" s="367">
        <v>434</v>
      </c>
      <c r="N62" s="367">
        <v>0</v>
      </c>
      <c r="O62" s="390">
        <v>13302</v>
      </c>
      <c r="P62" s="390">
        <v>394</v>
      </c>
      <c r="Q62" s="391">
        <v>0</v>
      </c>
      <c r="R62" s="368">
        <v>0</v>
      </c>
      <c r="S62" s="390">
        <v>0</v>
      </c>
      <c r="T62" s="218">
        <f t="shared" si="9"/>
        <v>0</v>
      </c>
      <c r="U62" s="219">
        <f t="shared" si="10"/>
        <v>0</v>
      </c>
      <c r="V62" s="368"/>
      <c r="W62" s="390"/>
      <c r="X62" s="368"/>
      <c r="Y62" s="390"/>
      <c r="Z62" s="367"/>
      <c r="AA62" s="367"/>
      <c r="AB62" s="367"/>
      <c r="AC62" s="390"/>
      <c r="AD62" s="390"/>
      <c r="AE62" s="391"/>
      <c r="AF62" s="368"/>
      <c r="AG62" s="391"/>
    </row>
    <row r="63" spans="1:33" ht="15" customHeight="1">
      <c r="A63" s="397" t="s">
        <v>40</v>
      </c>
      <c r="B63" s="394" t="s">
        <v>304</v>
      </c>
      <c r="C63" s="405"/>
      <c r="D63" s="399">
        <v>440402</v>
      </c>
      <c r="E63" s="399">
        <v>10</v>
      </c>
      <c r="F63" s="217">
        <f t="shared" si="7"/>
        <v>48217</v>
      </c>
      <c r="G63" s="216">
        <f t="shared" si="8"/>
        <v>48965</v>
      </c>
      <c r="H63" s="368">
        <v>23225</v>
      </c>
      <c r="I63" s="390">
        <v>23542</v>
      </c>
      <c r="J63" s="368">
        <v>7751</v>
      </c>
      <c r="K63" s="390">
        <v>7503</v>
      </c>
      <c r="L63" s="367">
        <v>16295</v>
      </c>
      <c r="M63" s="367">
        <v>946</v>
      </c>
      <c r="N63" s="367">
        <v>0</v>
      </c>
      <c r="O63" s="390">
        <v>17146</v>
      </c>
      <c r="P63" s="390">
        <v>732</v>
      </c>
      <c r="Q63" s="391">
        <v>42</v>
      </c>
      <c r="R63" s="368">
        <v>0</v>
      </c>
      <c r="S63" s="390">
        <v>0</v>
      </c>
      <c r="T63" s="218">
        <f t="shared" si="9"/>
        <v>0</v>
      </c>
      <c r="U63" s="219">
        <f t="shared" si="10"/>
        <v>0</v>
      </c>
      <c r="V63" s="368"/>
      <c r="W63" s="390"/>
      <c r="X63" s="368"/>
      <c r="Y63" s="390"/>
      <c r="Z63" s="367"/>
      <c r="AA63" s="367"/>
      <c r="AB63" s="367"/>
      <c r="AC63" s="390"/>
      <c r="AD63" s="390"/>
      <c r="AE63" s="391"/>
      <c r="AF63" s="368"/>
      <c r="AG63" s="391"/>
    </row>
    <row r="64" spans="1:33" ht="15" customHeight="1">
      <c r="A64" s="397" t="s">
        <v>40</v>
      </c>
      <c r="B64" s="394" t="s">
        <v>305</v>
      </c>
      <c r="C64" s="395"/>
      <c r="D64" s="399">
        <v>106625</v>
      </c>
      <c r="E64" s="399">
        <v>10</v>
      </c>
      <c r="F64" s="217">
        <f t="shared" si="7"/>
        <v>56415</v>
      </c>
      <c r="G64" s="216">
        <f t="shared" si="8"/>
        <v>48824</v>
      </c>
      <c r="H64" s="368">
        <v>38548</v>
      </c>
      <c r="I64" s="390">
        <v>31523</v>
      </c>
      <c r="J64" s="368">
        <v>2857</v>
      </c>
      <c r="K64" s="390">
        <v>3106</v>
      </c>
      <c r="L64" s="367">
        <v>12835</v>
      </c>
      <c r="M64" s="367">
        <v>2175</v>
      </c>
      <c r="N64" s="367">
        <v>0</v>
      </c>
      <c r="O64" s="390">
        <v>12575</v>
      </c>
      <c r="P64" s="390">
        <v>1620</v>
      </c>
      <c r="Q64" s="391">
        <v>0</v>
      </c>
      <c r="R64" s="368">
        <v>0</v>
      </c>
      <c r="S64" s="390">
        <v>0</v>
      </c>
      <c r="T64" s="218">
        <f t="shared" si="9"/>
        <v>0</v>
      </c>
      <c r="U64" s="219">
        <f t="shared" si="10"/>
        <v>0</v>
      </c>
      <c r="V64" s="368"/>
      <c r="W64" s="390"/>
      <c r="X64" s="368"/>
      <c r="Y64" s="390"/>
      <c r="Z64" s="367"/>
      <c r="AA64" s="367"/>
      <c r="AB64" s="367"/>
      <c r="AC64" s="390"/>
      <c r="AD64" s="390"/>
      <c r="AE64" s="391"/>
      <c r="AF64" s="368"/>
      <c r="AG64" s="391"/>
    </row>
    <row r="65" spans="1:34" ht="15" customHeight="1">
      <c r="A65" s="397" t="s">
        <v>40</v>
      </c>
      <c r="B65" s="394" t="s">
        <v>306</v>
      </c>
      <c r="C65" s="398"/>
      <c r="D65" s="399">
        <v>107521</v>
      </c>
      <c r="E65" s="399">
        <v>10</v>
      </c>
      <c r="F65" s="217">
        <f t="shared" si="7"/>
        <v>28610</v>
      </c>
      <c r="G65" s="216">
        <f t="shared" si="8"/>
        <v>27685</v>
      </c>
      <c r="H65" s="368">
        <v>21261</v>
      </c>
      <c r="I65" s="390">
        <v>20040</v>
      </c>
      <c r="J65" s="368">
        <v>2069</v>
      </c>
      <c r="K65" s="390">
        <v>2112</v>
      </c>
      <c r="L65" s="367">
        <v>5280</v>
      </c>
      <c r="M65" s="367">
        <v>0</v>
      </c>
      <c r="N65" s="367">
        <v>0</v>
      </c>
      <c r="O65" s="390">
        <v>5533</v>
      </c>
      <c r="P65" s="390">
        <v>0</v>
      </c>
      <c r="Q65" s="391">
        <v>0</v>
      </c>
      <c r="R65" s="368">
        <v>0</v>
      </c>
      <c r="S65" s="390">
        <v>0</v>
      </c>
      <c r="T65" s="218">
        <f t="shared" si="9"/>
        <v>0</v>
      </c>
      <c r="U65" s="219">
        <f t="shared" si="10"/>
        <v>0</v>
      </c>
      <c r="V65" s="368"/>
      <c r="W65" s="390"/>
      <c r="X65" s="368"/>
      <c r="Y65" s="390"/>
      <c r="Z65" s="367"/>
      <c r="AA65" s="367"/>
      <c r="AB65" s="367"/>
      <c r="AC65" s="390"/>
      <c r="AD65" s="390"/>
      <c r="AE65" s="391"/>
      <c r="AF65" s="368"/>
      <c r="AG65" s="391"/>
    </row>
    <row r="66" spans="1:34" ht="15" customHeight="1">
      <c r="A66" s="397" t="s">
        <v>40</v>
      </c>
      <c r="B66" s="394" t="s">
        <v>307</v>
      </c>
      <c r="C66" s="405"/>
      <c r="D66" s="399">
        <v>106795</v>
      </c>
      <c r="E66" s="399">
        <v>10</v>
      </c>
      <c r="F66" s="217">
        <f t="shared" si="7"/>
        <v>30574</v>
      </c>
      <c r="G66" s="216">
        <f t="shared" si="8"/>
        <v>29800</v>
      </c>
      <c r="H66" s="368">
        <v>7249</v>
      </c>
      <c r="I66" s="390">
        <v>7469</v>
      </c>
      <c r="J66" s="368">
        <v>9986</v>
      </c>
      <c r="K66" s="390">
        <v>9395</v>
      </c>
      <c r="L66" s="367">
        <v>9469</v>
      </c>
      <c r="M66" s="367">
        <v>3870</v>
      </c>
      <c r="N66" s="367">
        <v>0</v>
      </c>
      <c r="O66" s="390">
        <v>9025</v>
      </c>
      <c r="P66" s="390">
        <v>3911</v>
      </c>
      <c r="Q66" s="391">
        <v>0</v>
      </c>
      <c r="R66" s="368">
        <v>0</v>
      </c>
      <c r="S66" s="390">
        <v>0</v>
      </c>
      <c r="T66" s="218">
        <f t="shared" si="9"/>
        <v>0</v>
      </c>
      <c r="U66" s="219">
        <f t="shared" si="10"/>
        <v>0</v>
      </c>
      <c r="V66" s="368"/>
      <c r="W66" s="390"/>
      <c r="X66" s="368"/>
      <c r="Y66" s="390"/>
      <c r="Z66" s="367"/>
      <c r="AA66" s="367"/>
      <c r="AB66" s="367"/>
      <c r="AC66" s="390"/>
      <c r="AD66" s="390"/>
      <c r="AE66" s="391"/>
      <c r="AF66" s="368"/>
      <c r="AG66" s="391"/>
    </row>
    <row r="67" spans="1:34" ht="15" customHeight="1">
      <c r="A67" s="397" t="s">
        <v>40</v>
      </c>
      <c r="B67" s="394" t="s">
        <v>308</v>
      </c>
      <c r="C67" s="405"/>
      <c r="D67" s="399">
        <v>106883</v>
      </c>
      <c r="E67" s="399">
        <v>10</v>
      </c>
      <c r="F67" s="217">
        <f t="shared" si="7"/>
        <v>27567</v>
      </c>
      <c r="G67" s="216">
        <f t="shared" si="8"/>
        <v>24356</v>
      </c>
      <c r="H67" s="368">
        <v>13486</v>
      </c>
      <c r="I67" s="390">
        <v>11109</v>
      </c>
      <c r="J67" s="368">
        <v>7128</v>
      </c>
      <c r="K67" s="390">
        <v>6605</v>
      </c>
      <c r="L67" s="367">
        <v>6830</v>
      </c>
      <c r="M67" s="367">
        <v>123</v>
      </c>
      <c r="N67" s="367">
        <v>0</v>
      </c>
      <c r="O67" s="390">
        <v>6642</v>
      </c>
      <c r="P67" s="390">
        <v>0</v>
      </c>
      <c r="Q67" s="391">
        <v>0</v>
      </c>
      <c r="R67" s="368">
        <v>0</v>
      </c>
      <c r="S67" s="390">
        <v>0</v>
      </c>
      <c r="T67" s="218">
        <f t="shared" si="9"/>
        <v>0</v>
      </c>
      <c r="U67" s="219">
        <f t="shared" si="10"/>
        <v>0</v>
      </c>
      <c r="V67" s="368"/>
      <c r="W67" s="390"/>
      <c r="X67" s="368"/>
      <c r="Y67" s="390"/>
      <c r="Z67" s="367"/>
      <c r="AA67" s="367"/>
      <c r="AB67" s="367"/>
      <c r="AC67" s="390"/>
      <c r="AD67" s="390"/>
      <c r="AE67" s="391"/>
      <c r="AF67" s="368"/>
      <c r="AG67" s="391"/>
    </row>
    <row r="68" spans="1:34" ht="15" customHeight="1">
      <c r="A68" s="397" t="s">
        <v>40</v>
      </c>
      <c r="B68" s="394" t="s">
        <v>309</v>
      </c>
      <c r="C68" s="405"/>
      <c r="D68" s="399">
        <v>107318</v>
      </c>
      <c r="E68" s="399">
        <v>10</v>
      </c>
      <c r="F68" s="217">
        <f t="shared" si="7"/>
        <v>35704</v>
      </c>
      <c r="G68" s="216">
        <f t="shared" si="8"/>
        <v>34220</v>
      </c>
      <c r="H68" s="368">
        <v>34223</v>
      </c>
      <c r="I68" s="390">
        <v>31221</v>
      </c>
      <c r="J68" s="368">
        <v>284</v>
      </c>
      <c r="K68" s="390">
        <v>167</v>
      </c>
      <c r="L68" s="367">
        <v>1197</v>
      </c>
      <c r="M68" s="367">
        <v>0</v>
      </c>
      <c r="N68" s="367">
        <v>0</v>
      </c>
      <c r="O68" s="390">
        <v>2832</v>
      </c>
      <c r="P68" s="390">
        <v>0</v>
      </c>
      <c r="Q68" s="391">
        <v>0</v>
      </c>
      <c r="R68" s="368">
        <v>0</v>
      </c>
      <c r="S68" s="390">
        <v>0</v>
      </c>
      <c r="T68" s="218">
        <f t="shared" si="9"/>
        <v>0</v>
      </c>
      <c r="U68" s="219">
        <f t="shared" si="10"/>
        <v>0</v>
      </c>
      <c r="V68" s="368"/>
      <c r="W68" s="390"/>
      <c r="X68" s="368"/>
      <c r="Y68" s="390"/>
      <c r="Z68" s="367"/>
      <c r="AA68" s="367"/>
      <c r="AB68" s="367"/>
      <c r="AC68" s="390"/>
      <c r="AD68" s="390"/>
      <c r="AE68" s="391"/>
      <c r="AF68" s="368"/>
      <c r="AG68" s="391"/>
    </row>
    <row r="69" spans="1:34" ht="15" customHeight="1">
      <c r="A69" s="397" t="s">
        <v>40</v>
      </c>
      <c r="B69" s="394" t="s">
        <v>310</v>
      </c>
      <c r="C69" s="405"/>
      <c r="D69" s="399">
        <v>107460</v>
      </c>
      <c r="E69" s="399">
        <v>10</v>
      </c>
      <c r="F69" s="217">
        <f t="shared" si="7"/>
        <v>49809</v>
      </c>
      <c r="G69" s="216">
        <f t="shared" si="8"/>
        <v>45279</v>
      </c>
      <c r="H69" s="368">
        <v>39293</v>
      </c>
      <c r="I69" s="390">
        <v>34647</v>
      </c>
      <c r="J69" s="368">
        <v>3731</v>
      </c>
      <c r="K69" s="390">
        <v>3436</v>
      </c>
      <c r="L69" s="367">
        <v>6785</v>
      </c>
      <c r="M69" s="367">
        <v>0</v>
      </c>
      <c r="N69" s="367">
        <v>0</v>
      </c>
      <c r="O69" s="390">
        <v>7196</v>
      </c>
      <c r="P69" s="390">
        <v>0</v>
      </c>
      <c r="Q69" s="391">
        <v>0</v>
      </c>
      <c r="R69" s="368">
        <v>0</v>
      </c>
      <c r="S69" s="390">
        <v>0</v>
      </c>
      <c r="T69" s="218">
        <f t="shared" si="9"/>
        <v>0</v>
      </c>
      <c r="U69" s="219">
        <f t="shared" si="10"/>
        <v>0</v>
      </c>
      <c r="V69" s="368"/>
      <c r="W69" s="390"/>
      <c r="X69" s="368"/>
      <c r="Y69" s="390"/>
      <c r="Z69" s="367"/>
      <c r="AA69" s="367"/>
      <c r="AB69" s="367"/>
      <c r="AC69" s="390"/>
      <c r="AD69" s="390"/>
      <c r="AE69" s="391"/>
      <c r="AF69" s="368"/>
      <c r="AG69" s="391"/>
    </row>
    <row r="70" spans="1:34" ht="15" customHeight="1">
      <c r="A70" s="397" t="s">
        <v>40</v>
      </c>
      <c r="B70" s="394" t="s">
        <v>311</v>
      </c>
      <c r="C70" s="405"/>
      <c r="D70" s="399">
        <v>107549</v>
      </c>
      <c r="E70" s="399">
        <v>10</v>
      </c>
      <c r="F70" s="217">
        <f t="shared" si="7"/>
        <v>35567</v>
      </c>
      <c r="G70" s="216">
        <f t="shared" si="8"/>
        <v>29876</v>
      </c>
      <c r="H70" s="368">
        <v>18242</v>
      </c>
      <c r="I70" s="390">
        <v>15226</v>
      </c>
      <c r="J70" s="368">
        <v>1445</v>
      </c>
      <c r="K70" s="390">
        <v>1349</v>
      </c>
      <c r="L70" s="367">
        <v>14257</v>
      </c>
      <c r="M70" s="367">
        <v>1623</v>
      </c>
      <c r="N70" s="367">
        <v>0</v>
      </c>
      <c r="O70" s="390">
        <v>12649</v>
      </c>
      <c r="P70" s="390">
        <v>652</v>
      </c>
      <c r="Q70" s="391">
        <v>0</v>
      </c>
      <c r="R70" s="368">
        <v>0</v>
      </c>
      <c r="S70" s="390">
        <v>0</v>
      </c>
      <c r="T70" s="218">
        <f t="shared" si="9"/>
        <v>0</v>
      </c>
      <c r="U70" s="219">
        <f t="shared" si="10"/>
        <v>0</v>
      </c>
      <c r="V70" s="368"/>
      <c r="W70" s="390"/>
      <c r="X70" s="368"/>
      <c r="Y70" s="390"/>
      <c r="Z70" s="367"/>
      <c r="AA70" s="367"/>
      <c r="AB70" s="367"/>
      <c r="AC70" s="390"/>
      <c r="AD70" s="390"/>
      <c r="AE70" s="391"/>
      <c r="AF70" s="368"/>
      <c r="AG70" s="391"/>
      <c r="AH70" s="389"/>
    </row>
    <row r="71" spans="1:34" ht="15" customHeight="1">
      <c r="A71" s="397" t="s">
        <v>40</v>
      </c>
      <c r="B71" s="394" t="s">
        <v>312</v>
      </c>
      <c r="C71" s="405"/>
      <c r="D71" s="399">
        <v>107619</v>
      </c>
      <c r="E71" s="399">
        <v>10</v>
      </c>
      <c r="F71" s="217">
        <f t="shared" si="7"/>
        <v>34964</v>
      </c>
      <c r="G71" s="216">
        <f t="shared" si="8"/>
        <v>31338</v>
      </c>
      <c r="H71" s="368">
        <v>28968</v>
      </c>
      <c r="I71" s="390">
        <v>24381</v>
      </c>
      <c r="J71" s="368">
        <v>1538</v>
      </c>
      <c r="K71" s="390">
        <v>2208</v>
      </c>
      <c r="L71" s="367">
        <v>2678</v>
      </c>
      <c r="M71" s="367">
        <v>1730</v>
      </c>
      <c r="N71" s="367">
        <v>50</v>
      </c>
      <c r="O71" s="390">
        <v>2330</v>
      </c>
      <c r="P71" s="390">
        <v>2419</v>
      </c>
      <c r="Q71" s="391">
        <v>0</v>
      </c>
      <c r="R71" s="368">
        <v>0</v>
      </c>
      <c r="S71" s="390">
        <v>0</v>
      </c>
      <c r="T71" s="218">
        <f t="shared" si="9"/>
        <v>0</v>
      </c>
      <c r="U71" s="219">
        <f t="shared" si="10"/>
        <v>0</v>
      </c>
      <c r="V71" s="368"/>
      <c r="W71" s="390"/>
      <c r="X71" s="368"/>
      <c r="Y71" s="390"/>
      <c r="Z71" s="367"/>
      <c r="AA71" s="367"/>
      <c r="AB71" s="367"/>
      <c r="AC71" s="390"/>
      <c r="AD71" s="390"/>
      <c r="AE71" s="391"/>
      <c r="AF71" s="368"/>
      <c r="AG71" s="391"/>
      <c r="AH71" s="389"/>
    </row>
    <row r="72" spans="1:34" ht="15" customHeight="1">
      <c r="A72" s="397" t="s">
        <v>40</v>
      </c>
      <c r="B72" s="394" t="s">
        <v>313</v>
      </c>
      <c r="C72" s="405"/>
      <c r="D72" s="399">
        <v>107743</v>
      </c>
      <c r="E72" s="399">
        <v>10</v>
      </c>
      <c r="F72" s="217">
        <f t="shared" ref="F72:F135" si="11">SUM(H72,J72,L72,M72,N72,R72)</f>
        <v>18587</v>
      </c>
      <c r="G72" s="216">
        <f t="shared" ref="G72:G135" si="12">SUM(I72,K72,O72,P72,Q72,S72)</f>
        <v>17888</v>
      </c>
      <c r="H72" s="368">
        <v>10902</v>
      </c>
      <c r="I72" s="390">
        <v>11033</v>
      </c>
      <c r="J72" s="368">
        <v>3950</v>
      </c>
      <c r="K72" s="390">
        <v>3555</v>
      </c>
      <c r="L72" s="367">
        <v>3096</v>
      </c>
      <c r="M72" s="367">
        <v>639</v>
      </c>
      <c r="N72" s="367">
        <v>0</v>
      </c>
      <c r="O72" s="390">
        <v>2706</v>
      </c>
      <c r="P72" s="390">
        <v>594</v>
      </c>
      <c r="Q72" s="391">
        <v>0</v>
      </c>
      <c r="R72" s="368">
        <v>0</v>
      </c>
      <c r="S72" s="390">
        <v>0</v>
      </c>
      <c r="T72" s="218">
        <f t="shared" ref="T72:T135" si="13">SUM(V72,X72,Z72,AA72,AB72,AF72)</f>
        <v>0</v>
      </c>
      <c r="U72" s="219">
        <f t="shared" ref="U72:U135" si="14">SUM(W72,Y72,AC72,AD72,AE72,AG72)</f>
        <v>0</v>
      </c>
      <c r="V72" s="368"/>
      <c r="W72" s="390"/>
      <c r="X72" s="368"/>
      <c r="Y72" s="390"/>
      <c r="Z72" s="367"/>
      <c r="AA72" s="367"/>
      <c r="AB72" s="367"/>
      <c r="AC72" s="390"/>
      <c r="AD72" s="390"/>
      <c r="AE72" s="391"/>
      <c r="AF72" s="368"/>
      <c r="AG72" s="391"/>
      <c r="AH72" s="389"/>
    </row>
    <row r="73" spans="1:34">
      <c r="A73" s="397" t="s">
        <v>40</v>
      </c>
      <c r="B73" s="394" t="s">
        <v>314</v>
      </c>
      <c r="C73" s="405"/>
      <c r="D73" s="399">
        <v>107974</v>
      </c>
      <c r="E73" s="399">
        <v>10</v>
      </c>
      <c r="F73" s="217">
        <f t="shared" si="11"/>
        <v>36571</v>
      </c>
      <c r="G73" s="216">
        <f t="shared" si="12"/>
        <v>36786</v>
      </c>
      <c r="H73" s="368">
        <v>25037</v>
      </c>
      <c r="I73" s="390">
        <v>25098</v>
      </c>
      <c r="J73" s="368">
        <v>3122</v>
      </c>
      <c r="K73" s="390">
        <v>2446</v>
      </c>
      <c r="L73" s="367">
        <v>8358</v>
      </c>
      <c r="M73" s="367">
        <v>0</v>
      </c>
      <c r="N73" s="367">
        <v>0</v>
      </c>
      <c r="O73" s="390">
        <v>9218</v>
      </c>
      <c r="P73" s="390">
        <v>0</v>
      </c>
      <c r="Q73" s="391">
        <v>0</v>
      </c>
      <c r="R73" s="368">
        <v>54</v>
      </c>
      <c r="S73" s="390">
        <v>24</v>
      </c>
      <c r="T73" s="218">
        <f t="shared" si="13"/>
        <v>0</v>
      </c>
      <c r="U73" s="219">
        <f t="shared" si="14"/>
        <v>0</v>
      </c>
      <c r="V73" s="368"/>
      <c r="W73" s="390"/>
      <c r="X73" s="368"/>
      <c r="Y73" s="390"/>
      <c r="Z73" s="367"/>
      <c r="AA73" s="367"/>
      <c r="AB73" s="367"/>
      <c r="AC73" s="390"/>
      <c r="AD73" s="390"/>
      <c r="AE73" s="391"/>
      <c r="AF73" s="368"/>
      <c r="AG73" s="391"/>
      <c r="AH73" s="389"/>
    </row>
    <row r="74" spans="1:34">
      <c r="A74" s="397" t="s">
        <v>40</v>
      </c>
      <c r="B74" s="394" t="s">
        <v>315</v>
      </c>
      <c r="C74" s="405"/>
      <c r="D74" s="399">
        <v>107637</v>
      </c>
      <c r="E74" s="399">
        <v>10</v>
      </c>
      <c r="F74" s="217">
        <f t="shared" si="11"/>
        <v>35782</v>
      </c>
      <c r="G74" s="216">
        <f t="shared" si="12"/>
        <v>33624</v>
      </c>
      <c r="H74" s="368">
        <v>31820</v>
      </c>
      <c r="I74" s="390">
        <v>29409</v>
      </c>
      <c r="J74" s="368">
        <v>1008</v>
      </c>
      <c r="K74" s="390">
        <v>496</v>
      </c>
      <c r="L74" s="367">
        <v>2954</v>
      </c>
      <c r="M74" s="367">
        <v>0</v>
      </c>
      <c r="N74" s="367">
        <v>0</v>
      </c>
      <c r="O74" s="390">
        <v>3719</v>
      </c>
      <c r="P74" s="390">
        <v>0</v>
      </c>
      <c r="Q74" s="391">
        <v>0</v>
      </c>
      <c r="R74" s="368">
        <v>0</v>
      </c>
      <c r="S74" s="390">
        <v>0</v>
      </c>
      <c r="T74" s="218">
        <f t="shared" si="13"/>
        <v>0</v>
      </c>
      <c r="U74" s="219">
        <f t="shared" si="14"/>
        <v>0</v>
      </c>
      <c r="V74" s="368"/>
      <c r="W74" s="390"/>
      <c r="X74" s="368"/>
      <c r="Y74" s="390"/>
      <c r="Z74" s="367"/>
      <c r="AA74" s="367"/>
      <c r="AB74" s="367"/>
      <c r="AC74" s="390"/>
      <c r="AD74" s="390"/>
      <c r="AE74" s="391"/>
      <c r="AF74" s="368"/>
      <c r="AG74" s="391"/>
      <c r="AH74" s="389"/>
    </row>
    <row r="75" spans="1:34">
      <c r="A75" s="397" t="s">
        <v>40</v>
      </c>
      <c r="B75" s="394" t="s">
        <v>316</v>
      </c>
      <c r="C75" s="405"/>
      <c r="D75" s="399">
        <v>107992</v>
      </c>
      <c r="E75" s="399">
        <v>10</v>
      </c>
      <c r="F75" s="217">
        <f t="shared" si="11"/>
        <v>39973</v>
      </c>
      <c r="G75" s="216">
        <f t="shared" si="12"/>
        <v>36573</v>
      </c>
      <c r="H75" s="368">
        <v>17084</v>
      </c>
      <c r="I75" s="390">
        <v>15440</v>
      </c>
      <c r="J75" s="368">
        <v>15769</v>
      </c>
      <c r="K75" s="390">
        <v>15449</v>
      </c>
      <c r="L75" s="367">
        <v>7120</v>
      </c>
      <c r="M75" s="367">
        <v>0</v>
      </c>
      <c r="N75" s="367">
        <v>0</v>
      </c>
      <c r="O75" s="390">
        <v>5684</v>
      </c>
      <c r="P75" s="390">
        <v>0</v>
      </c>
      <c r="Q75" s="391">
        <v>0</v>
      </c>
      <c r="R75" s="368">
        <v>0</v>
      </c>
      <c r="S75" s="390">
        <v>0</v>
      </c>
      <c r="T75" s="218">
        <f t="shared" si="13"/>
        <v>0</v>
      </c>
      <c r="U75" s="219">
        <f t="shared" si="14"/>
        <v>0</v>
      </c>
      <c r="V75" s="368"/>
      <c r="W75" s="390"/>
      <c r="X75" s="368"/>
      <c r="Y75" s="390"/>
      <c r="Z75" s="367"/>
      <c r="AA75" s="367"/>
      <c r="AB75" s="367"/>
      <c r="AC75" s="390"/>
      <c r="AD75" s="390"/>
      <c r="AE75" s="391"/>
      <c r="AF75" s="368"/>
      <c r="AG75" s="391"/>
      <c r="AH75" s="389"/>
    </row>
    <row r="76" spans="1:34">
      <c r="A76" s="397" t="s">
        <v>40</v>
      </c>
      <c r="B76" s="394" t="s">
        <v>317</v>
      </c>
      <c r="C76" s="405"/>
      <c r="D76" s="399">
        <v>106999</v>
      </c>
      <c r="E76" s="399">
        <v>10</v>
      </c>
      <c r="F76" s="217">
        <f t="shared" si="11"/>
        <v>30294</v>
      </c>
      <c r="G76" s="216">
        <f t="shared" si="12"/>
        <v>28576</v>
      </c>
      <c r="H76" s="368">
        <v>23179</v>
      </c>
      <c r="I76" s="390">
        <v>19866</v>
      </c>
      <c r="J76" s="368">
        <v>1249</v>
      </c>
      <c r="K76" s="390">
        <v>1439</v>
      </c>
      <c r="L76" s="367">
        <v>5866</v>
      </c>
      <c r="M76" s="367">
        <v>0</v>
      </c>
      <c r="N76" s="367">
        <v>0</v>
      </c>
      <c r="O76" s="390">
        <v>7271</v>
      </c>
      <c r="P76" s="390">
        <v>0</v>
      </c>
      <c r="Q76" s="391">
        <v>0</v>
      </c>
      <c r="R76" s="368">
        <v>0</v>
      </c>
      <c r="S76" s="390">
        <v>0</v>
      </c>
      <c r="T76" s="218">
        <f t="shared" si="13"/>
        <v>0</v>
      </c>
      <c r="U76" s="219">
        <f t="shared" si="14"/>
        <v>0</v>
      </c>
      <c r="V76" s="368"/>
      <c r="W76" s="390"/>
      <c r="X76" s="368"/>
      <c r="Y76" s="390"/>
      <c r="Z76" s="367"/>
      <c r="AA76" s="367"/>
      <c r="AB76" s="367"/>
      <c r="AC76" s="390"/>
      <c r="AD76" s="390"/>
      <c r="AE76" s="391"/>
      <c r="AF76" s="368"/>
      <c r="AG76" s="391"/>
      <c r="AH76" s="389"/>
    </row>
    <row r="77" spans="1:34" ht="12.75" customHeight="1">
      <c r="A77" s="397" t="s">
        <v>40</v>
      </c>
      <c r="B77" s="394" t="s">
        <v>318</v>
      </c>
      <c r="C77" s="405"/>
      <c r="D77" s="399">
        <v>107725</v>
      </c>
      <c r="E77" s="399">
        <v>10</v>
      </c>
      <c r="F77" s="217">
        <f t="shared" si="11"/>
        <v>31382</v>
      </c>
      <c r="G77" s="216">
        <f t="shared" si="12"/>
        <v>28524</v>
      </c>
      <c r="H77" s="368">
        <v>22394</v>
      </c>
      <c r="I77" s="390">
        <v>18994</v>
      </c>
      <c r="J77" s="368">
        <v>5373</v>
      </c>
      <c r="K77" s="390">
        <v>5599</v>
      </c>
      <c r="L77" s="367">
        <v>3180</v>
      </c>
      <c r="M77" s="367">
        <v>435</v>
      </c>
      <c r="N77" s="367">
        <v>0</v>
      </c>
      <c r="O77" s="390">
        <v>3733</v>
      </c>
      <c r="P77" s="390">
        <v>198</v>
      </c>
      <c r="Q77" s="391">
        <v>0</v>
      </c>
      <c r="R77" s="368">
        <v>0</v>
      </c>
      <c r="S77" s="390">
        <v>0</v>
      </c>
      <c r="T77" s="218">
        <f t="shared" si="13"/>
        <v>0</v>
      </c>
      <c r="U77" s="219">
        <f t="shared" si="14"/>
        <v>0</v>
      </c>
      <c r="V77" s="368"/>
      <c r="W77" s="390"/>
      <c r="X77" s="368"/>
      <c r="Y77" s="390"/>
      <c r="Z77" s="367"/>
      <c r="AA77" s="367"/>
      <c r="AB77" s="367"/>
      <c r="AC77" s="390"/>
      <c r="AD77" s="390"/>
      <c r="AE77" s="391"/>
      <c r="AF77" s="368"/>
      <c r="AG77" s="391"/>
      <c r="AH77" s="389"/>
    </row>
    <row r="78" spans="1:34" customFormat="1" ht="15">
      <c r="A78" s="397" t="s">
        <v>40</v>
      </c>
      <c r="B78" s="394" t="s">
        <v>319</v>
      </c>
      <c r="C78" s="405"/>
      <c r="D78" s="399">
        <v>107585</v>
      </c>
      <c r="E78" s="399">
        <v>10</v>
      </c>
      <c r="F78" s="217">
        <f t="shared" si="11"/>
        <v>51114</v>
      </c>
      <c r="G78" s="216">
        <f t="shared" si="12"/>
        <v>47971</v>
      </c>
      <c r="H78" s="368">
        <v>47366</v>
      </c>
      <c r="I78" s="390">
        <v>43548</v>
      </c>
      <c r="J78" s="368">
        <v>9</v>
      </c>
      <c r="K78" s="390">
        <v>0</v>
      </c>
      <c r="L78" s="367">
        <v>3739</v>
      </c>
      <c r="M78" s="367">
        <v>0</v>
      </c>
      <c r="N78" s="367">
        <v>0</v>
      </c>
      <c r="O78" s="390">
        <v>4423</v>
      </c>
      <c r="P78" s="390">
        <v>0</v>
      </c>
      <c r="Q78" s="391">
        <v>0</v>
      </c>
      <c r="R78" s="368">
        <v>0</v>
      </c>
      <c r="S78" s="390">
        <v>0</v>
      </c>
      <c r="T78" s="218">
        <f t="shared" si="13"/>
        <v>0</v>
      </c>
      <c r="U78" s="219">
        <f t="shared" si="14"/>
        <v>0</v>
      </c>
      <c r="V78" s="368"/>
      <c r="W78" s="390"/>
      <c r="X78" s="368"/>
      <c r="Y78" s="390"/>
      <c r="Z78" s="367"/>
      <c r="AA78" s="367"/>
      <c r="AB78" s="367"/>
      <c r="AC78" s="390"/>
      <c r="AD78" s="390"/>
      <c r="AE78" s="391"/>
      <c r="AF78" s="368"/>
      <c r="AG78" s="391"/>
      <c r="AH78" s="505"/>
    </row>
    <row r="79" spans="1:34" customFormat="1" ht="15">
      <c r="A79" s="397" t="s">
        <v>40</v>
      </c>
      <c r="B79" s="394" t="s">
        <v>320</v>
      </c>
      <c r="C79" s="395"/>
      <c r="D79" s="396">
        <v>106263</v>
      </c>
      <c r="E79" s="396">
        <v>15</v>
      </c>
      <c r="F79" s="217">
        <f t="shared" si="11"/>
        <v>21270</v>
      </c>
      <c r="G79" s="216">
        <f t="shared" si="12"/>
        <v>19973</v>
      </c>
      <c r="H79" s="368">
        <v>21270</v>
      </c>
      <c r="I79" s="390">
        <v>19973</v>
      </c>
      <c r="J79" s="368">
        <v>0</v>
      </c>
      <c r="K79" s="390">
        <v>0</v>
      </c>
      <c r="L79" s="367">
        <v>0</v>
      </c>
      <c r="M79" s="367">
        <v>0</v>
      </c>
      <c r="N79" s="367">
        <v>0</v>
      </c>
      <c r="O79" s="390">
        <v>0</v>
      </c>
      <c r="P79" s="390">
        <v>0</v>
      </c>
      <c r="Q79" s="391">
        <v>0</v>
      </c>
      <c r="R79" s="368">
        <v>0</v>
      </c>
      <c r="S79" s="390">
        <v>0</v>
      </c>
      <c r="T79" s="218">
        <f t="shared" si="13"/>
        <v>55946</v>
      </c>
      <c r="U79" s="219">
        <f t="shared" si="14"/>
        <v>59049</v>
      </c>
      <c r="V79" s="368">
        <v>55946</v>
      </c>
      <c r="W79" s="390">
        <v>59049</v>
      </c>
      <c r="X79" s="368">
        <v>0</v>
      </c>
      <c r="Y79" s="390">
        <v>0</v>
      </c>
      <c r="Z79" s="367">
        <v>0</v>
      </c>
      <c r="AA79" s="367">
        <v>0</v>
      </c>
      <c r="AB79" s="367">
        <v>0</v>
      </c>
      <c r="AC79" s="390">
        <v>0</v>
      </c>
      <c r="AD79" s="390">
        <v>0</v>
      </c>
      <c r="AE79" s="391">
        <v>0</v>
      </c>
      <c r="AF79" s="368">
        <v>0</v>
      </c>
      <c r="AG79" s="391">
        <v>0</v>
      </c>
      <c r="AH79" s="505"/>
    </row>
    <row r="80" spans="1:34" ht="12.75" customHeight="1">
      <c r="A80" s="555" t="s">
        <v>41</v>
      </c>
      <c r="B80" s="556" t="s">
        <v>605</v>
      </c>
      <c r="C80" s="557"/>
      <c r="D80" s="438">
        <v>130943</v>
      </c>
      <c r="E80" s="438">
        <v>1</v>
      </c>
      <c r="F80" s="217">
        <f t="shared" si="11"/>
        <v>539838</v>
      </c>
      <c r="G80" s="216">
        <f t="shared" si="12"/>
        <v>553571</v>
      </c>
      <c r="H80" s="368">
        <v>526015</v>
      </c>
      <c r="I80" s="558">
        <v>537890</v>
      </c>
      <c r="J80" s="368">
        <v>0</v>
      </c>
      <c r="K80" s="558"/>
      <c r="L80" s="559">
        <v>13823</v>
      </c>
      <c r="M80" s="559">
        <v>0</v>
      </c>
      <c r="N80" s="559">
        <v>0</v>
      </c>
      <c r="O80" s="560">
        <v>15681</v>
      </c>
      <c r="P80" s="560">
        <v>0</v>
      </c>
      <c r="Q80" s="561">
        <v>0</v>
      </c>
      <c r="R80" s="368"/>
      <c r="S80" s="558"/>
      <c r="T80" s="218">
        <f t="shared" si="13"/>
        <v>49520</v>
      </c>
      <c r="U80" s="219">
        <f t="shared" si="14"/>
        <v>48245</v>
      </c>
      <c r="V80" s="368">
        <v>47220</v>
      </c>
      <c r="W80" s="558">
        <v>44562</v>
      </c>
      <c r="X80" s="368"/>
      <c r="Y80" s="558"/>
      <c r="Z80" s="559">
        <v>2300</v>
      </c>
      <c r="AA80" s="559">
        <v>0</v>
      </c>
      <c r="AB80" s="559">
        <v>0</v>
      </c>
      <c r="AC80" s="560">
        <v>3683</v>
      </c>
      <c r="AD80" s="560">
        <v>0</v>
      </c>
      <c r="AE80" s="561">
        <v>0</v>
      </c>
      <c r="AF80" s="368"/>
      <c r="AG80" s="558"/>
      <c r="AH80" s="389"/>
    </row>
    <row r="81" spans="1:34" ht="12.75" customHeight="1">
      <c r="A81" s="562" t="s">
        <v>41</v>
      </c>
      <c r="B81" s="556" t="s">
        <v>606</v>
      </c>
      <c r="C81" s="563"/>
      <c r="D81" s="438">
        <v>130934</v>
      </c>
      <c r="E81" s="438">
        <v>3</v>
      </c>
      <c r="F81" s="217">
        <f t="shared" si="11"/>
        <v>115112</v>
      </c>
      <c r="G81" s="216">
        <f t="shared" si="12"/>
        <v>115574</v>
      </c>
      <c r="H81" s="464">
        <v>112994</v>
      </c>
      <c r="I81" s="661">
        <v>113451</v>
      </c>
      <c r="J81" s="464">
        <v>0</v>
      </c>
      <c r="K81" s="661">
        <v>0</v>
      </c>
      <c r="L81" s="662">
        <v>2118</v>
      </c>
      <c r="M81" s="662">
        <v>0</v>
      </c>
      <c r="N81" s="662">
        <v>0</v>
      </c>
      <c r="O81" s="662">
        <v>2123</v>
      </c>
      <c r="P81" s="662">
        <v>0</v>
      </c>
      <c r="Q81" s="663">
        <v>0</v>
      </c>
      <c r="R81" s="464"/>
      <c r="S81" s="661">
        <v>0</v>
      </c>
      <c r="T81" s="218">
        <f t="shared" si="13"/>
        <v>6684</v>
      </c>
      <c r="U81" s="219">
        <f t="shared" si="14"/>
        <v>5993</v>
      </c>
      <c r="V81" s="464">
        <v>6545</v>
      </c>
      <c r="W81" s="661">
        <v>5888</v>
      </c>
      <c r="X81" s="464"/>
      <c r="Y81" s="661"/>
      <c r="Z81" s="662">
        <v>139</v>
      </c>
      <c r="AA81" s="662">
        <v>0</v>
      </c>
      <c r="AB81" s="662">
        <v>0</v>
      </c>
      <c r="AC81" s="662">
        <v>105</v>
      </c>
      <c r="AD81" s="662">
        <v>0</v>
      </c>
      <c r="AE81" s="663">
        <v>0</v>
      </c>
      <c r="AF81" s="464"/>
      <c r="AG81" s="661"/>
      <c r="AH81" s="389"/>
    </row>
    <row r="82" spans="1:34" ht="12.75" customHeight="1">
      <c r="A82" s="564" t="s">
        <v>41</v>
      </c>
      <c r="B82" s="565" t="s">
        <v>607</v>
      </c>
      <c r="C82" s="599" t="s">
        <v>532</v>
      </c>
      <c r="D82" s="449">
        <v>130916</v>
      </c>
      <c r="E82" s="438">
        <v>8</v>
      </c>
      <c r="F82" s="217">
        <f t="shared" si="11"/>
        <v>149120</v>
      </c>
      <c r="G82" s="216">
        <f t="shared" si="12"/>
        <v>140278</v>
      </c>
      <c r="H82" s="368">
        <v>137359</v>
      </c>
      <c r="I82" s="558">
        <v>128527</v>
      </c>
      <c r="J82" s="368"/>
      <c r="K82" s="558"/>
      <c r="L82" s="559">
        <v>10445</v>
      </c>
      <c r="M82" s="559">
        <v>344</v>
      </c>
      <c r="N82" s="559">
        <v>972</v>
      </c>
      <c r="O82" s="560">
        <v>11411</v>
      </c>
      <c r="P82" s="560">
        <v>322</v>
      </c>
      <c r="Q82" s="561">
        <v>18</v>
      </c>
      <c r="R82" s="368"/>
      <c r="S82" s="558"/>
      <c r="T82" s="218">
        <f t="shared" si="13"/>
        <v>0</v>
      </c>
      <c r="U82" s="219">
        <f t="shared" si="14"/>
        <v>0</v>
      </c>
      <c r="V82" s="368"/>
      <c r="W82" s="558"/>
      <c r="X82" s="368"/>
      <c r="Y82" s="558"/>
      <c r="Z82" s="559"/>
      <c r="AA82" s="559"/>
      <c r="AB82" s="559"/>
      <c r="AC82" s="560"/>
      <c r="AD82" s="560"/>
      <c r="AE82" s="561"/>
      <c r="AF82" s="368"/>
      <c r="AG82" s="558"/>
      <c r="AH82" s="389"/>
    </row>
    <row r="83" spans="1:34" ht="12.75" customHeight="1">
      <c r="A83" s="566" t="s">
        <v>41</v>
      </c>
      <c r="B83" s="567" t="s">
        <v>608</v>
      </c>
      <c r="C83" s="568"/>
      <c r="D83" s="449">
        <v>130891</v>
      </c>
      <c r="E83" s="449">
        <v>9</v>
      </c>
      <c r="F83" s="217">
        <f t="shared" si="11"/>
        <v>94853</v>
      </c>
      <c r="G83" s="216">
        <f t="shared" si="12"/>
        <v>91195</v>
      </c>
      <c r="H83" s="368">
        <v>83903</v>
      </c>
      <c r="I83" s="558">
        <v>80170</v>
      </c>
      <c r="J83" s="368"/>
      <c r="K83" s="558"/>
      <c r="L83" s="559">
        <v>10555</v>
      </c>
      <c r="M83" s="559">
        <v>395</v>
      </c>
      <c r="N83" s="559">
        <v>0</v>
      </c>
      <c r="O83" s="560">
        <v>10555</v>
      </c>
      <c r="P83" s="560">
        <v>386</v>
      </c>
      <c r="Q83" s="561">
        <v>84</v>
      </c>
      <c r="R83" s="368"/>
      <c r="S83" s="558"/>
      <c r="T83" s="218">
        <f t="shared" si="13"/>
        <v>0</v>
      </c>
      <c r="U83" s="219">
        <f t="shared" si="14"/>
        <v>0</v>
      </c>
      <c r="V83" s="368"/>
      <c r="W83" s="558"/>
      <c r="X83" s="368"/>
      <c r="Y83" s="558"/>
      <c r="Z83" s="559"/>
      <c r="AA83" s="559"/>
      <c r="AB83" s="559"/>
      <c r="AC83" s="560"/>
      <c r="AD83" s="560"/>
      <c r="AE83" s="561"/>
      <c r="AF83" s="368"/>
      <c r="AG83" s="558"/>
      <c r="AH83" s="389"/>
    </row>
    <row r="84" spans="1:34">
      <c r="A84" s="566" t="s">
        <v>41</v>
      </c>
      <c r="B84" s="569" t="s">
        <v>609</v>
      </c>
      <c r="C84" s="570"/>
      <c r="D84" s="449">
        <v>130907</v>
      </c>
      <c r="E84" s="449">
        <v>9</v>
      </c>
      <c r="F84" s="217">
        <f t="shared" si="11"/>
        <v>67884</v>
      </c>
      <c r="G84" s="216">
        <f t="shared" si="12"/>
        <v>65934</v>
      </c>
      <c r="H84" s="368">
        <v>59475</v>
      </c>
      <c r="I84" s="558">
        <v>57168</v>
      </c>
      <c r="J84" s="368"/>
      <c r="K84" s="558"/>
      <c r="L84" s="559">
        <v>7816</v>
      </c>
      <c r="M84" s="559">
        <v>204</v>
      </c>
      <c r="N84" s="559">
        <v>389</v>
      </c>
      <c r="O84" s="560">
        <v>8440</v>
      </c>
      <c r="P84" s="560">
        <v>242</v>
      </c>
      <c r="Q84" s="561">
        <v>84</v>
      </c>
      <c r="R84" s="368"/>
      <c r="S84" s="558"/>
      <c r="T84" s="218">
        <f t="shared" si="13"/>
        <v>0</v>
      </c>
      <c r="U84" s="219">
        <f t="shared" si="14"/>
        <v>0</v>
      </c>
      <c r="V84" s="368"/>
      <c r="W84" s="558"/>
      <c r="X84" s="368"/>
      <c r="Y84" s="558"/>
      <c r="Z84" s="559"/>
      <c r="AA84" s="559"/>
      <c r="AB84" s="559"/>
      <c r="AC84" s="560"/>
      <c r="AD84" s="560"/>
      <c r="AE84" s="561"/>
      <c r="AF84" s="368"/>
      <c r="AG84" s="558"/>
      <c r="AH84" s="389"/>
    </row>
    <row r="85" spans="1:34">
      <c r="A85" s="525" t="s">
        <v>42</v>
      </c>
      <c r="B85" s="526" t="s">
        <v>534</v>
      </c>
      <c r="C85" s="527"/>
      <c r="D85" s="528">
        <v>133951</v>
      </c>
      <c r="E85" s="528">
        <v>1</v>
      </c>
      <c r="F85" s="217">
        <f t="shared" si="11"/>
        <v>809826</v>
      </c>
      <c r="G85" s="216">
        <f t="shared" si="12"/>
        <v>1073939</v>
      </c>
      <c r="H85" s="485">
        <v>634290</v>
      </c>
      <c r="I85" s="529">
        <v>628229</v>
      </c>
      <c r="J85" s="485">
        <v>160153</v>
      </c>
      <c r="K85" s="529">
        <v>147418</v>
      </c>
      <c r="L85" s="367">
        <v>15383</v>
      </c>
      <c r="M85" s="367"/>
      <c r="N85" s="367"/>
      <c r="O85" s="529">
        <v>295090</v>
      </c>
      <c r="P85" s="529"/>
      <c r="Q85" s="530"/>
      <c r="R85" s="485"/>
      <c r="S85" s="529">
        <v>3202</v>
      </c>
      <c r="T85" s="218">
        <f t="shared" si="13"/>
        <v>156753</v>
      </c>
      <c r="U85" s="219">
        <f t="shared" si="14"/>
        <v>191400</v>
      </c>
      <c r="V85" s="485">
        <v>126727</v>
      </c>
      <c r="W85" s="529">
        <v>115456</v>
      </c>
      <c r="X85" s="485">
        <v>28133</v>
      </c>
      <c r="Y85" s="529">
        <v>39367</v>
      </c>
      <c r="Z85" s="367">
        <v>1893</v>
      </c>
      <c r="AA85" s="367"/>
      <c r="AB85" s="367"/>
      <c r="AC85" s="529">
        <v>36031</v>
      </c>
      <c r="AD85" s="529"/>
      <c r="AE85" s="530"/>
      <c r="AF85" s="485"/>
      <c r="AG85" s="529">
        <v>546</v>
      </c>
      <c r="AH85" s="389"/>
    </row>
    <row r="86" spans="1:34">
      <c r="A86" s="525" t="s">
        <v>42</v>
      </c>
      <c r="B86" s="526" t="s">
        <v>535</v>
      </c>
      <c r="C86" s="527"/>
      <c r="D86" s="528">
        <v>134097</v>
      </c>
      <c r="E86" s="528">
        <v>1</v>
      </c>
      <c r="F86" s="217">
        <f t="shared" si="11"/>
        <v>938903</v>
      </c>
      <c r="G86" s="216">
        <f t="shared" si="12"/>
        <v>936327.5</v>
      </c>
      <c r="H86" s="485">
        <v>809821</v>
      </c>
      <c r="I86" s="529">
        <v>777177.5</v>
      </c>
      <c r="J86" s="485">
        <v>65271</v>
      </c>
      <c r="K86" s="529">
        <v>67653</v>
      </c>
      <c r="L86" s="367">
        <v>58618</v>
      </c>
      <c r="M86" s="367">
        <v>5193</v>
      </c>
      <c r="N86" s="367"/>
      <c r="O86" s="529">
        <v>86082</v>
      </c>
      <c r="P86" s="529">
        <v>537</v>
      </c>
      <c r="Q86" s="530">
        <v>4878</v>
      </c>
      <c r="R86" s="485"/>
      <c r="S86" s="529"/>
      <c r="T86" s="218">
        <f t="shared" si="13"/>
        <v>164858</v>
      </c>
      <c r="U86" s="219">
        <f t="shared" si="14"/>
        <v>177091</v>
      </c>
      <c r="V86" s="485">
        <v>147005</v>
      </c>
      <c r="W86" s="529">
        <v>144286</v>
      </c>
      <c r="X86" s="485">
        <v>11294</v>
      </c>
      <c r="Y86" s="529">
        <v>9083</v>
      </c>
      <c r="Z86" s="367">
        <v>6288</v>
      </c>
      <c r="AA86" s="367">
        <v>271</v>
      </c>
      <c r="AB86" s="367"/>
      <c r="AC86" s="529">
        <v>22521</v>
      </c>
      <c r="AD86" s="529">
        <v>1057</v>
      </c>
      <c r="AE86" s="530">
        <v>138</v>
      </c>
      <c r="AF86" s="485"/>
      <c r="AG86" s="529">
        <v>6</v>
      </c>
      <c r="AH86" s="389"/>
    </row>
    <row r="87" spans="1:34">
      <c r="A87" s="525" t="s">
        <v>42</v>
      </c>
      <c r="B87" s="526" t="s">
        <v>536</v>
      </c>
      <c r="C87" s="527"/>
      <c r="D87" s="528">
        <v>132903</v>
      </c>
      <c r="E87" s="528">
        <v>1</v>
      </c>
      <c r="F87" s="217">
        <f t="shared" si="11"/>
        <v>1067669</v>
      </c>
      <c r="G87" s="216">
        <f t="shared" si="12"/>
        <v>1042371</v>
      </c>
      <c r="H87" s="485">
        <v>811030</v>
      </c>
      <c r="I87" s="529">
        <v>787130</v>
      </c>
      <c r="J87" s="485">
        <v>91320</v>
      </c>
      <c r="K87" s="529">
        <v>74071</v>
      </c>
      <c r="L87" s="367">
        <v>165319</v>
      </c>
      <c r="M87" s="367"/>
      <c r="N87" s="367"/>
      <c r="O87" s="529">
        <v>181170</v>
      </c>
      <c r="P87" s="529"/>
      <c r="Q87" s="530"/>
      <c r="R87" s="485"/>
      <c r="S87" s="529"/>
      <c r="T87" s="218">
        <f t="shared" si="13"/>
        <v>106049.5</v>
      </c>
      <c r="U87" s="219">
        <f t="shared" si="14"/>
        <v>101976.5</v>
      </c>
      <c r="V87" s="485">
        <v>75005.5</v>
      </c>
      <c r="W87" s="529">
        <v>70523.5</v>
      </c>
      <c r="X87" s="485">
        <v>9959</v>
      </c>
      <c r="Y87" s="529">
        <v>9388</v>
      </c>
      <c r="Z87" s="367">
        <v>21085</v>
      </c>
      <c r="AA87" s="367"/>
      <c r="AB87" s="367"/>
      <c r="AC87" s="529">
        <v>22065</v>
      </c>
      <c r="AD87" s="529"/>
      <c r="AE87" s="530"/>
      <c r="AF87" s="485"/>
      <c r="AG87" s="529"/>
      <c r="AH87" s="389"/>
    </row>
    <row r="88" spans="1:34">
      <c r="A88" s="525" t="s">
        <v>42</v>
      </c>
      <c r="B88" s="526" t="s">
        <v>537</v>
      </c>
      <c r="C88" s="527"/>
      <c r="D88" s="528">
        <v>134130</v>
      </c>
      <c r="E88" s="528">
        <v>1</v>
      </c>
      <c r="F88" s="217">
        <f t="shared" si="11"/>
        <v>969341</v>
      </c>
      <c r="G88" s="216">
        <f t="shared" si="12"/>
        <v>979793</v>
      </c>
      <c r="H88" s="485">
        <v>762676</v>
      </c>
      <c r="I88" s="529">
        <v>712374</v>
      </c>
      <c r="J88" s="485"/>
      <c r="K88" s="529"/>
      <c r="L88" s="367">
        <v>200131</v>
      </c>
      <c r="M88" s="367">
        <v>27</v>
      </c>
      <c r="N88" s="367">
        <v>27</v>
      </c>
      <c r="O88" s="529">
        <v>264017</v>
      </c>
      <c r="P88" s="529"/>
      <c r="Q88" s="530">
        <v>69</v>
      </c>
      <c r="R88" s="485">
        <v>6480</v>
      </c>
      <c r="S88" s="529">
        <v>3333</v>
      </c>
      <c r="T88" s="218">
        <f t="shared" si="13"/>
        <v>348277</v>
      </c>
      <c r="U88" s="219">
        <f t="shared" si="14"/>
        <v>336017</v>
      </c>
      <c r="V88" s="485">
        <v>256236</v>
      </c>
      <c r="W88" s="529">
        <v>237653</v>
      </c>
      <c r="X88" s="485"/>
      <c r="Y88" s="529"/>
      <c r="Z88" s="367">
        <v>89234</v>
      </c>
      <c r="AA88" s="367">
        <v>54</v>
      </c>
      <c r="AB88" s="367">
        <v>164</v>
      </c>
      <c r="AC88" s="529">
        <v>98303</v>
      </c>
      <c r="AD88" s="529"/>
      <c r="AE88" s="530">
        <v>61</v>
      </c>
      <c r="AF88" s="485">
        <v>2589</v>
      </c>
      <c r="AG88" s="529"/>
      <c r="AH88" s="389"/>
    </row>
    <row r="89" spans="1:34">
      <c r="A89" s="525" t="s">
        <v>42</v>
      </c>
      <c r="B89" s="526" t="s">
        <v>538</v>
      </c>
      <c r="C89" s="527"/>
      <c r="D89" s="528">
        <v>137351</v>
      </c>
      <c r="E89" s="528">
        <v>1</v>
      </c>
      <c r="F89" s="217">
        <f t="shared" si="11"/>
        <v>804124</v>
      </c>
      <c r="G89" s="216">
        <f t="shared" si="12"/>
        <v>774380</v>
      </c>
      <c r="H89" s="485">
        <v>660671</v>
      </c>
      <c r="I89" s="529">
        <v>645633</v>
      </c>
      <c r="J89" s="485">
        <v>113549</v>
      </c>
      <c r="K89" s="529">
        <v>103141</v>
      </c>
      <c r="L89" s="367">
        <v>25225</v>
      </c>
      <c r="M89" s="367">
        <v>4679</v>
      </c>
      <c r="N89" s="367"/>
      <c r="O89" s="529">
        <v>21808</v>
      </c>
      <c r="P89" s="529">
        <v>3798</v>
      </c>
      <c r="Q89" s="530"/>
      <c r="R89" s="485"/>
      <c r="S89" s="529"/>
      <c r="T89" s="218">
        <f t="shared" si="13"/>
        <v>147339</v>
      </c>
      <c r="U89" s="219">
        <f t="shared" si="14"/>
        <v>151689</v>
      </c>
      <c r="V89" s="485">
        <v>130299</v>
      </c>
      <c r="W89" s="529">
        <v>136033</v>
      </c>
      <c r="X89" s="485">
        <v>13846</v>
      </c>
      <c r="Y89" s="529">
        <v>12604</v>
      </c>
      <c r="Z89" s="367">
        <v>3194</v>
      </c>
      <c r="AA89" s="367"/>
      <c r="AB89" s="367"/>
      <c r="AC89" s="529">
        <v>3052</v>
      </c>
      <c r="AD89" s="529"/>
      <c r="AE89" s="530"/>
      <c r="AF89" s="485"/>
      <c r="AG89" s="529"/>
      <c r="AH89" s="389"/>
    </row>
    <row r="90" spans="1:34">
      <c r="A90" s="525" t="s">
        <v>42</v>
      </c>
      <c r="B90" s="526" t="s">
        <v>539</v>
      </c>
      <c r="C90" s="531" t="s">
        <v>286</v>
      </c>
      <c r="D90" s="528">
        <v>133669</v>
      </c>
      <c r="E90" s="532">
        <v>1</v>
      </c>
      <c r="F90" s="217">
        <f t="shared" si="11"/>
        <v>614655</v>
      </c>
      <c r="G90" s="216">
        <f t="shared" si="12"/>
        <v>617158</v>
      </c>
      <c r="H90" s="485">
        <v>440745</v>
      </c>
      <c r="I90" s="529">
        <v>422335</v>
      </c>
      <c r="J90" s="485">
        <v>86137</v>
      </c>
      <c r="K90" s="529">
        <v>76266</v>
      </c>
      <c r="L90" s="367">
        <v>87471</v>
      </c>
      <c r="M90" s="367">
        <v>302</v>
      </c>
      <c r="N90" s="367"/>
      <c r="O90" s="529">
        <v>118271</v>
      </c>
      <c r="P90" s="529">
        <v>286</v>
      </c>
      <c r="Q90" s="530"/>
      <c r="R90" s="485"/>
      <c r="S90" s="529"/>
      <c r="T90" s="218">
        <f t="shared" si="13"/>
        <v>71073</v>
      </c>
      <c r="U90" s="219">
        <f t="shared" si="14"/>
        <v>65783</v>
      </c>
      <c r="V90" s="485">
        <v>47100</v>
      </c>
      <c r="W90" s="529">
        <v>46082</v>
      </c>
      <c r="X90" s="485">
        <v>11413</v>
      </c>
      <c r="Y90" s="529">
        <v>6819</v>
      </c>
      <c r="Z90" s="367">
        <v>12243</v>
      </c>
      <c r="AA90" s="367">
        <v>317</v>
      </c>
      <c r="AB90" s="367"/>
      <c r="AC90" s="529">
        <v>12404</v>
      </c>
      <c r="AD90" s="529">
        <v>478</v>
      </c>
      <c r="AE90" s="530"/>
      <c r="AF90" s="485"/>
      <c r="AG90" s="529"/>
      <c r="AH90" s="389"/>
    </row>
    <row r="91" spans="1:34">
      <c r="A91" s="525" t="s">
        <v>42</v>
      </c>
      <c r="B91" s="526" t="s">
        <v>540</v>
      </c>
      <c r="C91" s="527"/>
      <c r="D91" s="528">
        <v>133650</v>
      </c>
      <c r="E91" s="528">
        <v>3</v>
      </c>
      <c r="F91" s="217">
        <f t="shared" si="11"/>
        <v>288708</v>
      </c>
      <c r="G91" s="216">
        <f t="shared" si="12"/>
        <v>249477</v>
      </c>
      <c r="H91" s="485">
        <v>283949</v>
      </c>
      <c r="I91" s="529">
        <v>242514</v>
      </c>
      <c r="J91" s="485">
        <v>3251</v>
      </c>
      <c r="K91" s="529">
        <v>4724</v>
      </c>
      <c r="L91" s="367">
        <v>1508</v>
      </c>
      <c r="M91" s="367"/>
      <c r="N91" s="367"/>
      <c r="O91" s="529">
        <v>2239</v>
      </c>
      <c r="P91" s="529"/>
      <c r="Q91" s="530"/>
      <c r="R91" s="485"/>
      <c r="S91" s="529"/>
      <c r="T91" s="218">
        <f t="shared" si="13"/>
        <v>49707</v>
      </c>
      <c r="U91" s="219">
        <f t="shared" si="14"/>
        <v>43717</v>
      </c>
      <c r="V91" s="485">
        <v>29439</v>
      </c>
      <c r="W91" s="529">
        <v>29201</v>
      </c>
      <c r="X91" s="485">
        <v>18261</v>
      </c>
      <c r="Y91" s="529">
        <v>13575</v>
      </c>
      <c r="Z91" s="367">
        <v>2007</v>
      </c>
      <c r="AA91" s="367"/>
      <c r="AB91" s="367"/>
      <c r="AC91" s="529">
        <v>941</v>
      </c>
      <c r="AD91" s="529"/>
      <c r="AE91" s="530"/>
      <c r="AF91" s="485"/>
      <c r="AG91" s="529"/>
      <c r="AH91" s="389"/>
    </row>
    <row r="92" spans="1:34">
      <c r="A92" s="525" t="s">
        <v>42</v>
      </c>
      <c r="B92" s="526" t="s">
        <v>541</v>
      </c>
      <c r="C92" s="527"/>
      <c r="D92" s="528">
        <v>136172</v>
      </c>
      <c r="E92" s="528">
        <v>3</v>
      </c>
      <c r="F92" s="217">
        <f t="shared" si="11"/>
        <v>349746</v>
      </c>
      <c r="G92" s="216">
        <f t="shared" si="12"/>
        <v>323034</v>
      </c>
      <c r="H92" s="485">
        <v>340074</v>
      </c>
      <c r="I92" s="529">
        <v>313670</v>
      </c>
      <c r="J92" s="485">
        <v>4422</v>
      </c>
      <c r="K92" s="529">
        <v>3437</v>
      </c>
      <c r="L92" s="367">
        <v>5250</v>
      </c>
      <c r="M92" s="367"/>
      <c r="N92" s="367"/>
      <c r="O92" s="529">
        <v>5927</v>
      </c>
      <c r="P92" s="529"/>
      <c r="Q92" s="530"/>
      <c r="R92" s="485"/>
      <c r="S92" s="529"/>
      <c r="T92" s="218">
        <f t="shared" si="13"/>
        <v>26724</v>
      </c>
      <c r="U92" s="219">
        <f t="shared" si="14"/>
        <v>26753</v>
      </c>
      <c r="V92" s="485">
        <v>22572</v>
      </c>
      <c r="W92" s="529">
        <v>23319</v>
      </c>
      <c r="X92" s="485">
        <v>2034</v>
      </c>
      <c r="Y92" s="529">
        <v>2391</v>
      </c>
      <c r="Z92" s="367">
        <v>2118</v>
      </c>
      <c r="AA92" s="367"/>
      <c r="AB92" s="367"/>
      <c r="AC92" s="529">
        <v>1043</v>
      </c>
      <c r="AD92" s="529"/>
      <c r="AE92" s="530"/>
      <c r="AF92" s="485"/>
      <c r="AG92" s="529"/>
      <c r="AH92" s="389"/>
    </row>
    <row r="93" spans="1:34">
      <c r="A93" s="525" t="s">
        <v>42</v>
      </c>
      <c r="B93" s="526" t="s">
        <v>542</v>
      </c>
      <c r="C93" s="527"/>
      <c r="D93" s="528">
        <v>138354</v>
      </c>
      <c r="E93" s="528">
        <v>3</v>
      </c>
      <c r="F93" s="217">
        <f t="shared" si="11"/>
        <v>262581.5</v>
      </c>
      <c r="G93" s="216">
        <f t="shared" si="12"/>
        <v>255681</v>
      </c>
      <c r="H93" s="485">
        <v>151179.5</v>
      </c>
      <c r="I93" s="529">
        <v>155115</v>
      </c>
      <c r="J93" s="485">
        <v>2841</v>
      </c>
      <c r="K93" s="529">
        <v>2979</v>
      </c>
      <c r="L93" s="367">
        <v>87871</v>
      </c>
      <c r="M93" s="367">
        <v>20690</v>
      </c>
      <c r="N93" s="367"/>
      <c r="O93" s="529">
        <v>80206</v>
      </c>
      <c r="P93" s="529">
        <v>17381</v>
      </c>
      <c r="Q93" s="530"/>
      <c r="R93" s="485"/>
      <c r="S93" s="529"/>
      <c r="T93" s="218">
        <f t="shared" si="13"/>
        <v>34189.5</v>
      </c>
      <c r="U93" s="219">
        <f t="shared" si="14"/>
        <v>39260</v>
      </c>
      <c r="V93" s="485">
        <v>9409</v>
      </c>
      <c r="W93" s="529">
        <v>9889</v>
      </c>
      <c r="X93" s="485">
        <v>348</v>
      </c>
      <c r="Y93" s="529">
        <v>587</v>
      </c>
      <c r="Z93" s="367">
        <v>19110.5</v>
      </c>
      <c r="AA93" s="367">
        <v>5322</v>
      </c>
      <c r="AB93" s="367"/>
      <c r="AC93" s="529">
        <v>24618</v>
      </c>
      <c r="AD93" s="529">
        <v>4166</v>
      </c>
      <c r="AE93" s="530"/>
      <c r="AF93" s="485"/>
      <c r="AG93" s="529"/>
      <c r="AH93" s="389"/>
    </row>
    <row r="94" spans="1:34">
      <c r="A94" s="525" t="s">
        <v>42</v>
      </c>
      <c r="B94" s="526" t="s">
        <v>543</v>
      </c>
      <c r="C94" s="527"/>
      <c r="D94" s="528">
        <v>433660</v>
      </c>
      <c r="E94" s="528">
        <v>4</v>
      </c>
      <c r="F94" s="217">
        <f t="shared" si="11"/>
        <v>311494</v>
      </c>
      <c r="G94" s="216">
        <f t="shared" si="12"/>
        <v>336513</v>
      </c>
      <c r="H94" s="485">
        <v>247805</v>
      </c>
      <c r="I94" s="529">
        <v>265796</v>
      </c>
      <c r="J94" s="485">
        <v>9361</v>
      </c>
      <c r="K94" s="529">
        <v>9596</v>
      </c>
      <c r="L94" s="367">
        <v>54321</v>
      </c>
      <c r="M94" s="367">
        <v>7</v>
      </c>
      <c r="N94" s="367"/>
      <c r="O94" s="529">
        <v>61121</v>
      </c>
      <c r="P94" s="529"/>
      <c r="Q94" s="530"/>
      <c r="R94" s="485"/>
      <c r="S94" s="529"/>
      <c r="T94" s="218">
        <f t="shared" si="13"/>
        <v>21732</v>
      </c>
      <c r="U94" s="219">
        <f t="shared" si="14"/>
        <v>20490</v>
      </c>
      <c r="V94" s="485">
        <v>11104</v>
      </c>
      <c r="W94" s="529">
        <v>11487</v>
      </c>
      <c r="X94" s="485">
        <v>2658</v>
      </c>
      <c r="Y94" s="529">
        <v>2324</v>
      </c>
      <c r="Z94" s="367">
        <v>7970</v>
      </c>
      <c r="AA94" s="367"/>
      <c r="AB94" s="367"/>
      <c r="AC94" s="529">
        <v>6679</v>
      </c>
      <c r="AD94" s="529"/>
      <c r="AE94" s="530"/>
      <c r="AF94" s="485"/>
      <c r="AG94" s="529"/>
      <c r="AH94" s="389"/>
    </row>
    <row r="95" spans="1:34">
      <c r="A95" s="525" t="s">
        <v>42</v>
      </c>
      <c r="B95" s="526" t="s">
        <v>544</v>
      </c>
      <c r="C95" s="527"/>
      <c r="D95" s="528">
        <v>262129</v>
      </c>
      <c r="E95" s="528">
        <v>6</v>
      </c>
      <c r="F95" s="217">
        <f t="shared" si="11"/>
        <v>28384</v>
      </c>
      <c r="G95" s="216">
        <f t="shared" si="12"/>
        <v>27640</v>
      </c>
      <c r="H95" s="485">
        <v>28384</v>
      </c>
      <c r="I95" s="529">
        <v>27640</v>
      </c>
      <c r="J95" s="485"/>
      <c r="K95" s="529"/>
      <c r="L95" s="367"/>
      <c r="M95" s="367"/>
      <c r="N95" s="367"/>
      <c r="O95" s="529"/>
      <c r="P95" s="529"/>
      <c r="Q95" s="530"/>
      <c r="R95" s="485"/>
      <c r="S95" s="529"/>
      <c r="T95" s="218">
        <f t="shared" si="13"/>
        <v>0</v>
      </c>
      <c r="U95" s="219">
        <f t="shared" si="14"/>
        <v>0</v>
      </c>
      <c r="V95" s="485"/>
      <c r="W95" s="529"/>
      <c r="X95" s="485"/>
      <c r="Y95" s="529"/>
      <c r="Z95" s="367"/>
      <c r="AA95" s="367"/>
      <c r="AB95" s="367"/>
      <c r="AC95" s="529"/>
      <c r="AD95" s="529"/>
      <c r="AE95" s="530"/>
      <c r="AF95" s="485"/>
      <c r="AG95" s="529"/>
      <c r="AH95" s="389"/>
    </row>
    <row r="96" spans="1:34" ht="15">
      <c r="A96" s="533" t="s">
        <v>42</v>
      </c>
      <c r="B96" s="534" t="s">
        <v>545</v>
      </c>
      <c r="C96" s="535"/>
      <c r="D96" s="536">
        <v>132709</v>
      </c>
      <c r="E96" s="546">
        <v>7</v>
      </c>
      <c r="F96" s="217">
        <f t="shared" si="11"/>
        <v>900437</v>
      </c>
      <c r="G96" s="216">
        <f t="shared" si="12"/>
        <v>898394</v>
      </c>
      <c r="H96" s="368">
        <v>704435</v>
      </c>
      <c r="I96" s="414">
        <v>682231</v>
      </c>
      <c r="J96" s="368">
        <v>73550</v>
      </c>
      <c r="K96" s="414">
        <v>73576</v>
      </c>
      <c r="L96" s="367">
        <v>119137</v>
      </c>
      <c r="M96" s="367">
        <v>0</v>
      </c>
      <c r="N96" s="367">
        <v>3315</v>
      </c>
      <c r="O96" s="415">
        <v>137166</v>
      </c>
      <c r="P96" s="415">
        <v>0</v>
      </c>
      <c r="Q96" s="416">
        <v>5421</v>
      </c>
      <c r="R96" s="368">
        <v>0</v>
      </c>
      <c r="S96" s="414">
        <v>0</v>
      </c>
      <c r="T96" s="218">
        <f t="shared" si="13"/>
        <v>0</v>
      </c>
      <c r="U96" s="219">
        <f t="shared" si="14"/>
        <v>0</v>
      </c>
      <c r="V96" s="368"/>
      <c r="W96" s="414"/>
      <c r="X96" s="368"/>
      <c r="Y96" s="414"/>
      <c r="Z96" s="367"/>
      <c r="AA96" s="367"/>
      <c r="AB96" s="367"/>
      <c r="AC96" s="415"/>
      <c r="AD96" s="415"/>
      <c r="AE96" s="416"/>
      <c r="AF96" s="368"/>
      <c r="AG96" s="414"/>
      <c r="AH96" s="389"/>
    </row>
    <row r="97" spans="1:34" ht="15">
      <c r="A97" s="533" t="s">
        <v>42</v>
      </c>
      <c r="B97" s="538" t="s">
        <v>546</v>
      </c>
      <c r="C97" s="539"/>
      <c r="D97" s="536">
        <v>133021</v>
      </c>
      <c r="E97" s="536">
        <v>7</v>
      </c>
      <c r="F97" s="217">
        <f t="shared" si="11"/>
        <v>42598</v>
      </c>
      <c r="G97" s="216">
        <f t="shared" si="12"/>
        <v>39950</v>
      </c>
      <c r="H97" s="368">
        <v>34057</v>
      </c>
      <c r="I97" s="414">
        <v>31859</v>
      </c>
      <c r="J97" s="368">
        <v>2432</v>
      </c>
      <c r="K97" s="414">
        <v>2190</v>
      </c>
      <c r="L97" s="367">
        <v>6109</v>
      </c>
      <c r="M97" s="367">
        <v>0</v>
      </c>
      <c r="N97" s="367">
        <v>0</v>
      </c>
      <c r="O97" s="415">
        <v>5901</v>
      </c>
      <c r="P97" s="415">
        <v>0</v>
      </c>
      <c r="Q97" s="416">
        <v>0</v>
      </c>
      <c r="R97" s="368">
        <v>0</v>
      </c>
      <c r="S97" s="414">
        <v>0</v>
      </c>
      <c r="T97" s="218">
        <f t="shared" si="13"/>
        <v>0</v>
      </c>
      <c r="U97" s="219">
        <f t="shared" si="14"/>
        <v>0</v>
      </c>
      <c r="V97" s="368"/>
      <c r="W97" s="414"/>
      <c r="X97" s="368"/>
      <c r="Y97" s="414"/>
      <c r="Z97" s="367"/>
      <c r="AA97" s="367"/>
      <c r="AB97" s="367"/>
      <c r="AC97" s="415"/>
      <c r="AD97" s="415"/>
      <c r="AE97" s="416"/>
      <c r="AF97" s="368"/>
      <c r="AG97" s="414"/>
      <c r="AH97" s="389"/>
    </row>
    <row r="98" spans="1:34" ht="15">
      <c r="A98" s="533" t="s">
        <v>42</v>
      </c>
      <c r="B98" s="534" t="s">
        <v>547</v>
      </c>
      <c r="C98" s="540"/>
      <c r="D98" s="536">
        <v>133386</v>
      </c>
      <c r="E98" s="536">
        <v>7</v>
      </c>
      <c r="F98" s="217">
        <f t="shared" si="11"/>
        <v>307561</v>
      </c>
      <c r="G98" s="216">
        <f t="shared" si="12"/>
        <v>291278</v>
      </c>
      <c r="H98" s="368">
        <v>214230</v>
      </c>
      <c r="I98" s="414">
        <v>192533</v>
      </c>
      <c r="J98" s="368">
        <v>0</v>
      </c>
      <c r="K98" s="414">
        <v>0</v>
      </c>
      <c r="L98" s="367">
        <v>93331</v>
      </c>
      <c r="M98" s="367">
        <v>0</v>
      </c>
      <c r="N98" s="367">
        <v>0</v>
      </c>
      <c r="O98" s="415">
        <v>98745</v>
      </c>
      <c r="P98" s="415">
        <v>0</v>
      </c>
      <c r="Q98" s="416">
        <v>0</v>
      </c>
      <c r="R98" s="368">
        <v>0</v>
      </c>
      <c r="S98" s="414">
        <v>0</v>
      </c>
      <c r="T98" s="218">
        <f t="shared" si="13"/>
        <v>0</v>
      </c>
      <c r="U98" s="219">
        <f t="shared" si="14"/>
        <v>0</v>
      </c>
      <c r="V98" s="368"/>
      <c r="W98" s="414"/>
      <c r="X98" s="368"/>
      <c r="Y98" s="414"/>
      <c r="Z98" s="367"/>
      <c r="AA98" s="367"/>
      <c r="AB98" s="367"/>
      <c r="AC98" s="415"/>
      <c r="AD98" s="415"/>
      <c r="AE98" s="416"/>
      <c r="AF98" s="368"/>
      <c r="AG98" s="414"/>
      <c r="AH98" s="389"/>
    </row>
    <row r="99" spans="1:34" ht="15">
      <c r="A99" s="533" t="s">
        <v>42</v>
      </c>
      <c r="B99" s="541" t="s">
        <v>548</v>
      </c>
      <c r="C99" s="540"/>
      <c r="D99" s="542">
        <v>133508</v>
      </c>
      <c r="E99" s="542">
        <v>7</v>
      </c>
      <c r="F99" s="217">
        <f t="shared" si="11"/>
        <v>309711</v>
      </c>
      <c r="G99" s="216">
        <f t="shared" si="12"/>
        <v>297764</v>
      </c>
      <c r="H99" s="368">
        <v>236154</v>
      </c>
      <c r="I99" s="414">
        <v>217936</v>
      </c>
      <c r="J99" s="368">
        <v>10726</v>
      </c>
      <c r="K99" s="414">
        <v>10996</v>
      </c>
      <c r="L99" s="367">
        <v>60081</v>
      </c>
      <c r="M99" s="367">
        <v>0</v>
      </c>
      <c r="N99" s="367">
        <v>21</v>
      </c>
      <c r="O99" s="415">
        <v>68824</v>
      </c>
      <c r="P99" s="415">
        <v>0</v>
      </c>
      <c r="Q99" s="416">
        <v>0</v>
      </c>
      <c r="R99" s="368">
        <v>2729</v>
      </c>
      <c r="S99" s="414">
        <v>8</v>
      </c>
      <c r="T99" s="218">
        <f t="shared" si="13"/>
        <v>0</v>
      </c>
      <c r="U99" s="219">
        <f t="shared" si="14"/>
        <v>0</v>
      </c>
      <c r="V99" s="368"/>
      <c r="W99" s="414"/>
      <c r="X99" s="368"/>
      <c r="Y99" s="414"/>
      <c r="Z99" s="367"/>
      <c r="AA99" s="367"/>
      <c r="AB99" s="367"/>
      <c r="AC99" s="415"/>
      <c r="AD99" s="415"/>
      <c r="AE99" s="416"/>
      <c r="AF99" s="368"/>
      <c r="AG99" s="414"/>
      <c r="AH99" s="389"/>
    </row>
    <row r="100" spans="1:34" ht="15">
      <c r="A100" s="533" t="s">
        <v>42</v>
      </c>
      <c r="B100" s="534" t="s">
        <v>549</v>
      </c>
      <c r="C100" s="543"/>
      <c r="D100" s="536">
        <v>133702</v>
      </c>
      <c r="E100" s="536">
        <v>7</v>
      </c>
      <c r="F100" s="217">
        <f t="shared" si="11"/>
        <v>591874</v>
      </c>
      <c r="G100" s="216">
        <f t="shared" si="12"/>
        <v>560434</v>
      </c>
      <c r="H100" s="368">
        <v>399917</v>
      </c>
      <c r="I100" s="414">
        <v>371193</v>
      </c>
      <c r="J100" s="368">
        <v>18399</v>
      </c>
      <c r="K100" s="414">
        <v>17743</v>
      </c>
      <c r="L100" s="367">
        <v>173558</v>
      </c>
      <c r="M100" s="367">
        <v>0</v>
      </c>
      <c r="N100" s="367">
        <v>0</v>
      </c>
      <c r="O100" s="415">
        <v>171498</v>
      </c>
      <c r="P100" s="415">
        <v>0</v>
      </c>
      <c r="Q100" s="416">
        <v>0</v>
      </c>
      <c r="R100" s="368">
        <v>0</v>
      </c>
      <c r="S100" s="414">
        <v>0</v>
      </c>
      <c r="T100" s="218">
        <f t="shared" si="13"/>
        <v>0</v>
      </c>
      <c r="U100" s="219">
        <f t="shared" si="14"/>
        <v>0</v>
      </c>
      <c r="V100" s="368"/>
      <c r="W100" s="414"/>
      <c r="X100" s="368"/>
      <c r="Y100" s="414"/>
      <c r="Z100" s="367"/>
      <c r="AA100" s="367"/>
      <c r="AB100" s="367"/>
      <c r="AC100" s="415"/>
      <c r="AD100" s="415"/>
      <c r="AE100" s="416"/>
      <c r="AF100" s="368"/>
      <c r="AG100" s="414"/>
      <c r="AH100" s="389"/>
    </row>
    <row r="101" spans="1:34" ht="15">
      <c r="A101" s="533" t="s">
        <v>42</v>
      </c>
      <c r="B101" s="534" t="s">
        <v>550</v>
      </c>
      <c r="C101" s="543"/>
      <c r="D101" s="536">
        <v>134608</v>
      </c>
      <c r="E101" s="536">
        <v>7</v>
      </c>
      <c r="F101" s="217">
        <f t="shared" si="11"/>
        <v>333848.5</v>
      </c>
      <c r="G101" s="216">
        <f t="shared" si="12"/>
        <v>330168</v>
      </c>
      <c r="H101" s="368">
        <v>232418.5</v>
      </c>
      <c r="I101" s="414">
        <v>229830</v>
      </c>
      <c r="J101" s="368">
        <v>21206</v>
      </c>
      <c r="K101" s="414">
        <v>18212</v>
      </c>
      <c r="L101" s="367">
        <v>75080</v>
      </c>
      <c r="M101" s="367">
        <v>4722</v>
      </c>
      <c r="N101" s="367">
        <v>0</v>
      </c>
      <c r="O101" s="415">
        <v>81716</v>
      </c>
      <c r="P101" s="415">
        <v>0</v>
      </c>
      <c r="Q101" s="416">
        <v>0</v>
      </c>
      <c r="R101" s="368">
        <v>422</v>
      </c>
      <c r="S101" s="414">
        <v>410</v>
      </c>
      <c r="T101" s="218">
        <f t="shared" si="13"/>
        <v>0</v>
      </c>
      <c r="U101" s="219">
        <f t="shared" si="14"/>
        <v>0</v>
      </c>
      <c r="V101" s="368"/>
      <c r="W101" s="414"/>
      <c r="X101" s="368"/>
      <c r="Y101" s="414"/>
      <c r="Z101" s="367"/>
      <c r="AA101" s="367"/>
      <c r="AB101" s="367"/>
      <c r="AC101" s="415"/>
      <c r="AD101" s="415"/>
      <c r="AE101" s="416"/>
      <c r="AF101" s="368"/>
      <c r="AG101" s="414"/>
      <c r="AH101" s="389"/>
    </row>
    <row r="102" spans="1:34" ht="15">
      <c r="A102" s="533" t="s">
        <v>42</v>
      </c>
      <c r="B102" s="538" t="s">
        <v>551</v>
      </c>
      <c r="C102" s="539"/>
      <c r="D102" s="536">
        <v>135717</v>
      </c>
      <c r="E102" s="536">
        <v>7</v>
      </c>
      <c r="F102" s="217">
        <f t="shared" si="11"/>
        <v>1544556</v>
      </c>
      <c r="G102" s="216">
        <f t="shared" si="12"/>
        <v>1513655</v>
      </c>
      <c r="H102" s="368">
        <v>1416762</v>
      </c>
      <c r="I102" s="414">
        <v>1385524</v>
      </c>
      <c r="J102" s="368">
        <v>11001</v>
      </c>
      <c r="K102" s="414">
        <v>8692</v>
      </c>
      <c r="L102" s="367">
        <v>116793</v>
      </c>
      <c r="M102" s="367">
        <v>0</v>
      </c>
      <c r="N102" s="367">
        <v>0</v>
      </c>
      <c r="O102" s="415">
        <v>119439</v>
      </c>
      <c r="P102" s="415">
        <v>0</v>
      </c>
      <c r="Q102" s="416">
        <v>0</v>
      </c>
      <c r="R102" s="368">
        <v>0</v>
      </c>
      <c r="S102" s="414">
        <v>0</v>
      </c>
      <c r="T102" s="218">
        <f t="shared" si="13"/>
        <v>0</v>
      </c>
      <c r="U102" s="219">
        <f t="shared" si="14"/>
        <v>0</v>
      </c>
      <c r="V102" s="368"/>
      <c r="W102" s="414"/>
      <c r="X102" s="368"/>
      <c r="Y102" s="414"/>
      <c r="Z102" s="367"/>
      <c r="AA102" s="367"/>
      <c r="AB102" s="367"/>
      <c r="AC102" s="415"/>
      <c r="AD102" s="415"/>
      <c r="AE102" s="416"/>
      <c r="AF102" s="368"/>
      <c r="AG102" s="414"/>
      <c r="AH102" s="389"/>
    </row>
    <row r="103" spans="1:34" ht="15">
      <c r="A103" s="544" t="s">
        <v>42</v>
      </c>
      <c r="B103" s="538" t="s">
        <v>552</v>
      </c>
      <c r="C103" s="539"/>
      <c r="D103" s="545">
        <v>136233</v>
      </c>
      <c r="E103" s="536">
        <v>7</v>
      </c>
      <c r="F103" s="217">
        <f t="shared" si="11"/>
        <v>144671</v>
      </c>
      <c r="G103" s="216">
        <f t="shared" si="12"/>
        <v>135605</v>
      </c>
      <c r="H103" s="368">
        <v>94716</v>
      </c>
      <c r="I103" s="414">
        <v>89310</v>
      </c>
      <c r="J103" s="368">
        <v>15153</v>
      </c>
      <c r="K103" s="414">
        <v>13122</v>
      </c>
      <c r="L103" s="367">
        <v>33941</v>
      </c>
      <c r="M103" s="367">
        <v>0</v>
      </c>
      <c r="N103" s="367">
        <v>0</v>
      </c>
      <c r="O103" s="415">
        <v>33173</v>
      </c>
      <c r="P103" s="415">
        <v>0</v>
      </c>
      <c r="Q103" s="416">
        <v>0</v>
      </c>
      <c r="R103" s="368">
        <v>861</v>
      </c>
      <c r="S103" s="414">
        <v>0</v>
      </c>
      <c r="T103" s="218">
        <f t="shared" si="13"/>
        <v>0</v>
      </c>
      <c r="U103" s="219">
        <f t="shared" si="14"/>
        <v>0</v>
      </c>
      <c r="V103" s="368"/>
      <c r="W103" s="414"/>
      <c r="X103" s="368"/>
      <c r="Y103" s="414"/>
      <c r="Z103" s="367"/>
      <c r="AA103" s="367"/>
      <c r="AB103" s="367"/>
      <c r="AC103" s="415"/>
      <c r="AD103" s="415"/>
      <c r="AE103" s="416"/>
      <c r="AF103" s="368"/>
      <c r="AG103" s="414"/>
      <c r="AH103" s="389"/>
    </row>
    <row r="104" spans="1:34" ht="15">
      <c r="A104" s="533" t="s">
        <v>42</v>
      </c>
      <c r="B104" s="534" t="s">
        <v>553</v>
      </c>
      <c r="C104" s="535"/>
      <c r="D104" s="536">
        <v>136358</v>
      </c>
      <c r="E104" s="546">
        <v>7</v>
      </c>
      <c r="F104" s="217">
        <f t="shared" si="11"/>
        <v>560158</v>
      </c>
      <c r="G104" s="216">
        <f t="shared" si="12"/>
        <v>559732</v>
      </c>
      <c r="H104" s="368">
        <v>466381</v>
      </c>
      <c r="I104" s="414">
        <v>454045</v>
      </c>
      <c r="J104" s="368">
        <v>10962</v>
      </c>
      <c r="K104" s="414">
        <v>10698</v>
      </c>
      <c r="L104" s="367">
        <v>80445</v>
      </c>
      <c r="M104" s="367">
        <v>0</v>
      </c>
      <c r="N104" s="367">
        <v>2370</v>
      </c>
      <c r="O104" s="415">
        <v>92471</v>
      </c>
      <c r="P104" s="415">
        <v>0</v>
      </c>
      <c r="Q104" s="416">
        <v>2518</v>
      </c>
      <c r="R104" s="368">
        <v>0</v>
      </c>
      <c r="S104" s="414">
        <v>0</v>
      </c>
      <c r="T104" s="218">
        <f t="shared" si="13"/>
        <v>0</v>
      </c>
      <c r="U104" s="219">
        <f t="shared" si="14"/>
        <v>0</v>
      </c>
      <c r="V104" s="368"/>
      <c r="W104" s="414"/>
      <c r="X104" s="368"/>
      <c r="Y104" s="414"/>
      <c r="Z104" s="367"/>
      <c r="AA104" s="367"/>
      <c r="AB104" s="367"/>
      <c r="AC104" s="415"/>
      <c r="AD104" s="415"/>
      <c r="AE104" s="416"/>
      <c r="AF104" s="368"/>
      <c r="AG104" s="414"/>
      <c r="AH104" s="389"/>
    </row>
    <row r="105" spans="1:34" ht="15">
      <c r="A105" s="533" t="s">
        <v>42</v>
      </c>
      <c r="B105" s="534" t="s">
        <v>554</v>
      </c>
      <c r="C105" s="535"/>
      <c r="D105" s="536">
        <v>136516</v>
      </c>
      <c r="E105" s="546">
        <v>7</v>
      </c>
      <c r="F105" s="217">
        <f t="shared" si="11"/>
        <v>233153</v>
      </c>
      <c r="G105" s="216">
        <f t="shared" si="12"/>
        <v>229208</v>
      </c>
      <c r="H105" s="368">
        <v>156822</v>
      </c>
      <c r="I105" s="414">
        <v>149261</v>
      </c>
      <c r="J105" s="368">
        <v>19737</v>
      </c>
      <c r="K105" s="414">
        <v>18695</v>
      </c>
      <c r="L105" s="367">
        <v>56594</v>
      </c>
      <c r="M105" s="367">
        <v>0</v>
      </c>
      <c r="N105" s="367">
        <v>0</v>
      </c>
      <c r="O105" s="415">
        <v>61252</v>
      </c>
      <c r="P105" s="415">
        <v>0</v>
      </c>
      <c r="Q105" s="416">
        <v>0</v>
      </c>
      <c r="R105" s="368">
        <v>0</v>
      </c>
      <c r="S105" s="414">
        <v>0</v>
      </c>
      <c r="T105" s="218">
        <f t="shared" si="13"/>
        <v>0</v>
      </c>
      <c r="U105" s="219">
        <f t="shared" si="14"/>
        <v>0</v>
      </c>
      <c r="V105" s="368"/>
      <c r="W105" s="414"/>
      <c r="X105" s="368"/>
      <c r="Y105" s="414"/>
      <c r="Z105" s="367"/>
      <c r="AA105" s="367"/>
      <c r="AB105" s="367"/>
      <c r="AC105" s="415"/>
      <c r="AD105" s="415"/>
      <c r="AE105" s="416"/>
      <c r="AF105" s="368"/>
      <c r="AG105" s="414"/>
      <c r="AH105" s="389"/>
    </row>
    <row r="106" spans="1:34" ht="15">
      <c r="A106" s="533" t="s">
        <v>42</v>
      </c>
      <c r="B106" s="534" t="s">
        <v>555</v>
      </c>
      <c r="C106" s="535"/>
      <c r="D106" s="536">
        <v>137281</v>
      </c>
      <c r="E106" s="546">
        <v>7</v>
      </c>
      <c r="F106" s="217">
        <f t="shared" si="11"/>
        <v>135979</v>
      </c>
      <c r="G106" s="216">
        <f t="shared" si="12"/>
        <v>136363</v>
      </c>
      <c r="H106" s="368">
        <v>92589</v>
      </c>
      <c r="I106" s="414">
        <v>88649</v>
      </c>
      <c r="J106" s="368">
        <v>11128</v>
      </c>
      <c r="K106" s="414">
        <v>13661</v>
      </c>
      <c r="L106" s="367">
        <v>32262</v>
      </c>
      <c r="M106" s="367">
        <v>0</v>
      </c>
      <c r="N106" s="367">
        <v>0</v>
      </c>
      <c r="O106" s="415">
        <v>34053</v>
      </c>
      <c r="P106" s="415">
        <v>0</v>
      </c>
      <c r="Q106" s="416">
        <v>0</v>
      </c>
      <c r="R106" s="368">
        <v>0</v>
      </c>
      <c r="S106" s="414">
        <v>0</v>
      </c>
      <c r="T106" s="218">
        <f t="shared" si="13"/>
        <v>0</v>
      </c>
      <c r="U106" s="219">
        <f t="shared" si="14"/>
        <v>0</v>
      </c>
      <c r="V106" s="368"/>
      <c r="W106" s="414"/>
      <c r="X106" s="368"/>
      <c r="Y106" s="414"/>
      <c r="Z106" s="367"/>
      <c r="AA106" s="367"/>
      <c r="AB106" s="367"/>
      <c r="AC106" s="415"/>
      <c r="AD106" s="415"/>
      <c r="AE106" s="416"/>
      <c r="AF106" s="368"/>
      <c r="AG106" s="414"/>
      <c r="AH106" s="389"/>
    </row>
    <row r="107" spans="1:34" ht="15">
      <c r="A107" s="533" t="s">
        <v>42</v>
      </c>
      <c r="B107" s="538" t="s">
        <v>556</v>
      </c>
      <c r="C107" s="539"/>
      <c r="D107" s="536">
        <v>137078</v>
      </c>
      <c r="E107" s="536">
        <v>7</v>
      </c>
      <c r="F107" s="217">
        <f t="shared" si="11"/>
        <v>624652</v>
      </c>
      <c r="G107" s="216">
        <f t="shared" si="12"/>
        <v>617308</v>
      </c>
      <c r="H107" s="368">
        <v>378029</v>
      </c>
      <c r="I107" s="414">
        <v>367771</v>
      </c>
      <c r="J107" s="368">
        <v>0</v>
      </c>
      <c r="K107" s="414">
        <v>0</v>
      </c>
      <c r="L107" s="367">
        <v>246403</v>
      </c>
      <c r="M107" s="367">
        <v>213</v>
      </c>
      <c r="N107" s="367">
        <v>0</v>
      </c>
      <c r="O107" s="415">
        <v>249345</v>
      </c>
      <c r="P107" s="415">
        <v>180</v>
      </c>
      <c r="Q107" s="416">
        <v>0</v>
      </c>
      <c r="R107" s="368">
        <v>7</v>
      </c>
      <c r="S107" s="414">
        <v>12</v>
      </c>
      <c r="T107" s="218">
        <f t="shared" si="13"/>
        <v>0</v>
      </c>
      <c r="U107" s="219">
        <f t="shared" si="14"/>
        <v>0</v>
      </c>
      <c r="V107" s="368"/>
      <c r="W107" s="414"/>
      <c r="X107" s="368"/>
      <c r="Y107" s="414"/>
      <c r="Z107" s="367"/>
      <c r="AA107" s="367"/>
      <c r="AB107" s="367"/>
      <c r="AC107" s="415"/>
      <c r="AD107" s="415"/>
      <c r="AE107" s="416"/>
      <c r="AF107" s="368"/>
      <c r="AG107" s="414"/>
      <c r="AH107" s="389"/>
    </row>
    <row r="108" spans="1:34" ht="15">
      <c r="A108" s="533" t="s">
        <v>42</v>
      </c>
      <c r="B108" s="534" t="s">
        <v>557</v>
      </c>
      <c r="C108" s="535"/>
      <c r="D108" s="536">
        <v>135391</v>
      </c>
      <c r="E108" s="546">
        <v>7</v>
      </c>
      <c r="F108" s="217">
        <f t="shared" si="11"/>
        <v>233834</v>
      </c>
      <c r="G108" s="216">
        <f t="shared" si="12"/>
        <v>226357</v>
      </c>
      <c r="H108" s="368">
        <v>164883</v>
      </c>
      <c r="I108" s="414">
        <v>156142</v>
      </c>
      <c r="J108" s="368">
        <v>9956</v>
      </c>
      <c r="K108" s="414">
        <v>9119</v>
      </c>
      <c r="L108" s="367">
        <v>0</v>
      </c>
      <c r="M108" s="367">
        <v>58995</v>
      </c>
      <c r="N108" s="367">
        <v>0</v>
      </c>
      <c r="O108" s="415">
        <v>37360</v>
      </c>
      <c r="P108" s="415">
        <v>23736</v>
      </c>
      <c r="Q108" s="416">
        <v>0</v>
      </c>
      <c r="R108" s="368">
        <v>0</v>
      </c>
      <c r="S108" s="414">
        <v>0</v>
      </c>
      <c r="T108" s="218">
        <f t="shared" si="13"/>
        <v>0</v>
      </c>
      <c r="U108" s="219">
        <f t="shared" si="14"/>
        <v>0</v>
      </c>
      <c r="V108" s="368"/>
      <c r="W108" s="414"/>
      <c r="X108" s="368"/>
      <c r="Y108" s="414"/>
      <c r="Z108" s="367"/>
      <c r="AA108" s="367"/>
      <c r="AB108" s="367"/>
      <c r="AC108" s="415"/>
      <c r="AD108" s="415"/>
      <c r="AE108" s="416"/>
      <c r="AF108" s="368"/>
      <c r="AG108" s="414"/>
      <c r="AH108" s="389"/>
    </row>
    <row r="109" spans="1:34" ht="15">
      <c r="A109" s="533" t="s">
        <v>42</v>
      </c>
      <c r="B109" s="534" t="s">
        <v>558</v>
      </c>
      <c r="C109" s="540" t="s">
        <v>573</v>
      </c>
      <c r="D109" s="542">
        <v>132851</v>
      </c>
      <c r="E109" s="542">
        <v>8</v>
      </c>
      <c r="F109" s="217">
        <f t="shared" si="11"/>
        <v>169836</v>
      </c>
      <c r="G109" s="216">
        <f t="shared" si="12"/>
        <v>166079</v>
      </c>
      <c r="H109" s="368">
        <v>125220</v>
      </c>
      <c r="I109" s="414">
        <v>118025</v>
      </c>
      <c r="J109" s="368">
        <v>0</v>
      </c>
      <c r="K109" s="414">
        <v>0</v>
      </c>
      <c r="L109" s="367">
        <v>32367</v>
      </c>
      <c r="M109" s="367">
        <v>12249</v>
      </c>
      <c r="N109" s="367">
        <v>0</v>
      </c>
      <c r="O109" s="415">
        <v>48054</v>
      </c>
      <c r="P109" s="415">
        <v>0</v>
      </c>
      <c r="Q109" s="416">
        <v>0</v>
      </c>
      <c r="R109" s="368">
        <v>0</v>
      </c>
      <c r="S109" s="414">
        <v>0</v>
      </c>
      <c r="T109" s="218">
        <f t="shared" si="13"/>
        <v>0</v>
      </c>
      <c r="U109" s="219">
        <f t="shared" si="14"/>
        <v>0</v>
      </c>
      <c r="V109" s="368"/>
      <c r="W109" s="414"/>
      <c r="X109" s="368"/>
      <c r="Y109" s="414"/>
      <c r="Z109" s="367"/>
      <c r="AA109" s="367"/>
      <c r="AB109" s="367"/>
      <c r="AC109" s="415"/>
      <c r="AD109" s="415"/>
      <c r="AE109" s="416"/>
      <c r="AF109" s="368"/>
      <c r="AG109" s="414"/>
      <c r="AH109" s="389"/>
    </row>
    <row r="110" spans="1:34" ht="15">
      <c r="A110" s="533" t="s">
        <v>42</v>
      </c>
      <c r="B110" s="534" t="s">
        <v>559</v>
      </c>
      <c r="C110" s="539"/>
      <c r="D110" s="536">
        <v>132693</v>
      </c>
      <c r="E110" s="536">
        <v>8</v>
      </c>
      <c r="F110" s="217">
        <f t="shared" si="11"/>
        <v>329248</v>
      </c>
      <c r="G110" s="216">
        <f t="shared" si="12"/>
        <v>316935</v>
      </c>
      <c r="H110" s="368">
        <v>251196</v>
      </c>
      <c r="I110" s="414">
        <v>237322</v>
      </c>
      <c r="J110" s="368">
        <v>8101</v>
      </c>
      <c r="K110" s="414">
        <v>7125</v>
      </c>
      <c r="L110" s="367">
        <v>69951</v>
      </c>
      <c r="M110" s="367">
        <v>0</v>
      </c>
      <c r="N110" s="367">
        <v>0</v>
      </c>
      <c r="O110" s="415">
        <v>72488</v>
      </c>
      <c r="P110" s="415">
        <v>0</v>
      </c>
      <c r="Q110" s="416">
        <v>0</v>
      </c>
      <c r="R110" s="368">
        <v>0</v>
      </c>
      <c r="S110" s="414">
        <v>0</v>
      </c>
      <c r="T110" s="218">
        <f t="shared" si="13"/>
        <v>0</v>
      </c>
      <c r="U110" s="219">
        <f t="shared" si="14"/>
        <v>0</v>
      </c>
      <c r="V110" s="368"/>
      <c r="W110" s="414"/>
      <c r="X110" s="368"/>
      <c r="Y110" s="414"/>
      <c r="Z110" s="367"/>
      <c r="AA110" s="367"/>
      <c r="AB110" s="367"/>
      <c r="AC110" s="415"/>
      <c r="AD110" s="415"/>
      <c r="AE110" s="416"/>
      <c r="AF110" s="368"/>
      <c r="AG110" s="414"/>
      <c r="AH110" s="389"/>
    </row>
    <row r="111" spans="1:34" ht="15">
      <c r="A111" s="533" t="s">
        <v>42</v>
      </c>
      <c r="B111" s="534" t="s">
        <v>560</v>
      </c>
      <c r="C111" s="540"/>
      <c r="D111" s="536">
        <v>134495</v>
      </c>
      <c r="E111" s="536">
        <v>8</v>
      </c>
      <c r="F111" s="217">
        <f t="shared" si="11"/>
        <v>557763</v>
      </c>
      <c r="G111" s="216">
        <f t="shared" si="12"/>
        <v>559040</v>
      </c>
      <c r="H111" s="368">
        <v>461009</v>
      </c>
      <c r="I111" s="414">
        <v>450536</v>
      </c>
      <c r="J111" s="368">
        <v>15918</v>
      </c>
      <c r="K111" s="414">
        <v>16654</v>
      </c>
      <c r="L111" s="367">
        <v>79662</v>
      </c>
      <c r="M111" s="367">
        <v>0</v>
      </c>
      <c r="N111" s="367">
        <v>1174</v>
      </c>
      <c r="O111" s="415">
        <v>90510</v>
      </c>
      <c r="P111" s="415">
        <v>0</v>
      </c>
      <c r="Q111" s="416">
        <v>1340</v>
      </c>
      <c r="R111" s="368">
        <v>0</v>
      </c>
      <c r="S111" s="414">
        <v>0</v>
      </c>
      <c r="T111" s="218">
        <f t="shared" si="13"/>
        <v>0</v>
      </c>
      <c r="U111" s="219">
        <f t="shared" si="14"/>
        <v>0</v>
      </c>
      <c r="V111" s="368"/>
      <c r="W111" s="414"/>
      <c r="X111" s="368"/>
      <c r="Y111" s="414"/>
      <c r="Z111" s="367"/>
      <c r="AA111" s="367"/>
      <c r="AB111" s="367"/>
      <c r="AC111" s="415"/>
      <c r="AD111" s="415"/>
      <c r="AE111" s="416"/>
      <c r="AF111" s="368"/>
      <c r="AG111" s="414"/>
      <c r="AH111" s="389"/>
    </row>
    <row r="112" spans="1:34" ht="15">
      <c r="A112" s="544" t="s">
        <v>42</v>
      </c>
      <c r="B112" s="534" t="s">
        <v>561</v>
      </c>
      <c r="C112" s="540"/>
      <c r="D112" s="536">
        <v>136400</v>
      </c>
      <c r="E112" s="536">
        <v>8</v>
      </c>
      <c r="F112" s="217">
        <f t="shared" si="11"/>
        <v>199357</v>
      </c>
      <c r="G112" s="216">
        <f t="shared" si="12"/>
        <v>213167</v>
      </c>
      <c r="H112" s="368">
        <v>148949</v>
      </c>
      <c r="I112" s="414">
        <v>152798</v>
      </c>
      <c r="J112" s="368">
        <v>8351</v>
      </c>
      <c r="K112" s="414">
        <v>8237</v>
      </c>
      <c r="L112" s="367">
        <v>42057</v>
      </c>
      <c r="M112" s="367">
        <v>0</v>
      </c>
      <c r="N112" s="367">
        <v>0</v>
      </c>
      <c r="O112" s="415">
        <v>52132</v>
      </c>
      <c r="P112" s="415">
        <v>0</v>
      </c>
      <c r="Q112" s="416">
        <v>0</v>
      </c>
      <c r="R112" s="368">
        <v>0</v>
      </c>
      <c r="S112" s="414">
        <v>0</v>
      </c>
      <c r="T112" s="218">
        <f t="shared" si="13"/>
        <v>0</v>
      </c>
      <c r="U112" s="219">
        <f t="shared" si="14"/>
        <v>0</v>
      </c>
      <c r="V112" s="368"/>
      <c r="W112" s="414"/>
      <c r="X112" s="368"/>
      <c r="Y112" s="414"/>
      <c r="Z112" s="367"/>
      <c r="AA112" s="367"/>
      <c r="AB112" s="367"/>
      <c r="AC112" s="415"/>
      <c r="AD112" s="415"/>
      <c r="AE112" s="416"/>
      <c r="AF112" s="368"/>
      <c r="AG112" s="414"/>
      <c r="AH112" s="389"/>
    </row>
    <row r="113" spans="1:34" ht="15">
      <c r="A113" s="533" t="s">
        <v>42</v>
      </c>
      <c r="B113" s="534" t="s">
        <v>562</v>
      </c>
      <c r="C113" s="535" t="s">
        <v>574</v>
      </c>
      <c r="D113" s="536">
        <v>136473</v>
      </c>
      <c r="E113" s="537">
        <v>7</v>
      </c>
      <c r="F113" s="217">
        <f t="shared" si="11"/>
        <v>238057</v>
      </c>
      <c r="G113" s="216">
        <f t="shared" si="12"/>
        <v>213505</v>
      </c>
      <c r="H113" s="368">
        <v>173553</v>
      </c>
      <c r="I113" s="414">
        <v>149512</v>
      </c>
      <c r="J113" s="368">
        <v>22580</v>
      </c>
      <c r="K113" s="414">
        <v>21474</v>
      </c>
      <c r="L113" s="367">
        <v>41924</v>
      </c>
      <c r="M113" s="367">
        <v>0</v>
      </c>
      <c r="N113" s="367">
        <v>0</v>
      </c>
      <c r="O113" s="415">
        <v>42519</v>
      </c>
      <c r="P113" s="415">
        <v>0</v>
      </c>
      <c r="Q113" s="416">
        <v>0</v>
      </c>
      <c r="R113" s="368">
        <v>0</v>
      </c>
      <c r="S113" s="414">
        <v>0</v>
      </c>
      <c r="T113" s="218">
        <f t="shared" si="13"/>
        <v>0</v>
      </c>
      <c r="U113" s="219">
        <f t="shared" si="14"/>
        <v>0</v>
      </c>
      <c r="V113" s="368"/>
      <c r="W113" s="414"/>
      <c r="X113" s="368"/>
      <c r="Y113" s="414"/>
      <c r="Z113" s="367"/>
      <c r="AA113" s="367"/>
      <c r="AB113" s="367"/>
      <c r="AC113" s="415"/>
      <c r="AD113" s="415"/>
      <c r="AE113" s="416"/>
      <c r="AF113" s="368"/>
      <c r="AG113" s="414"/>
      <c r="AH113" s="389"/>
    </row>
    <row r="114" spans="1:34" ht="15">
      <c r="A114" s="533" t="s">
        <v>42</v>
      </c>
      <c r="B114" s="534" t="s">
        <v>563</v>
      </c>
      <c r="C114" s="535" t="s">
        <v>574</v>
      </c>
      <c r="D114" s="536">
        <v>137096</v>
      </c>
      <c r="E114" s="537">
        <v>7</v>
      </c>
      <c r="F114" s="217">
        <f t="shared" si="11"/>
        <v>337717</v>
      </c>
      <c r="G114" s="216">
        <f t="shared" si="12"/>
        <v>323237</v>
      </c>
      <c r="H114" s="368">
        <v>262537</v>
      </c>
      <c r="I114" s="414">
        <v>245481</v>
      </c>
      <c r="J114" s="368">
        <v>4462</v>
      </c>
      <c r="K114" s="414">
        <v>4391</v>
      </c>
      <c r="L114" s="367">
        <v>70718</v>
      </c>
      <c r="M114" s="367">
        <v>0</v>
      </c>
      <c r="N114" s="367">
        <v>0</v>
      </c>
      <c r="O114" s="415">
        <v>73365</v>
      </c>
      <c r="P114" s="415">
        <v>0</v>
      </c>
      <c r="Q114" s="416">
        <v>0</v>
      </c>
      <c r="R114" s="368">
        <v>0</v>
      </c>
      <c r="S114" s="414">
        <v>0</v>
      </c>
      <c r="T114" s="218">
        <f t="shared" si="13"/>
        <v>0</v>
      </c>
      <c r="U114" s="219">
        <f t="shared" si="14"/>
        <v>0</v>
      </c>
      <c r="V114" s="368"/>
      <c r="W114" s="414"/>
      <c r="X114" s="368"/>
      <c r="Y114" s="414"/>
      <c r="Z114" s="367"/>
      <c r="AA114" s="367"/>
      <c r="AB114" s="367"/>
      <c r="AC114" s="415"/>
      <c r="AD114" s="415"/>
      <c r="AE114" s="416"/>
      <c r="AF114" s="368"/>
      <c r="AG114" s="414"/>
      <c r="AH114" s="389"/>
    </row>
    <row r="115" spans="1:34" ht="15">
      <c r="A115" s="533" t="s">
        <v>42</v>
      </c>
      <c r="B115" s="534" t="s">
        <v>564</v>
      </c>
      <c r="C115" s="535" t="s">
        <v>574</v>
      </c>
      <c r="D115" s="536">
        <v>137209</v>
      </c>
      <c r="E115" s="537">
        <v>7</v>
      </c>
      <c r="F115" s="217">
        <f t="shared" si="11"/>
        <v>387447</v>
      </c>
      <c r="G115" s="216">
        <f t="shared" si="12"/>
        <v>363602</v>
      </c>
      <c r="H115" s="368">
        <v>303212</v>
      </c>
      <c r="I115" s="414">
        <v>269074</v>
      </c>
      <c r="J115" s="368">
        <v>0</v>
      </c>
      <c r="K115" s="414">
        <v>0</v>
      </c>
      <c r="L115" s="367">
        <v>84235</v>
      </c>
      <c r="M115" s="367">
        <v>0</v>
      </c>
      <c r="N115" s="367">
        <v>0</v>
      </c>
      <c r="O115" s="415">
        <v>94528</v>
      </c>
      <c r="P115" s="415">
        <v>0</v>
      </c>
      <c r="Q115" s="416">
        <v>0</v>
      </c>
      <c r="R115" s="368">
        <v>0</v>
      </c>
      <c r="S115" s="414">
        <v>0</v>
      </c>
      <c r="T115" s="218">
        <f t="shared" si="13"/>
        <v>0</v>
      </c>
      <c r="U115" s="219">
        <f t="shared" si="14"/>
        <v>0</v>
      </c>
      <c r="V115" s="368"/>
      <c r="W115" s="414"/>
      <c r="X115" s="368"/>
      <c r="Y115" s="414"/>
      <c r="Z115" s="367"/>
      <c r="AA115" s="367"/>
      <c r="AB115" s="367"/>
      <c r="AC115" s="415"/>
      <c r="AD115" s="415"/>
      <c r="AE115" s="416"/>
      <c r="AF115" s="368"/>
      <c r="AG115" s="414"/>
      <c r="AH115" s="389"/>
    </row>
    <row r="116" spans="1:34" ht="15">
      <c r="A116" s="533" t="s">
        <v>42</v>
      </c>
      <c r="B116" s="534" t="s">
        <v>565</v>
      </c>
      <c r="C116" s="540"/>
      <c r="D116" s="536">
        <v>137759</v>
      </c>
      <c r="E116" s="536">
        <v>8</v>
      </c>
      <c r="F116" s="217">
        <f t="shared" si="11"/>
        <v>301715</v>
      </c>
      <c r="G116" s="216">
        <f t="shared" si="12"/>
        <v>286053</v>
      </c>
      <c r="H116" s="368">
        <v>246011</v>
      </c>
      <c r="I116" s="414">
        <v>230658</v>
      </c>
      <c r="J116" s="368">
        <v>11506</v>
      </c>
      <c r="K116" s="414">
        <v>11202</v>
      </c>
      <c r="L116" s="367">
        <v>44198</v>
      </c>
      <c r="M116" s="367">
        <v>0</v>
      </c>
      <c r="N116" s="367">
        <v>0</v>
      </c>
      <c r="O116" s="415">
        <v>44193</v>
      </c>
      <c r="P116" s="415">
        <v>0</v>
      </c>
      <c r="Q116" s="416">
        <v>0</v>
      </c>
      <c r="R116" s="368">
        <v>0</v>
      </c>
      <c r="S116" s="414">
        <v>0</v>
      </c>
      <c r="T116" s="218">
        <f t="shared" si="13"/>
        <v>0</v>
      </c>
      <c r="U116" s="219">
        <f t="shared" si="14"/>
        <v>0</v>
      </c>
      <c r="V116" s="368"/>
      <c r="W116" s="414"/>
      <c r="X116" s="368"/>
      <c r="Y116" s="414"/>
      <c r="Z116" s="367"/>
      <c r="AA116" s="367"/>
      <c r="AB116" s="367"/>
      <c r="AC116" s="415"/>
      <c r="AD116" s="415"/>
      <c r="AE116" s="416"/>
      <c r="AF116" s="368"/>
      <c r="AG116" s="414"/>
      <c r="AH116" s="389"/>
    </row>
    <row r="117" spans="1:34" ht="15">
      <c r="A117" s="533" t="s">
        <v>42</v>
      </c>
      <c r="B117" s="534" t="s">
        <v>566</v>
      </c>
      <c r="C117" s="540" t="s">
        <v>573</v>
      </c>
      <c r="D117" s="536">
        <v>138187</v>
      </c>
      <c r="E117" s="536">
        <v>8</v>
      </c>
      <c r="F117" s="217">
        <f t="shared" si="11"/>
        <v>886362</v>
      </c>
      <c r="G117" s="216">
        <f t="shared" si="12"/>
        <v>889398</v>
      </c>
      <c r="H117" s="368">
        <v>702893</v>
      </c>
      <c r="I117" s="414">
        <v>677017</v>
      </c>
      <c r="J117" s="368">
        <v>39</v>
      </c>
      <c r="K117" s="414">
        <v>5944</v>
      </c>
      <c r="L117" s="367">
        <v>183430</v>
      </c>
      <c r="M117" s="367">
        <v>0</v>
      </c>
      <c r="N117" s="367">
        <v>0</v>
      </c>
      <c r="O117" s="415">
        <v>206437</v>
      </c>
      <c r="P117" s="415">
        <v>0</v>
      </c>
      <c r="Q117" s="416">
        <v>0</v>
      </c>
      <c r="R117" s="368">
        <v>0</v>
      </c>
      <c r="S117" s="414">
        <v>0</v>
      </c>
      <c r="T117" s="218">
        <f t="shared" si="13"/>
        <v>0</v>
      </c>
      <c r="U117" s="219">
        <f t="shared" si="14"/>
        <v>0</v>
      </c>
      <c r="V117" s="368"/>
      <c r="W117" s="414"/>
      <c r="X117" s="368"/>
      <c r="Y117" s="414"/>
      <c r="Z117" s="367"/>
      <c r="AA117" s="367"/>
      <c r="AB117" s="367"/>
      <c r="AC117" s="415"/>
      <c r="AD117" s="415"/>
      <c r="AE117" s="416"/>
      <c r="AF117" s="368"/>
      <c r="AG117" s="414"/>
      <c r="AH117" s="389"/>
    </row>
    <row r="118" spans="1:34" ht="15">
      <c r="A118" s="533" t="s">
        <v>42</v>
      </c>
      <c r="B118" s="534" t="s">
        <v>567</v>
      </c>
      <c r="C118" s="540" t="s">
        <v>575</v>
      </c>
      <c r="D118" s="536">
        <v>135160</v>
      </c>
      <c r="E118" s="536">
        <v>9</v>
      </c>
      <c r="F118" s="217">
        <f t="shared" si="11"/>
        <v>56066</v>
      </c>
      <c r="G118" s="216">
        <f t="shared" si="12"/>
        <v>53392</v>
      </c>
      <c r="H118" s="368">
        <v>30247</v>
      </c>
      <c r="I118" s="414">
        <v>28496</v>
      </c>
      <c r="J118" s="368">
        <v>4494</v>
      </c>
      <c r="K118" s="414">
        <v>3544</v>
      </c>
      <c r="L118" s="367">
        <v>21325</v>
      </c>
      <c r="M118" s="367">
        <v>0</v>
      </c>
      <c r="N118" s="367">
        <v>0</v>
      </c>
      <c r="O118" s="415">
        <v>21352</v>
      </c>
      <c r="P118" s="415">
        <v>0</v>
      </c>
      <c r="Q118" s="416">
        <v>0</v>
      </c>
      <c r="R118" s="368">
        <v>0</v>
      </c>
      <c r="S118" s="414">
        <v>0</v>
      </c>
      <c r="T118" s="218">
        <f t="shared" si="13"/>
        <v>0</v>
      </c>
      <c r="U118" s="219">
        <f t="shared" si="14"/>
        <v>0</v>
      </c>
      <c r="V118" s="368"/>
      <c r="W118" s="414"/>
      <c r="X118" s="368"/>
      <c r="Y118" s="414"/>
      <c r="Z118" s="367"/>
      <c r="AA118" s="367"/>
      <c r="AB118" s="367"/>
      <c r="AC118" s="415"/>
      <c r="AD118" s="415"/>
      <c r="AE118" s="416"/>
      <c r="AF118" s="368"/>
      <c r="AG118" s="414"/>
      <c r="AH118" s="389"/>
    </row>
    <row r="119" spans="1:34" ht="15">
      <c r="A119" s="533" t="s">
        <v>42</v>
      </c>
      <c r="B119" s="534" t="s">
        <v>568</v>
      </c>
      <c r="C119" s="535" t="s">
        <v>574</v>
      </c>
      <c r="D119" s="536">
        <v>134343</v>
      </c>
      <c r="E119" s="537">
        <v>7</v>
      </c>
      <c r="F119" s="217">
        <f t="shared" si="11"/>
        <v>125069</v>
      </c>
      <c r="G119" s="216">
        <f t="shared" si="12"/>
        <v>119661</v>
      </c>
      <c r="H119" s="368">
        <v>77296</v>
      </c>
      <c r="I119" s="414">
        <v>73744</v>
      </c>
      <c r="J119" s="368">
        <v>15179</v>
      </c>
      <c r="K119" s="414">
        <v>13482</v>
      </c>
      <c r="L119" s="367">
        <v>32594</v>
      </c>
      <c r="M119" s="367">
        <v>0</v>
      </c>
      <c r="N119" s="367">
        <v>0</v>
      </c>
      <c r="O119" s="415">
        <v>32435</v>
      </c>
      <c r="P119" s="415">
        <v>0</v>
      </c>
      <c r="Q119" s="416">
        <v>0</v>
      </c>
      <c r="R119" s="368">
        <v>0</v>
      </c>
      <c r="S119" s="414">
        <v>0</v>
      </c>
      <c r="T119" s="218">
        <f t="shared" si="13"/>
        <v>0</v>
      </c>
      <c r="U119" s="219">
        <f t="shared" si="14"/>
        <v>0</v>
      </c>
      <c r="V119" s="368"/>
      <c r="W119" s="414"/>
      <c r="X119" s="368"/>
      <c r="Y119" s="414"/>
      <c r="Z119" s="367"/>
      <c r="AA119" s="367"/>
      <c r="AB119" s="367"/>
      <c r="AC119" s="415"/>
      <c r="AD119" s="415"/>
      <c r="AE119" s="416"/>
      <c r="AF119" s="368"/>
      <c r="AG119" s="414"/>
      <c r="AH119" s="389"/>
    </row>
    <row r="120" spans="1:34" ht="15">
      <c r="A120" s="533" t="s">
        <v>42</v>
      </c>
      <c r="B120" s="534" t="s">
        <v>569</v>
      </c>
      <c r="C120" s="539"/>
      <c r="D120" s="536">
        <v>135188</v>
      </c>
      <c r="E120" s="536">
        <v>9</v>
      </c>
      <c r="F120" s="217">
        <f t="shared" si="11"/>
        <v>85932</v>
      </c>
      <c r="G120" s="216">
        <f t="shared" si="12"/>
        <v>83509</v>
      </c>
      <c r="H120" s="368">
        <v>72097</v>
      </c>
      <c r="I120" s="414">
        <v>66076</v>
      </c>
      <c r="J120" s="368">
        <v>0</v>
      </c>
      <c r="K120" s="414">
        <v>0</v>
      </c>
      <c r="L120" s="367">
        <v>13835</v>
      </c>
      <c r="M120" s="367">
        <v>0</v>
      </c>
      <c r="N120" s="367">
        <v>0</v>
      </c>
      <c r="O120" s="415">
        <v>17433</v>
      </c>
      <c r="P120" s="415">
        <v>0</v>
      </c>
      <c r="Q120" s="416">
        <v>0</v>
      </c>
      <c r="R120" s="368">
        <v>0</v>
      </c>
      <c r="S120" s="414">
        <v>0</v>
      </c>
      <c r="T120" s="218">
        <f t="shared" si="13"/>
        <v>0</v>
      </c>
      <c r="U120" s="219">
        <f t="shared" si="14"/>
        <v>0</v>
      </c>
      <c r="V120" s="368"/>
      <c r="W120" s="414"/>
      <c r="X120" s="368"/>
      <c r="Y120" s="414"/>
      <c r="Z120" s="367"/>
      <c r="AA120" s="367"/>
      <c r="AB120" s="367"/>
      <c r="AC120" s="415"/>
      <c r="AD120" s="415"/>
      <c r="AE120" s="416"/>
      <c r="AF120" s="368"/>
      <c r="AG120" s="414"/>
      <c r="AH120" s="389"/>
    </row>
    <row r="121" spans="1:34" ht="15">
      <c r="A121" s="533" t="s">
        <v>42</v>
      </c>
      <c r="B121" s="534" t="s">
        <v>570</v>
      </c>
      <c r="C121" s="539"/>
      <c r="D121" s="536">
        <v>137315</v>
      </c>
      <c r="E121" s="536">
        <v>9</v>
      </c>
      <c r="F121" s="217">
        <f t="shared" si="11"/>
        <v>45149.5</v>
      </c>
      <c r="G121" s="216">
        <f t="shared" si="12"/>
        <v>46699</v>
      </c>
      <c r="H121" s="368">
        <v>26572.5</v>
      </c>
      <c r="I121" s="414">
        <v>26589</v>
      </c>
      <c r="J121" s="368">
        <v>10694</v>
      </c>
      <c r="K121" s="414">
        <v>11151</v>
      </c>
      <c r="L121" s="367">
        <v>6642</v>
      </c>
      <c r="M121" s="367">
        <v>1215</v>
      </c>
      <c r="N121" s="367">
        <v>26</v>
      </c>
      <c r="O121" s="415">
        <v>7889</v>
      </c>
      <c r="P121" s="415">
        <v>1019</v>
      </c>
      <c r="Q121" s="416">
        <v>51</v>
      </c>
      <c r="R121" s="368">
        <v>0</v>
      </c>
      <c r="S121" s="414">
        <v>0</v>
      </c>
      <c r="T121" s="218">
        <f t="shared" si="13"/>
        <v>0</v>
      </c>
      <c r="U121" s="219">
        <f t="shared" si="14"/>
        <v>0</v>
      </c>
      <c r="V121" s="368"/>
      <c r="W121" s="414"/>
      <c r="X121" s="368"/>
      <c r="Y121" s="414"/>
      <c r="Z121" s="367"/>
      <c r="AA121" s="367"/>
      <c r="AB121" s="367"/>
      <c r="AC121" s="415"/>
      <c r="AD121" s="415"/>
      <c r="AE121" s="416"/>
      <c r="AF121" s="368"/>
      <c r="AG121" s="414"/>
      <c r="AH121" s="389"/>
    </row>
    <row r="122" spans="1:34" ht="15">
      <c r="A122" s="533" t="s">
        <v>42</v>
      </c>
      <c r="B122" s="538" t="s">
        <v>571</v>
      </c>
      <c r="C122" s="539"/>
      <c r="D122" s="536">
        <v>133960</v>
      </c>
      <c r="E122" s="536">
        <v>10</v>
      </c>
      <c r="F122" s="217">
        <f t="shared" si="11"/>
        <v>23060</v>
      </c>
      <c r="G122" s="216">
        <f t="shared" si="12"/>
        <v>21013</v>
      </c>
      <c r="H122" s="368">
        <v>18275</v>
      </c>
      <c r="I122" s="414">
        <v>16131</v>
      </c>
      <c r="J122" s="368">
        <v>589</v>
      </c>
      <c r="K122" s="414">
        <v>914</v>
      </c>
      <c r="L122" s="367">
        <v>4196</v>
      </c>
      <c r="M122" s="367">
        <v>0</v>
      </c>
      <c r="N122" s="367">
        <v>0</v>
      </c>
      <c r="O122" s="415">
        <v>3968</v>
      </c>
      <c r="P122" s="415">
        <v>0</v>
      </c>
      <c r="Q122" s="416">
        <v>0</v>
      </c>
      <c r="R122" s="368">
        <v>0</v>
      </c>
      <c r="S122" s="414">
        <v>0</v>
      </c>
      <c r="T122" s="218">
        <f t="shared" si="13"/>
        <v>0</v>
      </c>
      <c r="U122" s="219">
        <f t="shared" si="14"/>
        <v>0</v>
      </c>
      <c r="V122" s="368"/>
      <c r="W122" s="414"/>
      <c r="X122" s="368"/>
      <c r="Y122" s="414"/>
      <c r="Z122" s="367"/>
      <c r="AA122" s="367"/>
      <c r="AB122" s="367"/>
      <c r="AC122" s="415"/>
      <c r="AD122" s="415"/>
      <c r="AE122" s="416"/>
      <c r="AF122" s="368"/>
      <c r="AG122" s="414"/>
    </row>
    <row r="123" spans="1:34" ht="15">
      <c r="A123" s="533" t="s">
        <v>42</v>
      </c>
      <c r="B123" s="538" t="s">
        <v>572</v>
      </c>
      <c r="C123" s="539"/>
      <c r="D123" s="536">
        <v>136145</v>
      </c>
      <c r="E123" s="536">
        <v>10</v>
      </c>
      <c r="F123" s="217">
        <f t="shared" si="11"/>
        <v>22415</v>
      </c>
      <c r="G123" s="216">
        <f t="shared" si="12"/>
        <v>21277</v>
      </c>
      <c r="H123" s="368">
        <v>15703</v>
      </c>
      <c r="I123" s="414">
        <v>14372</v>
      </c>
      <c r="J123" s="368">
        <v>1061</v>
      </c>
      <c r="K123" s="414">
        <v>1116</v>
      </c>
      <c r="L123" s="367">
        <v>5651</v>
      </c>
      <c r="M123" s="367">
        <v>0</v>
      </c>
      <c r="N123" s="367">
        <v>0</v>
      </c>
      <c r="O123" s="415">
        <v>5765</v>
      </c>
      <c r="P123" s="415">
        <v>24</v>
      </c>
      <c r="Q123" s="416">
        <v>0</v>
      </c>
      <c r="R123" s="368">
        <v>0</v>
      </c>
      <c r="S123" s="414">
        <v>0</v>
      </c>
      <c r="T123" s="218">
        <f t="shared" si="13"/>
        <v>0</v>
      </c>
      <c r="U123" s="219">
        <f t="shared" si="14"/>
        <v>0</v>
      </c>
      <c r="V123" s="368"/>
      <c r="W123" s="414"/>
      <c r="X123" s="368"/>
      <c r="Y123" s="414"/>
      <c r="Z123" s="367"/>
      <c r="AA123" s="367"/>
      <c r="AB123" s="367"/>
      <c r="AC123" s="415"/>
      <c r="AD123" s="415"/>
      <c r="AE123" s="416"/>
      <c r="AF123" s="368"/>
      <c r="AG123" s="414"/>
    </row>
    <row r="124" spans="1:34" ht="15">
      <c r="A124" s="409" t="s">
        <v>43</v>
      </c>
      <c r="B124" s="410" t="s">
        <v>322</v>
      </c>
      <c r="C124" s="411"/>
      <c r="D124" s="420">
        <v>139940</v>
      </c>
      <c r="E124" s="413">
        <v>1</v>
      </c>
      <c r="F124" s="217">
        <f t="shared" si="11"/>
        <v>0</v>
      </c>
      <c r="G124" s="216">
        <f t="shared" si="12"/>
        <v>665386</v>
      </c>
      <c r="H124" s="368"/>
      <c r="I124" s="414">
        <v>620444</v>
      </c>
      <c r="J124" s="368"/>
      <c r="K124" s="414">
        <v>6395</v>
      </c>
      <c r="L124" s="367"/>
      <c r="M124" s="367"/>
      <c r="N124" s="367"/>
      <c r="O124" s="415">
        <v>38547</v>
      </c>
      <c r="P124" s="415"/>
      <c r="Q124" s="416"/>
      <c r="R124" s="368"/>
      <c r="S124" s="414"/>
      <c r="T124" s="218">
        <f t="shared" si="13"/>
        <v>0</v>
      </c>
      <c r="U124" s="219">
        <f t="shared" si="14"/>
        <v>228732.5</v>
      </c>
      <c r="V124" s="368"/>
      <c r="W124" s="414">
        <v>196482</v>
      </c>
      <c r="X124" s="368"/>
      <c r="Y124" s="414">
        <v>22090.5</v>
      </c>
      <c r="Z124" s="367"/>
      <c r="AA124" s="367"/>
      <c r="AB124" s="367"/>
      <c r="AC124" s="415">
        <v>10160</v>
      </c>
      <c r="AD124" s="415"/>
      <c r="AE124" s="416"/>
      <c r="AF124" s="368"/>
      <c r="AG124" s="414"/>
    </row>
    <row r="125" spans="1:34" ht="15">
      <c r="A125" s="409" t="s">
        <v>43</v>
      </c>
      <c r="B125" s="410" t="s">
        <v>323</v>
      </c>
      <c r="C125" s="411"/>
      <c r="D125" s="420">
        <v>139959</v>
      </c>
      <c r="E125" s="413">
        <v>1</v>
      </c>
      <c r="F125" s="217">
        <f t="shared" si="11"/>
        <v>0</v>
      </c>
      <c r="G125" s="216">
        <f t="shared" si="12"/>
        <v>761126.5</v>
      </c>
      <c r="H125" s="368"/>
      <c r="I125" s="414">
        <v>734368</v>
      </c>
      <c r="J125" s="368"/>
      <c r="K125" s="414">
        <v>16007.5</v>
      </c>
      <c r="L125" s="367"/>
      <c r="M125" s="367"/>
      <c r="N125" s="367"/>
      <c r="O125" s="415">
        <v>8467</v>
      </c>
      <c r="P125" s="415"/>
      <c r="Q125" s="416">
        <v>2284</v>
      </c>
      <c r="R125" s="368"/>
      <c r="S125" s="414"/>
      <c r="T125" s="218">
        <f t="shared" si="13"/>
        <v>0</v>
      </c>
      <c r="U125" s="219">
        <f t="shared" si="14"/>
        <v>244556.4</v>
      </c>
      <c r="V125" s="368"/>
      <c r="W125" s="414">
        <v>215163.6</v>
      </c>
      <c r="X125" s="368"/>
      <c r="Y125" s="414">
        <v>22682.799999999999</v>
      </c>
      <c r="Z125" s="367"/>
      <c r="AA125" s="367"/>
      <c r="AB125" s="367"/>
      <c r="AC125" s="415">
        <v>4267</v>
      </c>
      <c r="AD125" s="415"/>
      <c r="AE125" s="416">
        <v>2443</v>
      </c>
      <c r="AF125" s="368"/>
      <c r="AG125" s="414"/>
    </row>
    <row r="126" spans="1:34" ht="15">
      <c r="A126" s="409" t="s">
        <v>43</v>
      </c>
      <c r="B126" s="410" t="s">
        <v>324</v>
      </c>
      <c r="C126" s="411"/>
      <c r="D126" s="420">
        <v>139755</v>
      </c>
      <c r="E126" s="413">
        <v>2</v>
      </c>
      <c r="F126" s="217">
        <f t="shared" si="11"/>
        <v>0</v>
      </c>
      <c r="G126" s="216">
        <f t="shared" si="12"/>
        <v>428851</v>
      </c>
      <c r="H126" s="368"/>
      <c r="I126" s="414">
        <v>415083</v>
      </c>
      <c r="J126" s="368"/>
      <c r="K126" s="414">
        <v>13034</v>
      </c>
      <c r="L126" s="367"/>
      <c r="M126" s="367"/>
      <c r="N126" s="367"/>
      <c r="O126" s="415">
        <v>734</v>
      </c>
      <c r="P126" s="415"/>
      <c r="Q126" s="416"/>
      <c r="R126" s="368"/>
      <c r="S126" s="414"/>
      <c r="T126" s="218">
        <f t="shared" si="13"/>
        <v>0</v>
      </c>
      <c r="U126" s="219">
        <f t="shared" si="14"/>
        <v>242746</v>
      </c>
      <c r="V126" s="368"/>
      <c r="W126" s="414">
        <v>230463</v>
      </c>
      <c r="X126" s="368"/>
      <c r="Y126" s="414">
        <v>3149</v>
      </c>
      <c r="Z126" s="367"/>
      <c r="AA126" s="367"/>
      <c r="AB126" s="367"/>
      <c r="AC126" s="415">
        <v>9134</v>
      </c>
      <c r="AD126" s="415"/>
      <c r="AE126" s="416"/>
      <c r="AF126" s="368"/>
      <c r="AG126" s="414"/>
    </row>
    <row r="127" spans="1:34" ht="15">
      <c r="A127" s="409" t="s">
        <v>43</v>
      </c>
      <c r="B127" s="410" t="s">
        <v>325</v>
      </c>
      <c r="C127" s="411"/>
      <c r="D127" s="420">
        <v>139931</v>
      </c>
      <c r="E127" s="413">
        <v>3</v>
      </c>
      <c r="F127" s="217">
        <f t="shared" si="11"/>
        <v>0</v>
      </c>
      <c r="G127" s="216">
        <f t="shared" si="12"/>
        <v>514285</v>
      </c>
      <c r="H127" s="368"/>
      <c r="I127" s="414">
        <v>438408</v>
      </c>
      <c r="J127" s="368"/>
      <c r="K127" s="414">
        <v>4343</v>
      </c>
      <c r="L127" s="367"/>
      <c r="M127" s="367"/>
      <c r="N127" s="367"/>
      <c r="O127" s="415">
        <v>71194</v>
      </c>
      <c r="P127" s="415"/>
      <c r="Q127" s="416">
        <v>340</v>
      </c>
      <c r="R127" s="368"/>
      <c r="S127" s="414"/>
      <c r="T127" s="218">
        <f t="shared" si="13"/>
        <v>0</v>
      </c>
      <c r="U127" s="219">
        <f t="shared" si="14"/>
        <v>44622</v>
      </c>
      <c r="V127" s="368"/>
      <c r="W127" s="414">
        <v>17549</v>
      </c>
      <c r="X127" s="368"/>
      <c r="Y127" s="414">
        <v>722</v>
      </c>
      <c r="Z127" s="367"/>
      <c r="AA127" s="367"/>
      <c r="AB127" s="367"/>
      <c r="AC127" s="415">
        <v>26351</v>
      </c>
      <c r="AD127" s="415"/>
      <c r="AE127" s="416"/>
      <c r="AF127" s="368"/>
      <c r="AG127" s="431"/>
    </row>
    <row r="128" spans="1:34" ht="15">
      <c r="A128" s="409" t="s">
        <v>43</v>
      </c>
      <c r="B128" s="410" t="s">
        <v>326</v>
      </c>
      <c r="C128" s="417"/>
      <c r="D128" s="420">
        <v>140164</v>
      </c>
      <c r="E128" s="432">
        <v>3</v>
      </c>
      <c r="F128" s="217">
        <f t="shared" si="11"/>
        <v>0</v>
      </c>
      <c r="G128" s="216">
        <f t="shared" si="12"/>
        <v>601582</v>
      </c>
      <c r="H128" s="368"/>
      <c r="I128" s="414">
        <v>493536</v>
      </c>
      <c r="J128" s="368"/>
      <c r="K128" s="414">
        <v>4231</v>
      </c>
      <c r="L128" s="367"/>
      <c r="M128" s="367"/>
      <c r="N128" s="367"/>
      <c r="O128" s="415">
        <v>103815</v>
      </c>
      <c r="P128" s="415"/>
      <c r="Q128" s="416"/>
      <c r="R128" s="368"/>
      <c r="S128" s="414"/>
      <c r="T128" s="218">
        <f t="shared" si="13"/>
        <v>0</v>
      </c>
      <c r="U128" s="219">
        <f t="shared" si="14"/>
        <v>40135</v>
      </c>
      <c r="V128" s="368"/>
      <c r="W128" s="414">
        <v>23031</v>
      </c>
      <c r="X128" s="368"/>
      <c r="Y128" s="414">
        <v>1983</v>
      </c>
      <c r="Z128" s="367"/>
      <c r="AA128" s="367"/>
      <c r="AB128" s="367"/>
      <c r="AC128" s="415">
        <v>15121</v>
      </c>
      <c r="AD128" s="415"/>
      <c r="AE128" s="416"/>
      <c r="AF128" s="368"/>
      <c r="AG128" s="431"/>
    </row>
    <row r="129" spans="1:33" ht="15">
      <c r="A129" s="409" t="s">
        <v>43</v>
      </c>
      <c r="B129" s="410" t="s">
        <v>327</v>
      </c>
      <c r="C129" s="411"/>
      <c r="D129" s="420">
        <v>141334</v>
      </c>
      <c r="E129" s="413">
        <v>3</v>
      </c>
      <c r="F129" s="217">
        <f t="shared" si="11"/>
        <v>0</v>
      </c>
      <c r="G129" s="216">
        <f t="shared" si="12"/>
        <v>277066</v>
      </c>
      <c r="H129" s="368"/>
      <c r="I129" s="414">
        <v>210228</v>
      </c>
      <c r="J129" s="368"/>
      <c r="K129" s="414">
        <v>7654</v>
      </c>
      <c r="L129" s="367"/>
      <c r="M129" s="367"/>
      <c r="N129" s="367"/>
      <c r="O129" s="415">
        <v>59184</v>
      </c>
      <c r="P129" s="415"/>
      <c r="Q129" s="416"/>
      <c r="R129" s="368"/>
      <c r="S129" s="414"/>
      <c r="T129" s="218">
        <f t="shared" si="13"/>
        <v>0</v>
      </c>
      <c r="U129" s="219">
        <f t="shared" si="14"/>
        <v>32944</v>
      </c>
      <c r="V129" s="368"/>
      <c r="W129" s="414">
        <v>8369</v>
      </c>
      <c r="X129" s="368"/>
      <c r="Y129" s="414">
        <v>838</v>
      </c>
      <c r="Z129" s="367"/>
      <c r="AA129" s="367"/>
      <c r="AB129" s="367"/>
      <c r="AC129" s="415">
        <v>23737</v>
      </c>
      <c r="AD129" s="415"/>
      <c r="AE129" s="416"/>
      <c r="AF129" s="368"/>
      <c r="AG129" s="431"/>
    </row>
    <row r="130" spans="1:33" ht="15">
      <c r="A130" s="409" t="s">
        <v>43</v>
      </c>
      <c r="B130" s="410" t="s">
        <v>328</v>
      </c>
      <c r="C130" s="411"/>
      <c r="D130" s="420">
        <v>141264</v>
      </c>
      <c r="E130" s="413">
        <v>3</v>
      </c>
      <c r="F130" s="217">
        <f t="shared" si="11"/>
        <v>0</v>
      </c>
      <c r="G130" s="216">
        <f t="shared" si="12"/>
        <v>259468</v>
      </c>
      <c r="H130" s="368"/>
      <c r="I130" s="414">
        <v>226068</v>
      </c>
      <c r="J130" s="368"/>
      <c r="K130" s="414">
        <v>3975</v>
      </c>
      <c r="L130" s="367"/>
      <c r="M130" s="367"/>
      <c r="N130" s="367"/>
      <c r="O130" s="415">
        <v>29109</v>
      </c>
      <c r="P130" s="415">
        <v>316</v>
      </c>
      <c r="Q130" s="416"/>
      <c r="R130" s="368"/>
      <c r="S130" s="414"/>
      <c r="T130" s="218">
        <f t="shared" si="13"/>
        <v>0</v>
      </c>
      <c r="U130" s="219">
        <f t="shared" si="14"/>
        <v>40261</v>
      </c>
      <c r="V130" s="368"/>
      <c r="W130" s="414">
        <v>13852</v>
      </c>
      <c r="X130" s="368"/>
      <c r="Y130" s="414">
        <v>1938</v>
      </c>
      <c r="Z130" s="367"/>
      <c r="AA130" s="367"/>
      <c r="AB130" s="367"/>
      <c r="AC130" s="415">
        <v>24465</v>
      </c>
      <c r="AD130" s="415">
        <v>6</v>
      </c>
      <c r="AE130" s="416"/>
      <c r="AF130" s="368"/>
      <c r="AG130" s="431"/>
    </row>
    <row r="131" spans="1:33" ht="15">
      <c r="A131" s="409" t="s">
        <v>43</v>
      </c>
      <c r="B131" s="410" t="s">
        <v>329</v>
      </c>
      <c r="C131" s="411"/>
      <c r="D131" s="420">
        <v>138716</v>
      </c>
      <c r="E131" s="413">
        <v>4</v>
      </c>
      <c r="F131" s="217">
        <f t="shared" si="11"/>
        <v>0</v>
      </c>
      <c r="G131" s="216">
        <f t="shared" si="12"/>
        <v>92642</v>
      </c>
      <c r="H131" s="368"/>
      <c r="I131" s="414">
        <v>74785</v>
      </c>
      <c r="J131" s="368"/>
      <c r="K131" s="414">
        <v>1713</v>
      </c>
      <c r="L131" s="367"/>
      <c r="M131" s="367"/>
      <c r="N131" s="367"/>
      <c r="O131" s="415">
        <v>16045</v>
      </c>
      <c r="P131" s="415"/>
      <c r="Q131" s="416">
        <v>99</v>
      </c>
      <c r="R131" s="368"/>
      <c r="S131" s="414"/>
      <c r="T131" s="218">
        <f t="shared" si="13"/>
        <v>0</v>
      </c>
      <c r="U131" s="219">
        <f t="shared" si="14"/>
        <v>10037</v>
      </c>
      <c r="V131" s="368"/>
      <c r="W131" s="414">
        <v>5226</v>
      </c>
      <c r="X131" s="368"/>
      <c r="Y131" s="414">
        <v>393</v>
      </c>
      <c r="Z131" s="367"/>
      <c r="AA131" s="367"/>
      <c r="AB131" s="367"/>
      <c r="AC131" s="415">
        <v>4301</v>
      </c>
      <c r="AD131" s="415"/>
      <c r="AE131" s="416">
        <v>117</v>
      </c>
      <c r="AF131" s="368"/>
      <c r="AG131" s="431"/>
    </row>
    <row r="132" spans="1:33" ht="15">
      <c r="A132" s="409" t="s">
        <v>43</v>
      </c>
      <c r="B132" s="410" t="s">
        <v>352</v>
      </c>
      <c r="C132" s="411"/>
      <c r="D132" s="420">
        <v>138789</v>
      </c>
      <c r="E132" s="413">
        <v>4</v>
      </c>
      <c r="F132" s="217">
        <f t="shared" si="11"/>
        <v>0</v>
      </c>
      <c r="G132" s="216">
        <f t="shared" si="12"/>
        <v>167958</v>
      </c>
      <c r="H132" s="368"/>
      <c r="I132" s="414">
        <v>143822</v>
      </c>
      <c r="J132" s="368"/>
      <c r="K132" s="414">
        <v>5977</v>
      </c>
      <c r="L132" s="367"/>
      <c r="M132" s="367"/>
      <c r="N132" s="367"/>
      <c r="O132" s="415">
        <v>18159</v>
      </c>
      <c r="P132" s="415"/>
      <c r="Q132" s="416"/>
      <c r="R132" s="368"/>
      <c r="S132" s="414"/>
      <c r="T132" s="218">
        <f t="shared" si="13"/>
        <v>0</v>
      </c>
      <c r="U132" s="219">
        <f t="shared" si="14"/>
        <v>14780</v>
      </c>
      <c r="V132" s="368"/>
      <c r="W132" s="414">
        <v>11495</v>
      </c>
      <c r="X132" s="368"/>
      <c r="Y132" s="414">
        <v>144</v>
      </c>
      <c r="Z132" s="367"/>
      <c r="AA132" s="367"/>
      <c r="AB132" s="367"/>
      <c r="AC132" s="415">
        <v>3141</v>
      </c>
      <c r="AD132" s="415"/>
      <c r="AE132" s="416"/>
      <c r="AF132" s="368"/>
      <c r="AG132" s="431"/>
    </row>
    <row r="133" spans="1:33" ht="15">
      <c r="A133" s="409" t="s">
        <v>43</v>
      </c>
      <c r="B133" s="410" t="s">
        <v>330</v>
      </c>
      <c r="C133" s="411"/>
      <c r="D133" s="420">
        <v>139366</v>
      </c>
      <c r="E133" s="413">
        <v>4</v>
      </c>
      <c r="F133" s="217">
        <f t="shared" si="11"/>
        <v>0</v>
      </c>
      <c r="G133" s="216">
        <f t="shared" si="12"/>
        <v>180245</v>
      </c>
      <c r="H133" s="368"/>
      <c r="I133" s="414">
        <v>142194</v>
      </c>
      <c r="J133" s="368"/>
      <c r="K133" s="414">
        <v>6422</v>
      </c>
      <c r="L133" s="367"/>
      <c r="M133" s="367"/>
      <c r="N133" s="367"/>
      <c r="O133" s="415">
        <v>31136</v>
      </c>
      <c r="P133" s="415">
        <v>6</v>
      </c>
      <c r="Q133" s="416">
        <v>442</v>
      </c>
      <c r="R133" s="368"/>
      <c r="S133" s="414">
        <v>45</v>
      </c>
      <c r="T133" s="218">
        <f t="shared" si="13"/>
        <v>0</v>
      </c>
      <c r="U133" s="219">
        <f t="shared" si="14"/>
        <v>21545</v>
      </c>
      <c r="V133" s="368"/>
      <c r="W133" s="414">
        <v>11291</v>
      </c>
      <c r="X133" s="368"/>
      <c r="Y133" s="414">
        <v>608</v>
      </c>
      <c r="Z133" s="367"/>
      <c r="AA133" s="367"/>
      <c r="AB133" s="367"/>
      <c r="AC133" s="415">
        <v>9646</v>
      </c>
      <c r="AD133" s="415"/>
      <c r="AE133" s="416"/>
      <c r="AF133" s="368"/>
      <c r="AG133" s="431"/>
    </row>
    <row r="134" spans="1:33" ht="15">
      <c r="A134" s="409" t="s">
        <v>43</v>
      </c>
      <c r="B134" s="410" t="s">
        <v>331</v>
      </c>
      <c r="C134" s="411"/>
      <c r="D134" s="420">
        <v>139861</v>
      </c>
      <c r="E134" s="413">
        <v>4</v>
      </c>
      <c r="F134" s="217">
        <f t="shared" si="11"/>
        <v>0</v>
      </c>
      <c r="G134" s="216">
        <f t="shared" si="12"/>
        <v>174645</v>
      </c>
      <c r="H134" s="368"/>
      <c r="I134" s="414">
        <v>161384.5</v>
      </c>
      <c r="J134" s="368"/>
      <c r="K134" s="414">
        <v>2820.5</v>
      </c>
      <c r="L134" s="367"/>
      <c r="M134" s="367"/>
      <c r="N134" s="367"/>
      <c r="O134" s="415">
        <v>10440</v>
      </c>
      <c r="P134" s="415"/>
      <c r="Q134" s="416"/>
      <c r="R134" s="368"/>
      <c r="S134" s="414"/>
      <c r="T134" s="218">
        <f t="shared" si="13"/>
        <v>0</v>
      </c>
      <c r="U134" s="219">
        <f t="shared" si="14"/>
        <v>17380</v>
      </c>
      <c r="V134" s="368"/>
      <c r="W134" s="414">
        <v>6014</v>
      </c>
      <c r="X134" s="368"/>
      <c r="Y134" s="414">
        <v>6697</v>
      </c>
      <c r="Z134" s="367"/>
      <c r="AA134" s="367"/>
      <c r="AB134" s="367"/>
      <c r="AC134" s="415">
        <v>4669</v>
      </c>
      <c r="AD134" s="415"/>
      <c r="AE134" s="416"/>
      <c r="AF134" s="368"/>
      <c r="AG134" s="431"/>
    </row>
    <row r="135" spans="1:33" ht="15">
      <c r="A135" s="409" t="s">
        <v>43</v>
      </c>
      <c r="B135" s="419" t="s">
        <v>332</v>
      </c>
      <c r="C135" s="411"/>
      <c r="D135" s="420">
        <v>482149</v>
      </c>
      <c r="E135" s="413">
        <v>4</v>
      </c>
      <c r="F135" s="217">
        <f t="shared" si="11"/>
        <v>0</v>
      </c>
      <c r="G135" s="216">
        <f t="shared" si="12"/>
        <v>144036</v>
      </c>
      <c r="H135" s="368"/>
      <c r="I135" s="414">
        <v>128425</v>
      </c>
      <c r="J135" s="368"/>
      <c r="K135" s="414">
        <v>1772</v>
      </c>
      <c r="L135" s="367"/>
      <c r="M135" s="367"/>
      <c r="N135" s="367"/>
      <c r="O135" s="415">
        <v>13469</v>
      </c>
      <c r="P135" s="415">
        <v>237</v>
      </c>
      <c r="Q135" s="416">
        <v>133</v>
      </c>
      <c r="R135" s="368"/>
      <c r="S135" s="414"/>
      <c r="T135" s="218">
        <f t="shared" si="13"/>
        <v>0</v>
      </c>
      <c r="U135" s="219">
        <f t="shared" si="14"/>
        <v>182666</v>
      </c>
      <c r="V135" s="368"/>
      <c r="W135" s="414">
        <v>157040</v>
      </c>
      <c r="X135" s="368"/>
      <c r="Y135" s="414">
        <v>16181</v>
      </c>
      <c r="Z135" s="367"/>
      <c r="AA135" s="367"/>
      <c r="AB135" s="367"/>
      <c r="AC135" s="415">
        <v>9375</v>
      </c>
      <c r="AD135" s="415"/>
      <c r="AE135" s="416">
        <v>70</v>
      </c>
      <c r="AF135" s="368"/>
      <c r="AG135" s="431"/>
    </row>
    <row r="136" spans="1:33" ht="15">
      <c r="A136" s="409" t="s">
        <v>43</v>
      </c>
      <c r="B136" s="419" t="s">
        <v>333</v>
      </c>
      <c r="C136" s="411"/>
      <c r="D136" s="421">
        <v>482680</v>
      </c>
      <c r="E136" s="413">
        <v>4</v>
      </c>
      <c r="F136" s="217">
        <f t="shared" ref="F136:F199" si="15">SUM(H136,J136,L136,M136,N136,R136)</f>
        <v>0</v>
      </c>
      <c r="G136" s="216">
        <f t="shared" ref="G136:G199" si="16">SUM(I136,K136,O136,P136,Q136,S136)</f>
        <v>376762</v>
      </c>
      <c r="H136" s="368"/>
      <c r="I136" s="414">
        <v>346706</v>
      </c>
      <c r="J136" s="368"/>
      <c r="K136" s="414">
        <v>5152</v>
      </c>
      <c r="L136" s="367"/>
      <c r="M136" s="367"/>
      <c r="N136" s="367"/>
      <c r="O136" s="415">
        <v>24904</v>
      </c>
      <c r="P136" s="415"/>
      <c r="Q136" s="416"/>
      <c r="R136" s="368"/>
      <c r="S136" s="414"/>
      <c r="T136" s="218">
        <f t="shared" ref="T136:T199" si="17">SUM(V136,X136,Z136,AA136,AB136,AF136)</f>
        <v>0</v>
      </c>
      <c r="U136" s="219">
        <f t="shared" ref="U136:U199" si="18">SUM(W136,Y136,AC136,AD136,AE136,AG136)</f>
        <v>11685</v>
      </c>
      <c r="V136" s="368"/>
      <c r="W136" s="414">
        <v>8458</v>
      </c>
      <c r="X136" s="368"/>
      <c r="Y136" s="414">
        <v>604</v>
      </c>
      <c r="Z136" s="367"/>
      <c r="AA136" s="367"/>
      <c r="AB136" s="367"/>
      <c r="AC136" s="415">
        <v>2623</v>
      </c>
      <c r="AD136" s="415"/>
      <c r="AE136" s="416"/>
      <c r="AF136" s="368"/>
      <c r="AG136" s="431"/>
    </row>
    <row r="137" spans="1:33" ht="15">
      <c r="A137" s="409" t="s">
        <v>43</v>
      </c>
      <c r="B137" s="410" t="s">
        <v>334</v>
      </c>
      <c r="C137" s="417" t="s">
        <v>353</v>
      </c>
      <c r="D137" s="420">
        <v>139311</v>
      </c>
      <c r="E137" s="418">
        <v>4</v>
      </c>
      <c r="F137" s="217">
        <f t="shared" si="15"/>
        <v>0</v>
      </c>
      <c r="G137" s="216">
        <f t="shared" si="16"/>
        <v>158774</v>
      </c>
      <c r="H137" s="368"/>
      <c r="I137" s="414">
        <v>125069</v>
      </c>
      <c r="J137" s="368"/>
      <c r="K137" s="414">
        <v>3324</v>
      </c>
      <c r="L137" s="367"/>
      <c r="M137" s="367"/>
      <c r="N137" s="367"/>
      <c r="O137" s="415">
        <v>30321</v>
      </c>
      <c r="P137" s="415">
        <v>60</v>
      </c>
      <c r="Q137" s="416"/>
      <c r="R137" s="368"/>
      <c r="S137" s="414"/>
      <c r="T137" s="218">
        <f t="shared" si="17"/>
        <v>0</v>
      </c>
      <c r="U137" s="219">
        <f t="shared" si="18"/>
        <v>6821</v>
      </c>
      <c r="V137" s="368"/>
      <c r="W137" s="414">
        <v>5307</v>
      </c>
      <c r="X137" s="368"/>
      <c r="Y137" s="414">
        <v>323</v>
      </c>
      <c r="Z137" s="367"/>
      <c r="AA137" s="367"/>
      <c r="AB137" s="367"/>
      <c r="AC137" s="415">
        <v>1182</v>
      </c>
      <c r="AD137" s="415">
        <v>9</v>
      </c>
      <c r="AE137" s="416"/>
      <c r="AF137" s="368"/>
      <c r="AG137" s="431"/>
    </row>
    <row r="138" spans="1:33" ht="15">
      <c r="A138" s="409" t="s">
        <v>43</v>
      </c>
      <c r="B138" s="410" t="s">
        <v>335</v>
      </c>
      <c r="C138" s="411" t="s">
        <v>354</v>
      </c>
      <c r="D138" s="420">
        <v>139719</v>
      </c>
      <c r="E138" s="413">
        <v>5</v>
      </c>
      <c r="F138" s="217">
        <f t="shared" si="15"/>
        <v>0</v>
      </c>
      <c r="G138" s="216">
        <f t="shared" si="16"/>
        <v>68639</v>
      </c>
      <c r="H138" s="368"/>
      <c r="I138" s="414">
        <v>57906</v>
      </c>
      <c r="J138" s="368"/>
      <c r="K138" s="414">
        <v>69</v>
      </c>
      <c r="L138" s="367"/>
      <c r="M138" s="367"/>
      <c r="N138" s="367"/>
      <c r="O138" s="415">
        <v>9265</v>
      </c>
      <c r="P138" s="415"/>
      <c r="Q138" s="416">
        <v>54</v>
      </c>
      <c r="R138" s="368"/>
      <c r="S138" s="414">
        <v>1345</v>
      </c>
      <c r="T138" s="218">
        <f t="shared" si="17"/>
        <v>0</v>
      </c>
      <c r="U138" s="219">
        <f t="shared" si="18"/>
        <v>5481</v>
      </c>
      <c r="V138" s="368"/>
      <c r="W138" s="414">
        <v>3678</v>
      </c>
      <c r="X138" s="368"/>
      <c r="Y138" s="414">
        <v>238</v>
      </c>
      <c r="Z138" s="367"/>
      <c r="AA138" s="367"/>
      <c r="AB138" s="367"/>
      <c r="AC138" s="415">
        <v>1528</v>
      </c>
      <c r="AD138" s="415"/>
      <c r="AE138" s="416"/>
      <c r="AF138" s="368"/>
      <c r="AG138" s="431">
        <v>37</v>
      </c>
    </row>
    <row r="139" spans="1:33" ht="15">
      <c r="A139" s="409" t="s">
        <v>43</v>
      </c>
      <c r="B139" s="410" t="s">
        <v>336</v>
      </c>
      <c r="C139" s="411"/>
      <c r="D139" s="420">
        <v>139764</v>
      </c>
      <c r="E139" s="413">
        <v>5</v>
      </c>
      <c r="F139" s="217">
        <f t="shared" si="15"/>
        <v>0</v>
      </c>
      <c r="G139" s="216">
        <f t="shared" si="16"/>
        <v>66073</v>
      </c>
      <c r="H139" s="368"/>
      <c r="I139" s="414">
        <v>43087</v>
      </c>
      <c r="J139" s="368"/>
      <c r="K139" s="414">
        <v>1558</v>
      </c>
      <c r="L139" s="367"/>
      <c r="M139" s="367"/>
      <c r="N139" s="367"/>
      <c r="O139" s="415">
        <v>21428</v>
      </c>
      <c r="P139" s="415"/>
      <c r="Q139" s="416"/>
      <c r="R139" s="368"/>
      <c r="S139" s="414"/>
      <c r="T139" s="218">
        <f t="shared" si="17"/>
        <v>0</v>
      </c>
      <c r="U139" s="219">
        <f t="shared" si="18"/>
        <v>3183</v>
      </c>
      <c r="V139" s="368"/>
      <c r="W139" s="414">
        <v>1467</v>
      </c>
      <c r="X139" s="368"/>
      <c r="Y139" s="414"/>
      <c r="Z139" s="367"/>
      <c r="AA139" s="367"/>
      <c r="AB139" s="367"/>
      <c r="AC139" s="415">
        <v>1716</v>
      </c>
      <c r="AD139" s="415"/>
      <c r="AE139" s="416"/>
      <c r="AF139" s="368"/>
      <c r="AG139" s="431"/>
    </row>
    <row r="140" spans="1:33" ht="15">
      <c r="A140" s="409" t="s">
        <v>43</v>
      </c>
      <c r="B140" s="410" t="s">
        <v>337</v>
      </c>
      <c r="C140" s="411"/>
      <c r="D140" s="420">
        <v>140960</v>
      </c>
      <c r="E140" s="413">
        <v>5</v>
      </c>
      <c r="F140" s="217">
        <f t="shared" si="15"/>
        <v>0</v>
      </c>
      <c r="G140" s="216">
        <f t="shared" si="16"/>
        <v>132276</v>
      </c>
      <c r="H140" s="368"/>
      <c r="I140" s="414">
        <v>126216</v>
      </c>
      <c r="J140" s="368"/>
      <c r="K140" s="414">
        <v>78</v>
      </c>
      <c r="L140" s="367"/>
      <c r="M140" s="367"/>
      <c r="N140" s="367"/>
      <c r="O140" s="415">
        <v>5982</v>
      </c>
      <c r="P140" s="415"/>
      <c r="Q140" s="416"/>
      <c r="R140" s="368"/>
      <c r="S140" s="414"/>
      <c r="T140" s="218">
        <f t="shared" si="17"/>
        <v>0</v>
      </c>
      <c r="U140" s="219">
        <f t="shared" si="18"/>
        <v>3708</v>
      </c>
      <c r="V140" s="368"/>
      <c r="W140" s="414">
        <v>2487</v>
      </c>
      <c r="X140" s="368"/>
      <c r="Y140" s="414">
        <v>1188</v>
      </c>
      <c r="Z140" s="367"/>
      <c r="AA140" s="367"/>
      <c r="AB140" s="367"/>
      <c r="AC140" s="415">
        <v>33</v>
      </c>
      <c r="AD140" s="415"/>
      <c r="AE140" s="416"/>
      <c r="AF140" s="368"/>
      <c r="AG140" s="431"/>
    </row>
    <row r="141" spans="1:33" ht="15">
      <c r="A141" s="422" t="s">
        <v>43</v>
      </c>
      <c r="B141" s="410" t="s">
        <v>338</v>
      </c>
      <c r="C141" s="417"/>
      <c r="D141" s="420">
        <v>139463</v>
      </c>
      <c r="E141" s="433">
        <v>6</v>
      </c>
      <c r="F141" s="217">
        <f t="shared" si="15"/>
        <v>0</v>
      </c>
      <c r="G141" s="216">
        <f t="shared" si="16"/>
        <v>111767</v>
      </c>
      <c r="H141" s="368"/>
      <c r="I141" s="414">
        <v>102093</v>
      </c>
      <c r="J141" s="368"/>
      <c r="K141" s="414">
        <v>5165</v>
      </c>
      <c r="L141" s="367"/>
      <c r="M141" s="367"/>
      <c r="N141" s="367"/>
      <c r="O141" s="415">
        <v>4509</v>
      </c>
      <c r="P141" s="415"/>
      <c r="Q141" s="416"/>
      <c r="R141" s="368"/>
      <c r="S141" s="414"/>
      <c r="T141" s="218">
        <f t="shared" si="17"/>
        <v>0</v>
      </c>
      <c r="U141" s="219">
        <f t="shared" si="18"/>
        <v>0</v>
      </c>
      <c r="V141" s="368"/>
      <c r="W141" s="414"/>
      <c r="X141" s="368"/>
      <c r="Y141" s="414"/>
      <c r="Z141" s="367"/>
      <c r="AA141" s="367"/>
      <c r="AB141" s="367"/>
      <c r="AC141" s="415"/>
      <c r="AD141" s="415"/>
      <c r="AE141" s="416"/>
      <c r="AF141" s="368"/>
      <c r="AG141" s="431"/>
    </row>
    <row r="142" spans="1:33" ht="15">
      <c r="A142" s="422" t="s">
        <v>43</v>
      </c>
      <c r="B142" s="410" t="s">
        <v>339</v>
      </c>
      <c r="C142" s="417"/>
      <c r="D142" s="420">
        <v>447689</v>
      </c>
      <c r="E142" s="413">
        <v>6</v>
      </c>
      <c r="F142" s="217">
        <f t="shared" si="15"/>
        <v>0</v>
      </c>
      <c r="G142" s="216">
        <f t="shared" si="16"/>
        <v>263343</v>
      </c>
      <c r="H142" s="368"/>
      <c r="I142" s="414">
        <v>263143</v>
      </c>
      <c r="J142" s="368"/>
      <c r="K142" s="414">
        <v>78</v>
      </c>
      <c r="L142" s="367"/>
      <c r="M142" s="367"/>
      <c r="N142" s="367"/>
      <c r="O142" s="415">
        <v>122</v>
      </c>
      <c r="P142" s="415"/>
      <c r="Q142" s="416"/>
      <c r="R142" s="368"/>
      <c r="S142" s="414"/>
      <c r="T142" s="218">
        <f t="shared" si="17"/>
        <v>0</v>
      </c>
      <c r="U142" s="219">
        <f t="shared" si="18"/>
        <v>0</v>
      </c>
      <c r="V142" s="368"/>
      <c r="W142" s="414"/>
      <c r="X142" s="368"/>
      <c r="Y142" s="414"/>
      <c r="Z142" s="367"/>
      <c r="AA142" s="367"/>
      <c r="AB142" s="367"/>
      <c r="AC142" s="415"/>
      <c r="AD142" s="415"/>
      <c r="AE142" s="416"/>
      <c r="AF142" s="368"/>
      <c r="AG142" s="431"/>
    </row>
    <row r="143" spans="1:33" ht="15">
      <c r="A143" s="409" t="s">
        <v>43</v>
      </c>
      <c r="B143" s="419" t="s">
        <v>340</v>
      </c>
      <c r="C143" s="411"/>
      <c r="D143" s="421">
        <v>482158</v>
      </c>
      <c r="E143" s="413">
        <v>6</v>
      </c>
      <c r="F143" s="217">
        <f t="shared" si="15"/>
        <v>0</v>
      </c>
      <c r="G143" s="216">
        <f t="shared" si="16"/>
        <v>192034</v>
      </c>
      <c r="H143" s="368"/>
      <c r="I143" s="414">
        <v>124229</v>
      </c>
      <c r="J143" s="368"/>
      <c r="K143" s="414">
        <v>29029</v>
      </c>
      <c r="L143" s="367"/>
      <c r="M143" s="367"/>
      <c r="N143" s="367"/>
      <c r="O143" s="415">
        <v>38776</v>
      </c>
      <c r="P143" s="415"/>
      <c r="Q143" s="416"/>
      <c r="R143" s="368"/>
      <c r="S143" s="414"/>
      <c r="T143" s="218">
        <f t="shared" si="17"/>
        <v>0</v>
      </c>
      <c r="U143" s="219">
        <f t="shared" si="18"/>
        <v>0</v>
      </c>
      <c r="V143" s="368"/>
      <c r="W143" s="414"/>
      <c r="X143" s="368"/>
      <c r="Y143" s="414"/>
      <c r="Z143" s="367"/>
      <c r="AA143" s="367"/>
      <c r="AB143" s="367"/>
      <c r="AC143" s="415"/>
      <c r="AD143" s="415"/>
      <c r="AE143" s="416"/>
      <c r="AF143" s="368"/>
      <c r="AG143" s="431"/>
    </row>
    <row r="144" spans="1:33" ht="15">
      <c r="A144" s="422" t="s">
        <v>43</v>
      </c>
      <c r="B144" s="410" t="s">
        <v>341</v>
      </c>
      <c r="C144" s="417"/>
      <c r="D144" s="412">
        <v>138558</v>
      </c>
      <c r="E144" s="433">
        <v>7</v>
      </c>
      <c r="F144" s="217">
        <f t="shared" si="15"/>
        <v>0</v>
      </c>
      <c r="G144" s="216">
        <f t="shared" si="16"/>
        <v>83729</v>
      </c>
      <c r="H144" s="368"/>
      <c r="I144" s="414">
        <v>77766</v>
      </c>
      <c r="J144" s="368"/>
      <c r="K144" s="414">
        <v>3631</v>
      </c>
      <c r="L144" s="367"/>
      <c r="M144" s="367"/>
      <c r="N144" s="367"/>
      <c r="O144" s="415">
        <v>2170</v>
      </c>
      <c r="P144" s="415"/>
      <c r="Q144" s="416">
        <v>102</v>
      </c>
      <c r="R144" s="368"/>
      <c r="S144" s="414">
        <v>60</v>
      </c>
      <c r="T144" s="218">
        <f t="shared" si="17"/>
        <v>0</v>
      </c>
      <c r="U144" s="219">
        <f t="shared" si="18"/>
        <v>0</v>
      </c>
      <c r="V144" s="368"/>
      <c r="W144" s="414"/>
      <c r="X144" s="368"/>
      <c r="Y144" s="414"/>
      <c r="Z144" s="367"/>
      <c r="AA144" s="367"/>
      <c r="AB144" s="367"/>
      <c r="AC144" s="415"/>
      <c r="AD144" s="415"/>
      <c r="AE144" s="416"/>
      <c r="AF144" s="368"/>
      <c r="AG144" s="431"/>
    </row>
    <row r="145" spans="1:33" ht="15">
      <c r="A145" s="422" t="s">
        <v>43</v>
      </c>
      <c r="B145" s="423" t="s">
        <v>342</v>
      </c>
      <c r="C145" s="411" t="s">
        <v>355</v>
      </c>
      <c r="D145" s="412">
        <v>139250</v>
      </c>
      <c r="E145" s="433">
        <v>7</v>
      </c>
      <c r="F145" s="217">
        <f t="shared" si="15"/>
        <v>0</v>
      </c>
      <c r="G145" s="216">
        <f t="shared" si="16"/>
        <v>70526</v>
      </c>
      <c r="H145" s="368"/>
      <c r="I145" s="414">
        <v>62124</v>
      </c>
      <c r="J145" s="368"/>
      <c r="K145" s="414">
        <v>1067</v>
      </c>
      <c r="L145" s="367"/>
      <c r="M145" s="367"/>
      <c r="N145" s="367"/>
      <c r="O145" s="415">
        <v>7335</v>
      </c>
      <c r="P145" s="415"/>
      <c r="Q145" s="416"/>
      <c r="R145" s="368"/>
      <c r="S145" s="414"/>
      <c r="T145" s="218">
        <f t="shared" si="17"/>
        <v>0</v>
      </c>
      <c r="U145" s="219">
        <f t="shared" si="18"/>
        <v>0</v>
      </c>
      <c r="V145" s="368"/>
      <c r="W145" s="414"/>
      <c r="X145" s="368"/>
      <c r="Y145" s="414"/>
      <c r="Z145" s="367"/>
      <c r="AA145" s="367"/>
      <c r="AB145" s="367"/>
      <c r="AC145" s="415"/>
      <c r="AD145" s="415"/>
      <c r="AE145" s="416"/>
      <c r="AF145" s="368"/>
      <c r="AG145" s="431"/>
    </row>
    <row r="146" spans="1:33" ht="15">
      <c r="A146" s="422" t="s">
        <v>43</v>
      </c>
      <c r="B146" s="410" t="s">
        <v>343</v>
      </c>
      <c r="C146" s="417"/>
      <c r="D146" s="412">
        <v>139968</v>
      </c>
      <c r="E146" s="424">
        <v>7</v>
      </c>
      <c r="F146" s="217">
        <f t="shared" si="15"/>
        <v>0</v>
      </c>
      <c r="G146" s="216">
        <f t="shared" si="16"/>
        <v>96722</v>
      </c>
      <c r="H146" s="368"/>
      <c r="I146" s="414">
        <v>86418</v>
      </c>
      <c r="J146" s="368"/>
      <c r="K146" s="414">
        <v>2765</v>
      </c>
      <c r="L146" s="367"/>
      <c r="M146" s="367"/>
      <c r="N146" s="367"/>
      <c r="O146" s="415">
        <v>4976</v>
      </c>
      <c r="P146" s="415"/>
      <c r="Q146" s="416">
        <v>2563</v>
      </c>
      <c r="R146" s="368"/>
      <c r="S146" s="414"/>
      <c r="T146" s="218">
        <f t="shared" si="17"/>
        <v>0</v>
      </c>
      <c r="U146" s="219">
        <f t="shared" si="18"/>
        <v>0</v>
      </c>
      <c r="V146" s="368"/>
      <c r="W146" s="414"/>
      <c r="X146" s="368"/>
      <c r="Y146" s="414"/>
      <c r="Z146" s="367"/>
      <c r="AA146" s="367"/>
      <c r="AB146" s="367"/>
      <c r="AC146" s="415"/>
      <c r="AD146" s="415"/>
      <c r="AE146" s="416"/>
      <c r="AF146" s="368"/>
      <c r="AG146" s="431"/>
    </row>
    <row r="147" spans="1:33" ht="15">
      <c r="A147" s="422" t="s">
        <v>43</v>
      </c>
      <c r="B147" s="410" t="s">
        <v>344</v>
      </c>
      <c r="C147" s="411"/>
      <c r="D147" s="412">
        <v>244437</v>
      </c>
      <c r="E147" s="424">
        <v>8</v>
      </c>
      <c r="F147" s="217">
        <f t="shared" si="15"/>
        <v>0</v>
      </c>
      <c r="G147" s="216">
        <f t="shared" si="16"/>
        <v>461341</v>
      </c>
      <c r="H147" s="368"/>
      <c r="I147" s="414">
        <v>358603</v>
      </c>
      <c r="J147" s="368"/>
      <c r="K147" s="414">
        <v>3167</v>
      </c>
      <c r="L147" s="367"/>
      <c r="M147" s="367"/>
      <c r="N147" s="367"/>
      <c r="O147" s="415">
        <v>87024</v>
      </c>
      <c r="P147" s="415"/>
      <c r="Q147" s="416">
        <v>12547</v>
      </c>
      <c r="R147" s="368"/>
      <c r="S147" s="414"/>
      <c r="T147" s="218">
        <f t="shared" si="17"/>
        <v>0</v>
      </c>
      <c r="U147" s="219">
        <f t="shared" si="18"/>
        <v>0</v>
      </c>
      <c r="V147" s="368"/>
      <c r="W147" s="414"/>
      <c r="X147" s="368"/>
      <c r="Y147" s="414"/>
      <c r="Z147" s="367"/>
      <c r="AA147" s="367"/>
      <c r="AB147" s="367"/>
      <c r="AC147" s="415"/>
      <c r="AD147" s="415"/>
      <c r="AE147" s="416"/>
      <c r="AF147" s="368"/>
      <c r="AG147" s="431"/>
    </row>
    <row r="148" spans="1:33" ht="15">
      <c r="A148" s="422" t="s">
        <v>43</v>
      </c>
      <c r="B148" s="410" t="s">
        <v>345</v>
      </c>
      <c r="C148" s="411" t="s">
        <v>356</v>
      </c>
      <c r="D148" s="412">
        <v>138901</v>
      </c>
      <c r="E148" s="424">
        <v>9</v>
      </c>
      <c r="F148" s="217">
        <f t="shared" si="15"/>
        <v>0</v>
      </c>
      <c r="G148" s="216">
        <f t="shared" si="16"/>
        <v>73188</v>
      </c>
      <c r="H148" s="368"/>
      <c r="I148" s="414">
        <v>55163</v>
      </c>
      <c r="J148" s="368"/>
      <c r="K148" s="414">
        <v>405</v>
      </c>
      <c r="L148" s="367"/>
      <c r="M148" s="367"/>
      <c r="N148" s="367"/>
      <c r="O148" s="415">
        <v>17509</v>
      </c>
      <c r="P148" s="415"/>
      <c r="Q148" s="416">
        <v>111</v>
      </c>
      <c r="R148" s="368"/>
      <c r="S148" s="414"/>
      <c r="T148" s="218">
        <f t="shared" si="17"/>
        <v>0</v>
      </c>
      <c r="U148" s="219">
        <f t="shared" si="18"/>
        <v>0</v>
      </c>
      <c r="V148" s="368"/>
      <c r="W148" s="414"/>
      <c r="X148" s="368"/>
      <c r="Y148" s="414"/>
      <c r="Z148" s="367"/>
      <c r="AA148" s="367"/>
      <c r="AB148" s="367"/>
      <c r="AC148" s="415"/>
      <c r="AD148" s="415"/>
      <c r="AE148" s="416"/>
      <c r="AF148" s="368"/>
      <c r="AG148" s="431"/>
    </row>
    <row r="149" spans="1:33" ht="15">
      <c r="A149" s="422" t="s">
        <v>43</v>
      </c>
      <c r="B149" s="425" t="s">
        <v>346</v>
      </c>
      <c r="C149" s="411" t="s">
        <v>357</v>
      </c>
      <c r="D149" s="412">
        <v>139010</v>
      </c>
      <c r="E149" s="424">
        <v>9</v>
      </c>
      <c r="F149" s="217">
        <f t="shared" si="15"/>
        <v>0</v>
      </c>
      <c r="G149" s="216">
        <f t="shared" si="16"/>
        <v>57994</v>
      </c>
      <c r="H149" s="368"/>
      <c r="I149" s="414">
        <v>32330</v>
      </c>
      <c r="J149" s="368"/>
      <c r="K149" s="414">
        <v>9191</v>
      </c>
      <c r="L149" s="367"/>
      <c r="M149" s="367"/>
      <c r="N149" s="367"/>
      <c r="O149" s="415">
        <v>16473</v>
      </c>
      <c r="P149" s="415"/>
      <c r="Q149" s="416"/>
      <c r="R149" s="368"/>
      <c r="S149" s="414"/>
      <c r="T149" s="218">
        <f t="shared" si="17"/>
        <v>0</v>
      </c>
      <c r="U149" s="219">
        <f t="shared" si="18"/>
        <v>0</v>
      </c>
      <c r="V149" s="368"/>
      <c r="W149" s="414"/>
      <c r="X149" s="368"/>
      <c r="Y149" s="414"/>
      <c r="Z149" s="367"/>
      <c r="AA149" s="367"/>
      <c r="AB149" s="367"/>
      <c r="AC149" s="415"/>
      <c r="AD149" s="415"/>
      <c r="AE149" s="416"/>
      <c r="AF149" s="368"/>
      <c r="AG149" s="431"/>
    </row>
    <row r="150" spans="1:33" ht="15">
      <c r="A150" s="422" t="s">
        <v>43</v>
      </c>
      <c r="B150" s="423" t="s">
        <v>347</v>
      </c>
      <c r="C150" s="411" t="s">
        <v>356</v>
      </c>
      <c r="D150" s="412">
        <v>138691</v>
      </c>
      <c r="E150" s="424">
        <v>9</v>
      </c>
      <c r="F150" s="217">
        <f t="shared" si="15"/>
        <v>0</v>
      </c>
      <c r="G150" s="216">
        <f t="shared" si="16"/>
        <v>133516.5</v>
      </c>
      <c r="H150" s="368"/>
      <c r="I150" s="414">
        <v>70163.5</v>
      </c>
      <c r="J150" s="368"/>
      <c r="K150" s="414">
        <v>7011</v>
      </c>
      <c r="L150" s="367"/>
      <c r="M150" s="367"/>
      <c r="N150" s="367"/>
      <c r="O150" s="415">
        <v>56230</v>
      </c>
      <c r="P150" s="415"/>
      <c r="Q150" s="416">
        <v>112</v>
      </c>
      <c r="R150" s="368"/>
      <c r="S150" s="414"/>
      <c r="T150" s="218">
        <f t="shared" si="17"/>
        <v>0</v>
      </c>
      <c r="U150" s="219">
        <f t="shared" si="18"/>
        <v>0</v>
      </c>
      <c r="V150" s="368"/>
      <c r="W150" s="414"/>
      <c r="X150" s="368"/>
      <c r="Y150" s="414"/>
      <c r="Z150" s="367"/>
      <c r="AA150" s="367"/>
      <c r="AB150" s="367"/>
      <c r="AC150" s="415"/>
      <c r="AD150" s="415"/>
      <c r="AE150" s="416"/>
      <c r="AF150" s="368"/>
      <c r="AG150" s="431"/>
    </row>
    <row r="151" spans="1:33" ht="15">
      <c r="A151" s="422" t="s">
        <v>43</v>
      </c>
      <c r="B151" s="410" t="s">
        <v>348</v>
      </c>
      <c r="C151" s="411" t="s">
        <v>356</v>
      </c>
      <c r="D151" s="412">
        <v>139621</v>
      </c>
      <c r="E151" s="424">
        <v>9</v>
      </c>
      <c r="F151" s="217">
        <f t="shared" si="15"/>
        <v>0</v>
      </c>
      <c r="G151" s="216">
        <f t="shared" si="16"/>
        <v>68721</v>
      </c>
      <c r="H151" s="368"/>
      <c r="I151" s="414">
        <v>45104</v>
      </c>
      <c r="J151" s="368"/>
      <c r="K151" s="414">
        <v>11425</v>
      </c>
      <c r="L151" s="367"/>
      <c r="M151" s="367"/>
      <c r="N151" s="367"/>
      <c r="O151" s="415">
        <v>12189</v>
      </c>
      <c r="P151" s="415"/>
      <c r="Q151" s="416">
        <v>3</v>
      </c>
      <c r="R151" s="368"/>
      <c r="S151" s="414"/>
      <c r="T151" s="218">
        <f t="shared" si="17"/>
        <v>0</v>
      </c>
      <c r="U151" s="219">
        <f t="shared" si="18"/>
        <v>0</v>
      </c>
      <c r="V151" s="368"/>
      <c r="W151" s="414"/>
      <c r="X151" s="368"/>
      <c r="Y151" s="414"/>
      <c r="Z151" s="367"/>
      <c r="AA151" s="367"/>
      <c r="AB151" s="367"/>
      <c r="AC151" s="415"/>
      <c r="AD151" s="415"/>
      <c r="AE151" s="416"/>
      <c r="AF151" s="368"/>
      <c r="AG151" s="431"/>
    </row>
    <row r="152" spans="1:33" ht="15">
      <c r="A152" s="426" t="s">
        <v>43</v>
      </c>
      <c r="B152" s="419" t="s">
        <v>349</v>
      </c>
      <c r="C152" s="411"/>
      <c r="D152" s="412">
        <v>139700</v>
      </c>
      <c r="E152" s="427">
        <v>9</v>
      </c>
      <c r="F152" s="217">
        <f t="shared" si="15"/>
        <v>0</v>
      </c>
      <c r="G152" s="216">
        <f t="shared" si="16"/>
        <v>118303</v>
      </c>
      <c r="H152" s="368"/>
      <c r="I152" s="414">
        <v>82247</v>
      </c>
      <c r="J152" s="368"/>
      <c r="K152" s="414">
        <v>17675</v>
      </c>
      <c r="L152" s="367"/>
      <c r="M152" s="367"/>
      <c r="N152" s="367"/>
      <c r="O152" s="415">
        <v>16704</v>
      </c>
      <c r="P152" s="415">
        <v>528</v>
      </c>
      <c r="Q152" s="416">
        <v>669</v>
      </c>
      <c r="R152" s="368"/>
      <c r="S152" s="414">
        <v>480</v>
      </c>
      <c r="T152" s="218">
        <f t="shared" si="17"/>
        <v>0</v>
      </c>
      <c r="U152" s="219">
        <f t="shared" si="18"/>
        <v>0</v>
      </c>
      <c r="V152" s="368"/>
      <c r="W152" s="414"/>
      <c r="X152" s="368"/>
      <c r="Y152" s="414"/>
      <c r="Z152" s="367"/>
      <c r="AA152" s="367"/>
      <c r="AB152" s="367"/>
      <c r="AC152" s="415"/>
      <c r="AD152" s="415"/>
      <c r="AE152" s="416"/>
      <c r="AF152" s="368"/>
      <c r="AG152" s="431"/>
    </row>
    <row r="153" spans="1:33" ht="15">
      <c r="A153" s="409" t="s">
        <v>43</v>
      </c>
      <c r="B153" s="419" t="s">
        <v>350</v>
      </c>
      <c r="C153" s="411" t="s">
        <v>356</v>
      </c>
      <c r="D153" s="421">
        <v>482699</v>
      </c>
      <c r="E153" s="427">
        <v>9</v>
      </c>
      <c r="F153" s="217">
        <f t="shared" si="15"/>
        <v>0</v>
      </c>
      <c r="G153" s="216">
        <f t="shared" si="16"/>
        <v>61969</v>
      </c>
      <c r="H153" s="368"/>
      <c r="I153" s="414">
        <v>29360</v>
      </c>
      <c r="J153" s="368"/>
      <c r="K153" s="414">
        <v>28575</v>
      </c>
      <c r="L153" s="367"/>
      <c r="M153" s="367"/>
      <c r="N153" s="367"/>
      <c r="O153" s="415">
        <v>4034</v>
      </c>
      <c r="P153" s="415"/>
      <c r="Q153" s="416"/>
      <c r="R153" s="368"/>
      <c r="S153" s="414"/>
      <c r="T153" s="218">
        <f t="shared" si="17"/>
        <v>0</v>
      </c>
      <c r="U153" s="219">
        <f t="shared" si="18"/>
        <v>0</v>
      </c>
      <c r="V153" s="368"/>
      <c r="W153" s="414"/>
      <c r="X153" s="368"/>
      <c r="Y153" s="414"/>
      <c r="Z153" s="367"/>
      <c r="AA153" s="367"/>
      <c r="AB153" s="367"/>
      <c r="AC153" s="415"/>
      <c r="AD153" s="415"/>
      <c r="AE153" s="416"/>
      <c r="AF153" s="368"/>
      <c r="AG153" s="431"/>
    </row>
    <row r="154" spans="1:33" ht="15">
      <c r="A154" s="422" t="s">
        <v>43</v>
      </c>
      <c r="B154" s="425" t="s">
        <v>351</v>
      </c>
      <c r="C154" s="428"/>
      <c r="D154" s="424">
        <v>141097</v>
      </c>
      <c r="E154" s="424">
        <v>15</v>
      </c>
      <c r="F154" s="217">
        <f t="shared" si="15"/>
        <v>0</v>
      </c>
      <c r="G154" s="216">
        <f t="shared" si="16"/>
        <v>154779</v>
      </c>
      <c r="H154" s="368"/>
      <c r="I154" s="414">
        <v>127169</v>
      </c>
      <c r="J154" s="368"/>
      <c r="K154" s="414">
        <v>24</v>
      </c>
      <c r="L154" s="367"/>
      <c r="M154" s="367"/>
      <c r="N154" s="367"/>
      <c r="O154" s="415">
        <v>24677</v>
      </c>
      <c r="P154" s="415"/>
      <c r="Q154" s="416">
        <v>2906</v>
      </c>
      <c r="R154" s="368"/>
      <c r="S154" s="414">
        <v>3</v>
      </c>
      <c r="T154" s="218">
        <f t="shared" si="17"/>
        <v>0</v>
      </c>
      <c r="U154" s="219">
        <f t="shared" si="18"/>
        <v>12547.5</v>
      </c>
      <c r="V154" s="368"/>
      <c r="W154" s="414">
        <v>2730</v>
      </c>
      <c r="X154" s="368"/>
      <c r="Y154" s="414">
        <v>12</v>
      </c>
      <c r="Z154" s="367"/>
      <c r="AA154" s="367"/>
      <c r="AB154" s="367"/>
      <c r="AC154" s="415">
        <v>9800.5</v>
      </c>
      <c r="AD154" s="415"/>
      <c r="AE154" s="416">
        <v>2</v>
      </c>
      <c r="AF154" s="368"/>
      <c r="AG154" s="431">
        <v>3</v>
      </c>
    </row>
    <row r="155" spans="1:33" ht="15">
      <c r="A155" s="480" t="s">
        <v>43</v>
      </c>
      <c r="B155" s="481" t="s">
        <v>467</v>
      </c>
      <c r="C155" s="482"/>
      <c r="D155" s="483">
        <v>138682</v>
      </c>
      <c r="E155" s="484">
        <v>12</v>
      </c>
      <c r="F155" s="217">
        <f t="shared" si="15"/>
        <v>112202</v>
      </c>
      <c r="G155" s="216">
        <f t="shared" si="16"/>
        <v>107540</v>
      </c>
      <c r="H155" s="506">
        <v>67041</v>
      </c>
      <c r="I155" s="486">
        <v>63195</v>
      </c>
      <c r="J155" s="485"/>
      <c r="K155" s="390"/>
      <c r="L155" s="502">
        <v>45161</v>
      </c>
      <c r="M155" s="367">
        <v>0</v>
      </c>
      <c r="N155" s="367"/>
      <c r="O155" s="487">
        <v>44345</v>
      </c>
      <c r="P155" s="487">
        <v>0</v>
      </c>
      <c r="Q155" s="487">
        <v>0</v>
      </c>
      <c r="R155" s="485"/>
      <c r="S155" s="390"/>
      <c r="T155" s="218">
        <f t="shared" si="17"/>
        <v>0</v>
      </c>
      <c r="U155" s="219">
        <f t="shared" si="18"/>
        <v>0</v>
      </c>
      <c r="V155" s="485"/>
      <c r="W155" s="390"/>
      <c r="X155" s="485"/>
      <c r="Y155" s="390"/>
      <c r="Z155" s="367"/>
      <c r="AA155" s="367"/>
      <c r="AB155" s="367"/>
      <c r="AC155" s="390"/>
      <c r="AD155" s="390"/>
      <c r="AE155" s="391"/>
      <c r="AF155" s="485"/>
      <c r="AG155" s="391"/>
    </row>
    <row r="156" spans="1:33" ht="15">
      <c r="A156" s="480" t="s">
        <v>43</v>
      </c>
      <c r="B156" s="481" t="s">
        <v>468</v>
      </c>
      <c r="C156" s="482"/>
      <c r="D156" s="483">
        <v>246813</v>
      </c>
      <c r="E156" s="484">
        <v>12</v>
      </c>
      <c r="F156" s="217">
        <f t="shared" si="15"/>
        <v>93787</v>
      </c>
      <c r="G156" s="216">
        <f t="shared" si="16"/>
        <v>86355</v>
      </c>
      <c r="H156" s="506">
        <v>77589</v>
      </c>
      <c r="I156" s="486">
        <v>70305</v>
      </c>
      <c r="J156" s="485"/>
      <c r="K156" s="390"/>
      <c r="L156" s="502">
        <v>14757</v>
      </c>
      <c r="M156" s="367">
        <v>1441</v>
      </c>
      <c r="N156" s="367"/>
      <c r="O156" s="487">
        <v>14306</v>
      </c>
      <c r="P156" s="487">
        <v>1744</v>
      </c>
      <c r="Q156" s="487">
        <v>0</v>
      </c>
      <c r="R156" s="485"/>
      <c r="S156" s="390"/>
      <c r="T156" s="218">
        <f t="shared" si="17"/>
        <v>0</v>
      </c>
      <c r="U156" s="219">
        <f t="shared" si="18"/>
        <v>0</v>
      </c>
      <c r="V156" s="485"/>
      <c r="W156" s="390"/>
      <c r="X156" s="485"/>
      <c r="Y156" s="390"/>
      <c r="Z156" s="367"/>
      <c r="AA156" s="367"/>
      <c r="AB156" s="367"/>
      <c r="AC156" s="390"/>
      <c r="AD156" s="390"/>
      <c r="AE156" s="391"/>
      <c r="AF156" s="485"/>
      <c r="AG156" s="391"/>
    </row>
    <row r="157" spans="1:33" ht="15">
      <c r="A157" s="480" t="s">
        <v>43</v>
      </c>
      <c r="B157" s="481" t="s">
        <v>469</v>
      </c>
      <c r="C157" s="482"/>
      <c r="D157" s="483">
        <v>138840</v>
      </c>
      <c r="E157" s="484">
        <v>12</v>
      </c>
      <c r="F157" s="217">
        <f t="shared" si="15"/>
        <v>130449</v>
      </c>
      <c r="G157" s="216">
        <f t="shared" si="16"/>
        <v>118620</v>
      </c>
      <c r="H157" s="506">
        <v>102031</v>
      </c>
      <c r="I157" s="486">
        <v>90100</v>
      </c>
      <c r="J157" s="485"/>
      <c r="K157" s="390"/>
      <c r="L157" s="502">
        <v>28418</v>
      </c>
      <c r="M157" s="367">
        <v>0</v>
      </c>
      <c r="N157" s="367"/>
      <c r="O157" s="487">
        <v>28520</v>
      </c>
      <c r="P157" s="487">
        <v>0</v>
      </c>
      <c r="Q157" s="487">
        <v>0</v>
      </c>
      <c r="R157" s="485"/>
      <c r="S157" s="390"/>
      <c r="T157" s="218">
        <f t="shared" si="17"/>
        <v>0</v>
      </c>
      <c r="U157" s="219">
        <f t="shared" si="18"/>
        <v>0</v>
      </c>
      <c r="V157" s="485"/>
      <c r="W157" s="390"/>
      <c r="X157" s="485"/>
      <c r="Y157" s="390"/>
      <c r="Z157" s="367"/>
      <c r="AA157" s="367"/>
      <c r="AB157" s="367"/>
      <c r="AC157" s="390"/>
      <c r="AD157" s="390"/>
      <c r="AE157" s="391"/>
      <c r="AF157" s="485"/>
      <c r="AG157" s="391"/>
    </row>
    <row r="158" spans="1:33" ht="15">
      <c r="A158" s="480" t="s">
        <v>43</v>
      </c>
      <c r="B158" s="481" t="s">
        <v>470</v>
      </c>
      <c r="C158" s="482"/>
      <c r="D158" s="483">
        <v>138956</v>
      </c>
      <c r="E158" s="484">
        <v>12</v>
      </c>
      <c r="F158" s="217">
        <f t="shared" si="15"/>
        <v>107049</v>
      </c>
      <c r="G158" s="216">
        <f t="shared" si="16"/>
        <v>99888</v>
      </c>
      <c r="H158" s="506">
        <v>92623</v>
      </c>
      <c r="I158" s="486">
        <v>88338</v>
      </c>
      <c r="J158" s="485"/>
      <c r="K158" s="390"/>
      <c r="L158" s="502">
        <v>14426</v>
      </c>
      <c r="M158" s="367">
        <v>0</v>
      </c>
      <c r="N158" s="367"/>
      <c r="O158" s="487">
        <v>11550</v>
      </c>
      <c r="P158" s="487">
        <v>0</v>
      </c>
      <c r="Q158" s="487">
        <v>0</v>
      </c>
      <c r="R158" s="485"/>
      <c r="S158" s="390"/>
      <c r="T158" s="218">
        <f t="shared" si="17"/>
        <v>0</v>
      </c>
      <c r="U158" s="219">
        <f t="shared" si="18"/>
        <v>0</v>
      </c>
      <c r="V158" s="485"/>
      <c r="W158" s="390"/>
      <c r="X158" s="485"/>
      <c r="Y158" s="390"/>
      <c r="Z158" s="367"/>
      <c r="AA158" s="367"/>
      <c r="AB158" s="367"/>
      <c r="AC158" s="390"/>
      <c r="AD158" s="390"/>
      <c r="AE158" s="391"/>
      <c r="AF158" s="485"/>
      <c r="AG158" s="391"/>
    </row>
    <row r="159" spans="1:33">
      <c r="A159" s="480" t="s">
        <v>43</v>
      </c>
      <c r="B159" s="481" t="s">
        <v>471</v>
      </c>
      <c r="C159" s="482"/>
      <c r="D159" s="483">
        <v>483045</v>
      </c>
      <c r="E159" s="484">
        <v>12</v>
      </c>
      <c r="F159" s="217">
        <f t="shared" si="15"/>
        <v>200035</v>
      </c>
      <c r="G159" s="216">
        <f t="shared" si="16"/>
        <v>192474</v>
      </c>
      <c r="H159" s="507">
        <v>125217</v>
      </c>
      <c r="I159" s="486">
        <v>117246</v>
      </c>
      <c r="J159" s="488"/>
      <c r="K159" s="489"/>
      <c r="L159" s="503">
        <v>69886</v>
      </c>
      <c r="M159" s="478">
        <v>4932</v>
      </c>
      <c r="N159" s="490"/>
      <c r="O159" s="487">
        <v>69908</v>
      </c>
      <c r="P159" s="487">
        <v>5320</v>
      </c>
      <c r="Q159" s="487">
        <v>0</v>
      </c>
      <c r="R159" s="488"/>
      <c r="S159" s="489"/>
      <c r="T159" s="218">
        <f t="shared" si="17"/>
        <v>0</v>
      </c>
      <c r="U159" s="219">
        <f t="shared" si="18"/>
        <v>0</v>
      </c>
      <c r="V159" s="488"/>
      <c r="W159" s="489"/>
      <c r="X159" s="488"/>
      <c r="Y159" s="489"/>
      <c r="Z159" s="490"/>
      <c r="AA159" s="490"/>
      <c r="AB159" s="490"/>
      <c r="AC159" s="489"/>
      <c r="AD159" s="489"/>
      <c r="AE159" s="491"/>
      <c r="AF159" s="488"/>
      <c r="AG159" s="491"/>
    </row>
    <row r="160" spans="1:33" ht="15">
      <c r="A160" s="480" t="s">
        <v>43</v>
      </c>
      <c r="B160" s="492" t="s">
        <v>472</v>
      </c>
      <c r="C160" s="482"/>
      <c r="D160" s="483">
        <v>140331</v>
      </c>
      <c r="E160" s="484">
        <v>12</v>
      </c>
      <c r="F160" s="217">
        <f t="shared" si="15"/>
        <v>229034</v>
      </c>
      <c r="G160" s="216">
        <f t="shared" si="16"/>
        <v>211273</v>
      </c>
      <c r="H160" s="506">
        <v>140816</v>
      </c>
      <c r="I160" s="486">
        <v>126392</v>
      </c>
      <c r="J160" s="485"/>
      <c r="K160" s="390"/>
      <c r="L160" s="502">
        <v>88218</v>
      </c>
      <c r="M160" s="367">
        <v>0</v>
      </c>
      <c r="N160" s="367"/>
      <c r="O160" s="487">
        <v>84881</v>
      </c>
      <c r="P160" s="487">
        <v>0</v>
      </c>
      <c r="Q160" s="487">
        <v>0</v>
      </c>
      <c r="R160" s="485"/>
      <c r="S160" s="390"/>
      <c r="T160" s="218">
        <f t="shared" si="17"/>
        <v>0</v>
      </c>
      <c r="U160" s="219">
        <f t="shared" si="18"/>
        <v>0</v>
      </c>
      <c r="V160" s="485"/>
      <c r="W160" s="390"/>
      <c r="X160" s="485"/>
      <c r="Y160" s="390"/>
      <c r="Z160" s="367"/>
      <c r="AA160" s="367"/>
      <c r="AB160" s="367"/>
      <c r="AC160" s="390"/>
      <c r="AD160" s="390"/>
      <c r="AE160" s="391"/>
      <c r="AF160" s="485"/>
      <c r="AG160" s="391"/>
    </row>
    <row r="161" spans="1:33">
      <c r="A161" s="480" t="s">
        <v>43</v>
      </c>
      <c r="B161" s="499" t="s">
        <v>489</v>
      </c>
      <c r="C161" s="482"/>
      <c r="D161" s="500">
        <v>485458</v>
      </c>
      <c r="E161" s="498">
        <v>12</v>
      </c>
      <c r="F161" s="217">
        <f t="shared" si="15"/>
        <v>58418</v>
      </c>
      <c r="G161" s="216">
        <f t="shared" si="16"/>
        <v>51755</v>
      </c>
      <c r="H161" s="507">
        <v>49178</v>
      </c>
      <c r="I161" s="501">
        <v>44039</v>
      </c>
      <c r="J161" s="485"/>
      <c r="K161" s="390"/>
      <c r="L161" s="503">
        <v>9171</v>
      </c>
      <c r="M161" s="478">
        <v>69</v>
      </c>
      <c r="N161" s="478">
        <v>0</v>
      </c>
      <c r="O161" s="504">
        <v>7716</v>
      </c>
      <c r="P161" s="504">
        <v>0</v>
      </c>
      <c r="Q161" s="504">
        <v>0</v>
      </c>
      <c r="R161" s="485"/>
      <c r="S161" s="390"/>
      <c r="T161" s="218">
        <f t="shared" si="17"/>
        <v>0</v>
      </c>
      <c r="U161" s="219">
        <f t="shared" si="18"/>
        <v>0</v>
      </c>
      <c r="V161" s="485"/>
      <c r="W161" s="390"/>
      <c r="X161" s="485"/>
      <c r="Y161" s="390"/>
      <c r="Z161" s="367"/>
      <c r="AA161" s="367"/>
      <c r="AB161" s="367"/>
      <c r="AC161" s="390"/>
      <c r="AD161" s="390"/>
      <c r="AE161" s="390"/>
      <c r="AF161" s="485"/>
      <c r="AG161" s="391"/>
    </row>
    <row r="162" spans="1:33" ht="15">
      <c r="A162" s="480" t="s">
        <v>43</v>
      </c>
      <c r="B162" s="481" t="s">
        <v>473</v>
      </c>
      <c r="C162" s="482"/>
      <c r="D162" s="483">
        <v>139357</v>
      </c>
      <c r="E162" s="484">
        <v>12</v>
      </c>
      <c r="F162" s="217">
        <f t="shared" si="15"/>
        <v>95319</v>
      </c>
      <c r="G162" s="216">
        <f t="shared" si="16"/>
        <v>82008</v>
      </c>
      <c r="H162" s="506">
        <v>64047</v>
      </c>
      <c r="I162" s="486">
        <v>52180</v>
      </c>
      <c r="J162" s="485"/>
      <c r="K162" s="390"/>
      <c r="L162" s="502">
        <v>31272</v>
      </c>
      <c r="M162" s="367">
        <v>0</v>
      </c>
      <c r="N162" s="367"/>
      <c r="O162" s="487">
        <v>29828</v>
      </c>
      <c r="P162" s="487">
        <v>0</v>
      </c>
      <c r="Q162" s="487">
        <v>0</v>
      </c>
      <c r="R162" s="485"/>
      <c r="S162" s="390"/>
      <c r="T162" s="218">
        <f t="shared" si="17"/>
        <v>0</v>
      </c>
      <c r="U162" s="219">
        <f t="shared" si="18"/>
        <v>0</v>
      </c>
      <c r="V162" s="485"/>
      <c r="W162" s="390"/>
      <c r="X162" s="485"/>
      <c r="Y162" s="390"/>
      <c r="Z162" s="367"/>
      <c r="AA162" s="367"/>
      <c r="AB162" s="367"/>
      <c r="AC162" s="390"/>
      <c r="AD162" s="390"/>
      <c r="AE162" s="391"/>
      <c r="AF162" s="485"/>
      <c r="AG162" s="391"/>
    </row>
    <row r="163" spans="1:33" ht="15">
      <c r="A163" s="480" t="s">
        <v>43</v>
      </c>
      <c r="B163" s="492" t="s">
        <v>474</v>
      </c>
      <c r="C163" s="482"/>
      <c r="D163" s="483">
        <v>139384</v>
      </c>
      <c r="E163" s="484">
        <v>12</v>
      </c>
      <c r="F163" s="217">
        <f t="shared" si="15"/>
        <v>137220</v>
      </c>
      <c r="G163" s="216">
        <f t="shared" si="16"/>
        <v>127581</v>
      </c>
      <c r="H163" s="506">
        <v>101010</v>
      </c>
      <c r="I163" s="486">
        <v>91528</v>
      </c>
      <c r="J163" s="485"/>
      <c r="K163" s="390"/>
      <c r="L163" s="502">
        <v>36210</v>
      </c>
      <c r="M163" s="367">
        <v>0</v>
      </c>
      <c r="N163" s="367"/>
      <c r="O163" s="487">
        <v>36053</v>
      </c>
      <c r="P163" s="487">
        <v>0</v>
      </c>
      <c r="Q163" s="487">
        <v>0</v>
      </c>
      <c r="R163" s="485"/>
      <c r="S163" s="390"/>
      <c r="T163" s="218">
        <f t="shared" si="17"/>
        <v>0</v>
      </c>
      <c r="U163" s="219">
        <f t="shared" si="18"/>
        <v>0</v>
      </c>
      <c r="V163" s="485"/>
      <c r="W163" s="390"/>
      <c r="X163" s="485"/>
      <c r="Y163" s="390"/>
      <c r="Z163" s="367"/>
      <c r="AA163" s="367"/>
      <c r="AB163" s="367"/>
      <c r="AC163" s="390"/>
      <c r="AD163" s="390"/>
      <c r="AE163" s="391"/>
      <c r="AF163" s="485"/>
      <c r="AG163" s="391"/>
    </row>
    <row r="164" spans="1:33" ht="15">
      <c r="A164" s="480" t="s">
        <v>43</v>
      </c>
      <c r="B164" s="492" t="s">
        <v>475</v>
      </c>
      <c r="C164" s="493"/>
      <c r="D164" s="483">
        <v>244446</v>
      </c>
      <c r="E164" s="484">
        <v>12</v>
      </c>
      <c r="F164" s="217">
        <f t="shared" si="15"/>
        <v>107091</v>
      </c>
      <c r="G164" s="216">
        <f t="shared" si="16"/>
        <v>93526</v>
      </c>
      <c r="H164" s="506">
        <v>43154</v>
      </c>
      <c r="I164" s="486">
        <v>48368</v>
      </c>
      <c r="J164" s="485"/>
      <c r="K164" s="390"/>
      <c r="L164" s="502">
        <v>63517</v>
      </c>
      <c r="M164" s="367">
        <v>420</v>
      </c>
      <c r="N164" s="367"/>
      <c r="O164" s="487">
        <v>44999</v>
      </c>
      <c r="P164" s="487">
        <v>159</v>
      </c>
      <c r="Q164" s="487">
        <v>0</v>
      </c>
      <c r="R164" s="485"/>
      <c r="S164" s="390"/>
      <c r="T164" s="218">
        <f t="shared" si="17"/>
        <v>0</v>
      </c>
      <c r="U164" s="219">
        <f t="shared" si="18"/>
        <v>0</v>
      </c>
      <c r="V164" s="485"/>
      <c r="W164" s="390"/>
      <c r="X164" s="485"/>
      <c r="Y164" s="390"/>
      <c r="Z164" s="367"/>
      <c r="AA164" s="367"/>
      <c r="AB164" s="367"/>
      <c r="AC164" s="390"/>
      <c r="AD164" s="390"/>
      <c r="AE164" s="391"/>
      <c r="AF164" s="485"/>
      <c r="AG164" s="391"/>
    </row>
    <row r="165" spans="1:33" ht="15">
      <c r="A165" s="494" t="s">
        <v>43</v>
      </c>
      <c r="B165" s="481" t="s">
        <v>476</v>
      </c>
      <c r="C165" s="482"/>
      <c r="D165" s="483">
        <v>140012</v>
      </c>
      <c r="E165" s="484">
        <v>12</v>
      </c>
      <c r="F165" s="217">
        <f t="shared" si="15"/>
        <v>155142</v>
      </c>
      <c r="G165" s="216">
        <f t="shared" si="16"/>
        <v>150763</v>
      </c>
      <c r="H165" s="506">
        <v>81817</v>
      </c>
      <c r="I165" s="486">
        <v>81917</v>
      </c>
      <c r="J165" s="485"/>
      <c r="K165" s="390"/>
      <c r="L165" s="502">
        <v>73325</v>
      </c>
      <c r="M165" s="367">
        <v>0</v>
      </c>
      <c r="N165" s="367"/>
      <c r="O165" s="487">
        <v>68846</v>
      </c>
      <c r="P165" s="487">
        <v>0</v>
      </c>
      <c r="Q165" s="487">
        <v>0</v>
      </c>
      <c r="R165" s="485"/>
      <c r="S165" s="390"/>
      <c r="T165" s="218">
        <f t="shared" si="17"/>
        <v>0</v>
      </c>
      <c r="U165" s="219">
        <f t="shared" si="18"/>
        <v>0</v>
      </c>
      <c r="V165" s="485"/>
      <c r="W165" s="390"/>
      <c r="X165" s="485"/>
      <c r="Y165" s="390"/>
      <c r="Z165" s="367"/>
      <c r="AA165" s="367"/>
      <c r="AB165" s="367"/>
      <c r="AC165" s="390"/>
      <c r="AD165" s="390"/>
      <c r="AE165" s="391"/>
      <c r="AF165" s="485"/>
      <c r="AG165" s="391"/>
    </row>
    <row r="166" spans="1:33" ht="15">
      <c r="A166" s="494" t="s">
        <v>43</v>
      </c>
      <c r="B166" s="481" t="s">
        <v>477</v>
      </c>
      <c r="C166" s="482"/>
      <c r="D166" s="483">
        <v>140243</v>
      </c>
      <c r="E166" s="484">
        <v>12</v>
      </c>
      <c r="F166" s="217">
        <f t="shared" si="15"/>
        <v>74056</v>
      </c>
      <c r="G166" s="216">
        <f t="shared" si="16"/>
        <v>77851</v>
      </c>
      <c r="H166" s="506">
        <v>43987</v>
      </c>
      <c r="I166" s="486">
        <v>49354</v>
      </c>
      <c r="J166" s="485"/>
      <c r="K166" s="390"/>
      <c r="L166" s="502">
        <v>30069</v>
      </c>
      <c r="M166" s="367">
        <v>0</v>
      </c>
      <c r="N166" s="367"/>
      <c r="O166" s="487">
        <v>28497</v>
      </c>
      <c r="P166" s="487">
        <v>0</v>
      </c>
      <c r="Q166" s="487">
        <v>0</v>
      </c>
      <c r="R166" s="485"/>
      <c r="S166" s="390"/>
      <c r="T166" s="218">
        <f t="shared" si="17"/>
        <v>0</v>
      </c>
      <c r="U166" s="219">
        <f t="shared" si="18"/>
        <v>0</v>
      </c>
      <c r="V166" s="485"/>
      <c r="W166" s="390"/>
      <c r="X166" s="485"/>
      <c r="Y166" s="390"/>
      <c r="Z166" s="367"/>
      <c r="AA166" s="367"/>
      <c r="AB166" s="367"/>
      <c r="AC166" s="390"/>
      <c r="AD166" s="390"/>
      <c r="AE166" s="391"/>
      <c r="AF166" s="485"/>
      <c r="AG166" s="391"/>
    </row>
    <row r="167" spans="1:33" ht="15">
      <c r="A167" s="494" t="s">
        <v>43</v>
      </c>
      <c r="B167" s="481" t="s">
        <v>478</v>
      </c>
      <c r="C167" s="482"/>
      <c r="D167" s="483">
        <v>140599</v>
      </c>
      <c r="E167" s="484">
        <v>12</v>
      </c>
      <c r="F167" s="217">
        <f t="shared" si="15"/>
        <v>44514</v>
      </c>
      <c r="G167" s="216">
        <f t="shared" si="16"/>
        <v>44666</v>
      </c>
      <c r="H167" s="506">
        <v>36019</v>
      </c>
      <c r="I167" s="486">
        <v>35706</v>
      </c>
      <c r="J167" s="485"/>
      <c r="K167" s="390"/>
      <c r="L167" s="502">
        <v>8495</v>
      </c>
      <c r="M167" s="367">
        <v>0</v>
      </c>
      <c r="N167" s="367"/>
      <c r="O167" s="487">
        <v>8960</v>
      </c>
      <c r="P167" s="487">
        <v>0</v>
      </c>
      <c r="Q167" s="487">
        <v>0</v>
      </c>
      <c r="R167" s="485"/>
      <c r="S167" s="390"/>
      <c r="T167" s="218">
        <f t="shared" si="17"/>
        <v>0</v>
      </c>
      <c r="U167" s="219">
        <f t="shared" si="18"/>
        <v>0</v>
      </c>
      <c r="V167" s="485"/>
      <c r="W167" s="390"/>
      <c r="X167" s="485"/>
      <c r="Y167" s="390"/>
      <c r="Z167" s="367"/>
      <c r="AA167" s="367"/>
      <c r="AB167" s="367"/>
      <c r="AC167" s="390"/>
      <c r="AD167" s="390"/>
      <c r="AE167" s="391"/>
      <c r="AF167" s="485"/>
      <c r="AG167" s="391"/>
    </row>
    <row r="168" spans="1:33" ht="15">
      <c r="A168" s="494" t="s">
        <v>43</v>
      </c>
      <c r="B168" s="481" t="s">
        <v>479</v>
      </c>
      <c r="C168" s="482"/>
      <c r="D168" s="483">
        <v>140678</v>
      </c>
      <c r="E168" s="484">
        <v>12</v>
      </c>
      <c r="F168" s="217">
        <f t="shared" si="15"/>
        <v>59703</v>
      </c>
      <c r="G168" s="216">
        <f t="shared" si="16"/>
        <v>57759</v>
      </c>
      <c r="H168" s="506">
        <v>43291</v>
      </c>
      <c r="I168" s="486">
        <v>40005</v>
      </c>
      <c r="J168" s="485"/>
      <c r="K168" s="390"/>
      <c r="L168" s="502">
        <v>15125</v>
      </c>
      <c r="M168" s="367">
        <v>1287</v>
      </c>
      <c r="N168" s="367"/>
      <c r="O168" s="487">
        <v>17754</v>
      </c>
      <c r="P168" s="487">
        <v>0</v>
      </c>
      <c r="Q168" s="487">
        <v>0</v>
      </c>
      <c r="R168" s="485"/>
      <c r="S168" s="390"/>
      <c r="T168" s="218">
        <f t="shared" si="17"/>
        <v>0</v>
      </c>
      <c r="U168" s="219">
        <f t="shared" si="18"/>
        <v>0</v>
      </c>
      <c r="V168" s="485"/>
      <c r="W168" s="390"/>
      <c r="X168" s="485"/>
      <c r="Y168" s="390"/>
      <c r="Z168" s="367"/>
      <c r="AA168" s="367"/>
      <c r="AB168" s="367"/>
      <c r="AC168" s="390"/>
      <c r="AD168" s="390"/>
      <c r="AE168" s="391"/>
      <c r="AF168" s="485"/>
      <c r="AG168" s="391"/>
    </row>
    <row r="169" spans="1:33" ht="15">
      <c r="A169" s="495" t="s">
        <v>43</v>
      </c>
      <c r="B169" s="492" t="s">
        <v>480</v>
      </c>
      <c r="C169" s="493"/>
      <c r="D169" s="483">
        <v>420431</v>
      </c>
      <c r="E169" s="484">
        <v>12</v>
      </c>
      <c r="F169" s="217">
        <f t="shared" si="15"/>
        <v>43276</v>
      </c>
      <c r="G169" s="216">
        <f t="shared" si="16"/>
        <v>38711</v>
      </c>
      <c r="H169" s="506">
        <v>31541</v>
      </c>
      <c r="I169" s="486">
        <v>26100</v>
      </c>
      <c r="J169" s="485"/>
      <c r="K169" s="390"/>
      <c r="L169" s="502">
        <v>11735</v>
      </c>
      <c r="M169" s="367">
        <v>0</v>
      </c>
      <c r="N169" s="367"/>
      <c r="O169" s="487">
        <v>12611</v>
      </c>
      <c r="P169" s="487">
        <v>0</v>
      </c>
      <c r="Q169" s="487">
        <v>0</v>
      </c>
      <c r="R169" s="485"/>
      <c r="S169" s="390"/>
      <c r="T169" s="218">
        <f t="shared" si="17"/>
        <v>0</v>
      </c>
      <c r="U169" s="219">
        <f t="shared" si="18"/>
        <v>0</v>
      </c>
      <c r="V169" s="485"/>
      <c r="W169" s="390"/>
      <c r="X169" s="485"/>
      <c r="Y169" s="390"/>
      <c r="Z169" s="367"/>
      <c r="AA169" s="367"/>
      <c r="AB169" s="367"/>
      <c r="AC169" s="390"/>
      <c r="AD169" s="390"/>
      <c r="AE169" s="391"/>
      <c r="AF169" s="485"/>
      <c r="AG169" s="391"/>
    </row>
    <row r="170" spans="1:33" ht="15">
      <c r="A170" s="496" t="s">
        <v>43</v>
      </c>
      <c r="B170" s="481" t="s">
        <v>481</v>
      </c>
      <c r="C170" s="482"/>
      <c r="D170" s="483">
        <v>366465</v>
      </c>
      <c r="E170" s="484">
        <v>12</v>
      </c>
      <c r="F170" s="217">
        <f t="shared" si="15"/>
        <v>59409</v>
      </c>
      <c r="G170" s="216">
        <f t="shared" si="16"/>
        <v>59667</v>
      </c>
      <c r="H170" s="506">
        <v>42083</v>
      </c>
      <c r="I170" s="486">
        <v>43177</v>
      </c>
      <c r="J170" s="485"/>
      <c r="K170" s="390"/>
      <c r="L170" s="502">
        <v>17326</v>
      </c>
      <c r="M170" s="367">
        <v>0</v>
      </c>
      <c r="N170" s="367"/>
      <c r="O170" s="487">
        <v>16490</v>
      </c>
      <c r="P170" s="487">
        <v>0</v>
      </c>
      <c r="Q170" s="487">
        <v>0</v>
      </c>
      <c r="R170" s="485"/>
      <c r="S170" s="390"/>
      <c r="T170" s="218">
        <f t="shared" si="17"/>
        <v>0</v>
      </c>
      <c r="U170" s="219">
        <f t="shared" si="18"/>
        <v>0</v>
      </c>
      <c r="V170" s="485"/>
      <c r="W170" s="390"/>
      <c r="X170" s="485"/>
      <c r="Y170" s="390"/>
      <c r="Z170" s="367"/>
      <c r="AA170" s="367"/>
      <c r="AB170" s="367"/>
      <c r="AC170" s="390"/>
      <c r="AD170" s="390"/>
      <c r="AE170" s="391"/>
      <c r="AF170" s="485"/>
      <c r="AG170" s="391"/>
    </row>
    <row r="171" spans="1:33" ht="15">
      <c r="A171" s="496" t="s">
        <v>43</v>
      </c>
      <c r="B171" s="481" t="s">
        <v>482</v>
      </c>
      <c r="C171" s="482"/>
      <c r="D171" s="483">
        <v>140942</v>
      </c>
      <c r="E171" s="484">
        <v>12</v>
      </c>
      <c r="F171" s="217">
        <f t="shared" si="15"/>
        <v>110615</v>
      </c>
      <c r="G171" s="216">
        <f t="shared" si="16"/>
        <v>107493</v>
      </c>
      <c r="H171" s="506">
        <v>76688</v>
      </c>
      <c r="I171" s="486">
        <v>77654</v>
      </c>
      <c r="J171" s="485"/>
      <c r="K171" s="390"/>
      <c r="L171" s="502">
        <v>32950</v>
      </c>
      <c r="M171" s="367">
        <v>977</v>
      </c>
      <c r="N171" s="367"/>
      <c r="O171" s="487">
        <v>29665</v>
      </c>
      <c r="P171" s="487">
        <v>174</v>
      </c>
      <c r="Q171" s="487">
        <v>0</v>
      </c>
      <c r="R171" s="485"/>
      <c r="S171" s="390"/>
      <c r="T171" s="218">
        <f t="shared" si="17"/>
        <v>0</v>
      </c>
      <c r="U171" s="219">
        <f t="shared" si="18"/>
        <v>0</v>
      </c>
      <c r="V171" s="485"/>
      <c r="W171" s="390"/>
      <c r="X171" s="485"/>
      <c r="Y171" s="390"/>
      <c r="Z171" s="367"/>
      <c r="AA171" s="367"/>
      <c r="AB171" s="367"/>
      <c r="AC171" s="390"/>
      <c r="AD171" s="390"/>
      <c r="AE171" s="391"/>
      <c r="AF171" s="485"/>
      <c r="AG171" s="391"/>
    </row>
    <row r="172" spans="1:33" ht="15">
      <c r="A172" s="496" t="s">
        <v>43</v>
      </c>
      <c r="B172" s="481" t="s">
        <v>483</v>
      </c>
      <c r="C172" s="482"/>
      <c r="D172" s="483">
        <v>141006</v>
      </c>
      <c r="E172" s="484">
        <v>12</v>
      </c>
      <c r="F172" s="217">
        <f t="shared" si="15"/>
        <v>48200</v>
      </c>
      <c r="G172" s="216">
        <f t="shared" si="16"/>
        <v>43690.5</v>
      </c>
      <c r="H172" s="506">
        <v>42745</v>
      </c>
      <c r="I172" s="486">
        <v>42402.5</v>
      </c>
      <c r="J172" s="485"/>
      <c r="K172" s="390"/>
      <c r="L172" s="502">
        <v>5455</v>
      </c>
      <c r="M172" s="367">
        <v>0</v>
      </c>
      <c r="N172" s="367"/>
      <c r="O172" s="487">
        <v>1288</v>
      </c>
      <c r="P172" s="487">
        <v>0</v>
      </c>
      <c r="Q172" s="487">
        <v>0</v>
      </c>
      <c r="R172" s="485"/>
      <c r="S172" s="390"/>
      <c r="T172" s="218">
        <f t="shared" si="17"/>
        <v>0</v>
      </c>
      <c r="U172" s="219">
        <f t="shared" si="18"/>
        <v>0</v>
      </c>
      <c r="V172" s="485"/>
      <c r="W172" s="390"/>
      <c r="X172" s="485"/>
      <c r="Y172" s="390"/>
      <c r="Z172" s="367"/>
      <c r="AA172" s="367"/>
      <c r="AB172" s="367"/>
      <c r="AC172" s="390"/>
      <c r="AD172" s="390"/>
      <c r="AE172" s="391"/>
      <c r="AF172" s="485"/>
      <c r="AG172" s="391"/>
    </row>
    <row r="173" spans="1:33" ht="15">
      <c r="A173" s="496" t="s">
        <v>43</v>
      </c>
      <c r="B173" s="492" t="s">
        <v>484</v>
      </c>
      <c r="C173" s="482"/>
      <c r="D173" s="483">
        <v>368911</v>
      </c>
      <c r="E173" s="484">
        <v>12</v>
      </c>
      <c r="F173" s="217">
        <f t="shared" si="15"/>
        <v>37383</v>
      </c>
      <c r="G173" s="216">
        <f t="shared" si="16"/>
        <v>33933</v>
      </c>
      <c r="H173" s="506">
        <v>30471</v>
      </c>
      <c r="I173" s="486">
        <v>27937</v>
      </c>
      <c r="J173" s="485"/>
      <c r="K173" s="390"/>
      <c r="L173" s="502">
        <v>6912</v>
      </c>
      <c r="M173" s="367">
        <v>0</v>
      </c>
      <c r="N173" s="367"/>
      <c r="O173" s="487">
        <v>5996</v>
      </c>
      <c r="P173" s="487">
        <v>0</v>
      </c>
      <c r="Q173" s="487">
        <v>0</v>
      </c>
      <c r="R173" s="485"/>
      <c r="S173" s="390"/>
      <c r="T173" s="218">
        <f t="shared" si="17"/>
        <v>0</v>
      </c>
      <c r="U173" s="219">
        <f t="shared" si="18"/>
        <v>0</v>
      </c>
      <c r="V173" s="485"/>
      <c r="W173" s="390"/>
      <c r="X173" s="485"/>
      <c r="Y173" s="390"/>
      <c r="Z173" s="367"/>
      <c r="AA173" s="367"/>
      <c r="AB173" s="367"/>
      <c r="AC173" s="390"/>
      <c r="AD173" s="390"/>
      <c r="AE173" s="391"/>
      <c r="AF173" s="485"/>
      <c r="AG173" s="391"/>
    </row>
    <row r="174" spans="1:33" ht="15">
      <c r="A174" s="496" t="s">
        <v>43</v>
      </c>
      <c r="B174" s="497" t="s">
        <v>485</v>
      </c>
      <c r="C174" s="482"/>
      <c r="D174" s="483">
        <v>139986</v>
      </c>
      <c r="E174" s="498">
        <v>12</v>
      </c>
      <c r="F174" s="217">
        <f t="shared" si="15"/>
        <v>123033</v>
      </c>
      <c r="G174" s="216">
        <f t="shared" si="16"/>
        <v>107995</v>
      </c>
      <c r="H174" s="506">
        <v>90630</v>
      </c>
      <c r="I174" s="486">
        <v>77351</v>
      </c>
      <c r="J174" s="485"/>
      <c r="K174" s="390"/>
      <c r="L174" s="502">
        <v>32403</v>
      </c>
      <c r="M174" s="367">
        <v>0</v>
      </c>
      <c r="N174" s="367"/>
      <c r="O174" s="487">
        <v>30644</v>
      </c>
      <c r="P174" s="487">
        <v>0</v>
      </c>
      <c r="Q174" s="487">
        <v>0</v>
      </c>
      <c r="R174" s="485"/>
      <c r="S174" s="390"/>
      <c r="T174" s="218">
        <f t="shared" si="17"/>
        <v>0</v>
      </c>
      <c r="U174" s="219">
        <f t="shared" si="18"/>
        <v>0</v>
      </c>
      <c r="V174" s="485"/>
      <c r="W174" s="390"/>
      <c r="X174" s="485"/>
      <c r="Y174" s="390"/>
      <c r="Z174" s="367"/>
      <c r="AA174" s="367"/>
      <c r="AB174" s="367"/>
      <c r="AC174" s="390"/>
      <c r="AD174" s="390"/>
      <c r="AE174" s="391"/>
      <c r="AF174" s="485"/>
      <c r="AG174" s="391"/>
    </row>
    <row r="175" spans="1:33" ht="15">
      <c r="A175" s="496" t="s">
        <v>43</v>
      </c>
      <c r="B175" s="492" t="s">
        <v>486</v>
      </c>
      <c r="C175" s="482"/>
      <c r="D175" s="483">
        <v>141158</v>
      </c>
      <c r="E175" s="484">
        <v>12</v>
      </c>
      <c r="F175" s="217">
        <f t="shared" si="15"/>
        <v>35071</v>
      </c>
      <c r="G175" s="216">
        <f t="shared" si="16"/>
        <v>32798</v>
      </c>
      <c r="H175" s="506">
        <v>27168</v>
      </c>
      <c r="I175" s="486">
        <v>25751</v>
      </c>
      <c r="J175" s="485"/>
      <c r="K175" s="390"/>
      <c r="L175" s="502">
        <v>7903</v>
      </c>
      <c r="M175" s="367">
        <v>0</v>
      </c>
      <c r="N175" s="367"/>
      <c r="O175" s="487">
        <v>7047</v>
      </c>
      <c r="P175" s="487">
        <v>0</v>
      </c>
      <c r="Q175" s="487">
        <v>0</v>
      </c>
      <c r="R175" s="485"/>
      <c r="S175" s="390"/>
      <c r="T175" s="218">
        <f t="shared" si="17"/>
        <v>0</v>
      </c>
      <c r="U175" s="219">
        <f t="shared" si="18"/>
        <v>0</v>
      </c>
      <c r="V175" s="485"/>
      <c r="W175" s="390"/>
      <c r="X175" s="485"/>
      <c r="Y175" s="390"/>
      <c r="Z175" s="367"/>
      <c r="AA175" s="367"/>
      <c r="AB175" s="367"/>
      <c r="AC175" s="390"/>
      <c r="AD175" s="390"/>
      <c r="AE175" s="391"/>
      <c r="AF175" s="485"/>
      <c r="AG175" s="391"/>
    </row>
    <row r="176" spans="1:33" ht="15">
      <c r="A176" s="495" t="s">
        <v>43</v>
      </c>
      <c r="B176" s="492" t="s">
        <v>487</v>
      </c>
      <c r="C176" s="482"/>
      <c r="D176" s="483">
        <v>139278</v>
      </c>
      <c r="E176" s="484">
        <v>12</v>
      </c>
      <c r="F176" s="217">
        <f t="shared" si="15"/>
        <v>147022</v>
      </c>
      <c r="G176" s="216">
        <f t="shared" si="16"/>
        <v>141737</v>
      </c>
      <c r="H176" s="506">
        <v>106293</v>
      </c>
      <c r="I176" s="486">
        <v>102952</v>
      </c>
      <c r="J176" s="485"/>
      <c r="K176" s="390"/>
      <c r="L176" s="502">
        <v>40729</v>
      </c>
      <c r="M176" s="367">
        <v>0</v>
      </c>
      <c r="N176" s="367"/>
      <c r="O176" s="487">
        <v>38785</v>
      </c>
      <c r="P176" s="487">
        <v>0</v>
      </c>
      <c r="Q176" s="487">
        <v>0</v>
      </c>
      <c r="R176" s="485"/>
      <c r="S176" s="390"/>
      <c r="T176" s="218">
        <f t="shared" si="17"/>
        <v>0</v>
      </c>
      <c r="U176" s="219">
        <f t="shared" si="18"/>
        <v>0</v>
      </c>
      <c r="V176" s="485"/>
      <c r="W176" s="390"/>
      <c r="X176" s="485"/>
      <c r="Y176" s="390"/>
      <c r="Z176" s="367"/>
      <c r="AA176" s="367"/>
      <c r="AB176" s="367"/>
      <c r="AC176" s="390"/>
      <c r="AD176" s="390"/>
      <c r="AE176" s="391"/>
      <c r="AF176" s="485"/>
      <c r="AG176" s="391"/>
    </row>
    <row r="177" spans="1:33" ht="15">
      <c r="A177" s="496" t="s">
        <v>43</v>
      </c>
      <c r="B177" s="497" t="s">
        <v>488</v>
      </c>
      <c r="C177" s="482"/>
      <c r="D177" s="483">
        <v>141255</v>
      </c>
      <c r="E177" s="498">
        <v>12</v>
      </c>
      <c r="F177" s="217">
        <f t="shared" si="15"/>
        <v>93592</v>
      </c>
      <c r="G177" s="216">
        <f t="shared" si="16"/>
        <v>82512</v>
      </c>
      <c r="H177" s="506">
        <v>72036</v>
      </c>
      <c r="I177" s="486">
        <v>63719</v>
      </c>
      <c r="J177" s="485"/>
      <c r="K177" s="390"/>
      <c r="L177" s="502">
        <v>21556</v>
      </c>
      <c r="M177" s="367">
        <v>0</v>
      </c>
      <c r="N177" s="367"/>
      <c r="O177" s="487">
        <v>18793</v>
      </c>
      <c r="P177" s="487">
        <v>0</v>
      </c>
      <c r="Q177" s="487">
        <v>0</v>
      </c>
      <c r="R177" s="485"/>
      <c r="S177" s="390"/>
      <c r="T177" s="218">
        <f t="shared" si="17"/>
        <v>0</v>
      </c>
      <c r="U177" s="219">
        <f t="shared" si="18"/>
        <v>0</v>
      </c>
      <c r="V177" s="485"/>
      <c r="W177" s="390"/>
      <c r="X177" s="485"/>
      <c r="Y177" s="390"/>
      <c r="Z177" s="367"/>
      <c r="AA177" s="367"/>
      <c r="AB177" s="367"/>
      <c r="AC177" s="390"/>
      <c r="AD177" s="390"/>
      <c r="AE177" s="390"/>
      <c r="AF177" s="485"/>
      <c r="AG177" s="391"/>
    </row>
    <row r="178" spans="1:33">
      <c r="A178" s="452" t="s">
        <v>44</v>
      </c>
      <c r="B178" s="453" t="s">
        <v>409</v>
      </c>
      <c r="C178" s="454"/>
      <c r="D178" s="455">
        <v>157085</v>
      </c>
      <c r="E178" s="396">
        <v>1</v>
      </c>
      <c r="F178" s="217">
        <f t="shared" si="15"/>
        <v>590251</v>
      </c>
      <c r="G178" s="216">
        <f t="shared" si="16"/>
        <v>609304</v>
      </c>
      <c r="H178" s="368">
        <v>556613</v>
      </c>
      <c r="I178" s="390">
        <v>566657</v>
      </c>
      <c r="J178" s="368">
        <v>3415</v>
      </c>
      <c r="K178" s="390">
        <v>4898</v>
      </c>
      <c r="L178" s="367">
        <v>27241</v>
      </c>
      <c r="M178" s="367">
        <v>2982</v>
      </c>
      <c r="N178" s="367"/>
      <c r="O178" s="390">
        <v>34451</v>
      </c>
      <c r="P178" s="390">
        <v>3298</v>
      </c>
      <c r="Q178" s="391"/>
      <c r="R178" s="368"/>
      <c r="S178" s="390"/>
      <c r="T178" s="218">
        <f t="shared" si="17"/>
        <v>83989</v>
      </c>
      <c r="U178" s="219">
        <f t="shared" si="18"/>
        <v>80810</v>
      </c>
      <c r="V178" s="368">
        <v>68634</v>
      </c>
      <c r="W178" s="390">
        <v>65251</v>
      </c>
      <c r="X178" s="368">
        <v>2627</v>
      </c>
      <c r="Y178" s="390">
        <v>2085</v>
      </c>
      <c r="Z178" s="367">
        <v>11814</v>
      </c>
      <c r="AA178" s="367">
        <v>914</v>
      </c>
      <c r="AB178" s="367"/>
      <c r="AC178" s="390">
        <v>12731</v>
      </c>
      <c r="AD178" s="390">
        <v>743</v>
      </c>
      <c r="AE178" s="391"/>
      <c r="AF178" s="368"/>
      <c r="AG178" s="390"/>
    </row>
    <row r="179" spans="1:33">
      <c r="A179" s="452" t="s">
        <v>44</v>
      </c>
      <c r="B179" s="453" t="s">
        <v>410</v>
      </c>
      <c r="C179" s="454"/>
      <c r="D179" s="455">
        <v>157289</v>
      </c>
      <c r="E179" s="396">
        <v>1</v>
      </c>
      <c r="F179" s="217">
        <f t="shared" si="15"/>
        <v>407716</v>
      </c>
      <c r="G179" s="216">
        <f t="shared" si="16"/>
        <v>405502</v>
      </c>
      <c r="H179" s="368">
        <v>359932</v>
      </c>
      <c r="I179" s="390">
        <v>356647</v>
      </c>
      <c r="J179" s="368">
        <v>13094</v>
      </c>
      <c r="K179" s="390">
        <v>11644</v>
      </c>
      <c r="L179" s="367">
        <v>34690</v>
      </c>
      <c r="M179" s="367"/>
      <c r="N179" s="367"/>
      <c r="O179" s="390">
        <v>37211</v>
      </c>
      <c r="P179" s="390"/>
      <c r="Q179" s="391"/>
      <c r="R179" s="368"/>
      <c r="S179" s="390"/>
      <c r="T179" s="218">
        <f t="shared" si="17"/>
        <v>75785</v>
      </c>
      <c r="U179" s="219">
        <f t="shared" si="18"/>
        <v>76877</v>
      </c>
      <c r="V179" s="368">
        <v>65085</v>
      </c>
      <c r="W179" s="390">
        <v>62712</v>
      </c>
      <c r="X179" s="368">
        <v>4176</v>
      </c>
      <c r="Y179" s="390">
        <v>4248</v>
      </c>
      <c r="Z179" s="367">
        <v>6524</v>
      </c>
      <c r="AA179" s="367"/>
      <c r="AB179" s="367"/>
      <c r="AC179" s="390">
        <v>9917</v>
      </c>
      <c r="AD179" s="390"/>
      <c r="AE179" s="391"/>
      <c r="AF179" s="368"/>
      <c r="AG179" s="391"/>
    </row>
    <row r="180" spans="1:33">
      <c r="A180" s="452" t="s">
        <v>44</v>
      </c>
      <c r="B180" s="453" t="s">
        <v>411</v>
      </c>
      <c r="C180" s="454"/>
      <c r="D180" s="455">
        <v>156620</v>
      </c>
      <c r="E180" s="396">
        <v>3</v>
      </c>
      <c r="F180" s="217">
        <f t="shared" si="15"/>
        <v>357703</v>
      </c>
      <c r="G180" s="216">
        <f t="shared" si="16"/>
        <v>356275</v>
      </c>
      <c r="H180" s="368">
        <v>276614</v>
      </c>
      <c r="I180" s="390">
        <v>275718</v>
      </c>
      <c r="J180" s="368">
        <v>18713</v>
      </c>
      <c r="K180" s="390">
        <v>16042</v>
      </c>
      <c r="L180" s="367">
        <v>53926</v>
      </c>
      <c r="M180" s="367">
        <v>8450</v>
      </c>
      <c r="N180" s="367"/>
      <c r="O180" s="390">
        <v>57330</v>
      </c>
      <c r="P180" s="390">
        <v>7179</v>
      </c>
      <c r="Q180" s="391">
        <v>6</v>
      </c>
      <c r="R180" s="368"/>
      <c r="S180" s="390"/>
      <c r="T180" s="218">
        <f t="shared" si="17"/>
        <v>37518</v>
      </c>
      <c r="U180" s="219">
        <f t="shared" si="18"/>
        <v>40350</v>
      </c>
      <c r="V180" s="368">
        <v>18439</v>
      </c>
      <c r="W180" s="390">
        <v>17479</v>
      </c>
      <c r="X180" s="368">
        <v>748</v>
      </c>
      <c r="Y180" s="390">
        <v>662</v>
      </c>
      <c r="Z180" s="367">
        <v>18159</v>
      </c>
      <c r="AA180" s="367">
        <v>172</v>
      </c>
      <c r="AB180" s="367"/>
      <c r="AC180" s="390">
        <v>22173</v>
      </c>
      <c r="AD180" s="390">
        <v>33</v>
      </c>
      <c r="AE180" s="391">
        <v>3</v>
      </c>
      <c r="AF180" s="368"/>
      <c r="AG180" s="391"/>
    </row>
    <row r="181" spans="1:33">
      <c r="A181" s="452" t="s">
        <v>44</v>
      </c>
      <c r="B181" s="453" t="s">
        <v>412</v>
      </c>
      <c r="C181" s="454"/>
      <c r="D181" s="455">
        <v>157386</v>
      </c>
      <c r="E181" s="396">
        <v>3</v>
      </c>
      <c r="F181" s="217">
        <f t="shared" si="15"/>
        <v>194213</v>
      </c>
      <c r="G181" s="216">
        <f t="shared" si="16"/>
        <v>207910</v>
      </c>
      <c r="H181" s="368">
        <v>132408</v>
      </c>
      <c r="I181" s="390">
        <v>131857</v>
      </c>
      <c r="J181" s="368">
        <v>21674</v>
      </c>
      <c r="K181" s="390">
        <v>22379</v>
      </c>
      <c r="L181" s="367">
        <v>40131</v>
      </c>
      <c r="M181" s="367"/>
      <c r="N181" s="367"/>
      <c r="O181" s="390">
        <v>44640</v>
      </c>
      <c r="P181" s="390">
        <v>9034</v>
      </c>
      <c r="Q181" s="391"/>
      <c r="R181" s="368"/>
      <c r="S181" s="390"/>
      <c r="T181" s="218">
        <f t="shared" si="17"/>
        <v>19681</v>
      </c>
      <c r="U181" s="219">
        <f t="shared" si="18"/>
        <v>17132</v>
      </c>
      <c r="V181" s="368">
        <v>3909</v>
      </c>
      <c r="W181" s="390">
        <v>2937</v>
      </c>
      <c r="X181" s="368">
        <v>144</v>
      </c>
      <c r="Y181" s="390">
        <v>165</v>
      </c>
      <c r="Z181" s="367">
        <v>15181</v>
      </c>
      <c r="AA181" s="367">
        <v>447</v>
      </c>
      <c r="AB181" s="367"/>
      <c r="AC181" s="390">
        <v>13808</v>
      </c>
      <c r="AD181" s="390">
        <v>222</v>
      </c>
      <c r="AE181" s="391"/>
      <c r="AF181" s="368"/>
      <c r="AG181" s="391"/>
    </row>
    <row r="182" spans="1:33">
      <c r="A182" s="452" t="s">
        <v>44</v>
      </c>
      <c r="B182" s="453" t="s">
        <v>413</v>
      </c>
      <c r="C182" s="454"/>
      <c r="D182" s="455">
        <v>157401</v>
      </c>
      <c r="E182" s="396">
        <v>3</v>
      </c>
      <c r="F182" s="217">
        <f t="shared" si="15"/>
        <v>246309</v>
      </c>
      <c r="G182" s="216">
        <f t="shared" si="16"/>
        <v>234320</v>
      </c>
      <c r="H182" s="368">
        <v>207462</v>
      </c>
      <c r="I182" s="390">
        <v>196013</v>
      </c>
      <c r="J182" s="368">
        <v>9286</v>
      </c>
      <c r="K182" s="390">
        <v>10379</v>
      </c>
      <c r="L182" s="367">
        <v>19862</v>
      </c>
      <c r="M182" s="367">
        <v>9699</v>
      </c>
      <c r="N182" s="367"/>
      <c r="O182" s="390">
        <v>20097</v>
      </c>
      <c r="P182" s="390">
        <v>7831</v>
      </c>
      <c r="Q182" s="391" t="s">
        <v>39</v>
      </c>
      <c r="R182" s="368"/>
      <c r="S182" s="390"/>
      <c r="T182" s="218">
        <f t="shared" si="17"/>
        <v>29532</v>
      </c>
      <c r="U182" s="219">
        <f t="shared" si="18"/>
        <v>28138</v>
      </c>
      <c r="V182" s="368">
        <v>14968</v>
      </c>
      <c r="W182" s="390">
        <v>14035</v>
      </c>
      <c r="X182" s="368">
        <v>2770</v>
      </c>
      <c r="Y182" s="390">
        <v>2081</v>
      </c>
      <c r="Z182" s="367">
        <v>10270</v>
      </c>
      <c r="AA182" s="367">
        <v>1524</v>
      </c>
      <c r="AB182" s="367"/>
      <c r="AC182" s="390">
        <v>10437</v>
      </c>
      <c r="AD182" s="390">
        <v>1585</v>
      </c>
      <c r="AE182" s="391"/>
      <c r="AF182" s="368"/>
      <c r="AG182" s="391"/>
    </row>
    <row r="183" spans="1:33">
      <c r="A183" s="452" t="s">
        <v>44</v>
      </c>
      <c r="B183" s="453" t="s">
        <v>414</v>
      </c>
      <c r="C183" s="454"/>
      <c r="D183" s="455">
        <v>157951</v>
      </c>
      <c r="E183" s="396">
        <v>3</v>
      </c>
      <c r="F183" s="217">
        <f t="shared" si="15"/>
        <v>442877</v>
      </c>
      <c r="G183" s="216">
        <f t="shared" si="16"/>
        <v>436509</v>
      </c>
      <c r="H183" s="368">
        <v>338546</v>
      </c>
      <c r="I183" s="390">
        <v>334782</v>
      </c>
      <c r="J183" s="368">
        <v>35449</v>
      </c>
      <c r="K183" s="390">
        <v>30987</v>
      </c>
      <c r="L183" s="367">
        <v>61289</v>
      </c>
      <c r="M183" s="367">
        <v>6393</v>
      </c>
      <c r="N183" s="367">
        <v>1200</v>
      </c>
      <c r="O183" s="390">
        <v>63231</v>
      </c>
      <c r="P183" s="390">
        <v>6808</v>
      </c>
      <c r="Q183" s="391">
        <v>701</v>
      </c>
      <c r="R183" s="368"/>
      <c r="S183" s="390"/>
      <c r="T183" s="218">
        <f t="shared" si="17"/>
        <v>45999</v>
      </c>
      <c r="U183" s="219">
        <f t="shared" si="18"/>
        <v>42340</v>
      </c>
      <c r="V183" s="368">
        <v>21157</v>
      </c>
      <c r="W183" s="390">
        <v>19922</v>
      </c>
      <c r="X183" s="368">
        <v>924</v>
      </c>
      <c r="Y183" s="390">
        <v>855</v>
      </c>
      <c r="Z183" s="367">
        <v>23343</v>
      </c>
      <c r="AA183" s="367">
        <v>575</v>
      </c>
      <c r="AB183" s="367"/>
      <c r="AC183" s="390">
        <v>21139</v>
      </c>
      <c r="AD183" s="390">
        <v>409</v>
      </c>
      <c r="AE183" s="391">
        <v>15</v>
      </c>
      <c r="AF183" s="368"/>
      <c r="AG183" s="391"/>
    </row>
    <row r="184" spans="1:33">
      <c r="A184" s="452" t="s">
        <v>44</v>
      </c>
      <c r="B184" s="453" t="s">
        <v>415</v>
      </c>
      <c r="C184" s="454"/>
      <c r="D184" s="455">
        <v>157058</v>
      </c>
      <c r="E184" s="396">
        <v>4</v>
      </c>
      <c r="F184" s="217">
        <f t="shared" si="15"/>
        <v>73079</v>
      </c>
      <c r="G184" s="216">
        <f t="shared" si="16"/>
        <v>47143</v>
      </c>
      <c r="H184" s="368">
        <v>51287</v>
      </c>
      <c r="I184" s="390">
        <v>34957</v>
      </c>
      <c r="J184" s="368"/>
      <c r="K184" s="390"/>
      <c r="L184" s="367">
        <v>14123</v>
      </c>
      <c r="M184" s="367">
        <v>7669</v>
      </c>
      <c r="N184" s="367"/>
      <c r="O184" s="390">
        <v>12186</v>
      </c>
      <c r="P184" s="390"/>
      <c r="Q184" s="391"/>
      <c r="R184" s="368"/>
      <c r="S184" s="390"/>
      <c r="T184" s="218">
        <f t="shared" si="17"/>
        <v>2638</v>
      </c>
      <c r="U184" s="219">
        <f t="shared" si="18"/>
        <v>2021</v>
      </c>
      <c r="V184" s="368">
        <v>1708</v>
      </c>
      <c r="W184" s="390">
        <v>1582</v>
      </c>
      <c r="X184" s="368"/>
      <c r="Y184" s="390"/>
      <c r="Z184" s="367">
        <v>930</v>
      </c>
      <c r="AA184" s="367"/>
      <c r="AB184" s="367"/>
      <c r="AC184" s="390">
        <v>439</v>
      </c>
      <c r="AD184" s="390"/>
      <c r="AE184" s="391"/>
      <c r="AF184" s="368"/>
      <c r="AG184" s="391"/>
    </row>
    <row r="185" spans="1:33">
      <c r="A185" s="452" t="s">
        <v>44</v>
      </c>
      <c r="B185" s="453" t="s">
        <v>416</v>
      </c>
      <c r="C185" s="458" t="s">
        <v>433</v>
      </c>
      <c r="D185" s="455">
        <v>157447</v>
      </c>
      <c r="E185" s="408">
        <v>3</v>
      </c>
      <c r="F185" s="217">
        <f t="shared" si="15"/>
        <v>327266</v>
      </c>
      <c r="G185" s="216">
        <f t="shared" si="16"/>
        <v>321893</v>
      </c>
      <c r="H185" s="368">
        <v>266934</v>
      </c>
      <c r="I185" s="390">
        <v>258108</v>
      </c>
      <c r="J185" s="368">
        <v>9758</v>
      </c>
      <c r="K185" s="390">
        <v>10413</v>
      </c>
      <c r="L185" s="367">
        <v>50574</v>
      </c>
      <c r="M185" s="367"/>
      <c r="N185" s="367"/>
      <c r="O185" s="390">
        <v>53372</v>
      </c>
      <c r="P185" s="390"/>
      <c r="Q185" s="391"/>
      <c r="R185" s="368"/>
      <c r="S185" s="390"/>
      <c r="T185" s="218">
        <f t="shared" si="17"/>
        <v>39013</v>
      </c>
      <c r="U185" s="219">
        <f t="shared" si="18"/>
        <v>36114</v>
      </c>
      <c r="V185" s="368">
        <v>27746</v>
      </c>
      <c r="W185" s="390">
        <v>24127</v>
      </c>
      <c r="X185" s="368">
        <v>1033</v>
      </c>
      <c r="Y185" s="390">
        <v>1064</v>
      </c>
      <c r="Z185" s="367">
        <v>10234</v>
      </c>
      <c r="AA185" s="367"/>
      <c r="AB185" s="367"/>
      <c r="AC185" s="390">
        <v>10923</v>
      </c>
      <c r="AD185" s="390"/>
      <c r="AE185" s="391"/>
      <c r="AF185" s="368"/>
      <c r="AG185" s="391"/>
    </row>
    <row r="186" spans="1:33">
      <c r="A186" s="452" t="s">
        <v>44</v>
      </c>
      <c r="B186" s="453" t="s">
        <v>417</v>
      </c>
      <c r="C186" s="456"/>
      <c r="D186" s="457">
        <v>157173</v>
      </c>
      <c r="E186" s="399">
        <v>8</v>
      </c>
      <c r="F186" s="217">
        <f t="shared" si="15"/>
        <v>240769</v>
      </c>
      <c r="G186" s="216">
        <f t="shared" si="16"/>
        <v>221732</v>
      </c>
      <c r="H186" s="368">
        <v>154491</v>
      </c>
      <c r="I186" s="390">
        <v>116056</v>
      </c>
      <c r="J186" s="368">
        <v>9407</v>
      </c>
      <c r="K186" s="390">
        <v>29354</v>
      </c>
      <c r="L186" s="367">
        <v>76871</v>
      </c>
      <c r="M186" s="367"/>
      <c r="N186" s="367"/>
      <c r="O186" s="390">
        <v>76322</v>
      </c>
      <c r="P186" s="390"/>
      <c r="Q186" s="391"/>
      <c r="R186" s="368"/>
      <c r="S186" s="390"/>
      <c r="T186" s="218">
        <f t="shared" si="17"/>
        <v>0</v>
      </c>
      <c r="U186" s="219">
        <f t="shared" si="18"/>
        <v>0</v>
      </c>
      <c r="V186" s="368"/>
      <c r="W186" s="390"/>
      <c r="X186" s="368"/>
      <c r="Y186" s="390"/>
      <c r="Z186" s="367"/>
      <c r="AA186" s="367"/>
      <c r="AB186" s="367"/>
      <c r="AC186" s="390"/>
      <c r="AD186" s="390"/>
      <c r="AE186" s="391"/>
      <c r="AF186" s="368"/>
      <c r="AG186" s="391"/>
    </row>
    <row r="187" spans="1:33">
      <c r="A187" s="452" t="s">
        <v>44</v>
      </c>
      <c r="B187" s="453" t="s">
        <v>418</v>
      </c>
      <c r="C187" s="456"/>
      <c r="D187" s="457">
        <v>156921</v>
      </c>
      <c r="E187" s="399">
        <v>8</v>
      </c>
      <c r="F187" s="217">
        <f t="shared" si="15"/>
        <v>227815</v>
      </c>
      <c r="G187" s="216">
        <f t="shared" si="16"/>
        <v>220249</v>
      </c>
      <c r="H187" s="368">
        <v>171477</v>
      </c>
      <c r="I187" s="390">
        <v>164542</v>
      </c>
      <c r="J187" s="368">
        <v>12500</v>
      </c>
      <c r="K187" s="390">
        <v>10557</v>
      </c>
      <c r="L187" s="367">
        <v>43709</v>
      </c>
      <c r="M187" s="367">
        <v>36</v>
      </c>
      <c r="N187" s="367">
        <v>93</v>
      </c>
      <c r="O187" s="390">
        <v>45150</v>
      </c>
      <c r="P187" s="390"/>
      <c r="Q187" s="391"/>
      <c r="R187" s="368"/>
      <c r="S187" s="390"/>
      <c r="T187" s="218">
        <f t="shared" si="17"/>
        <v>0</v>
      </c>
      <c r="U187" s="219">
        <f t="shared" si="18"/>
        <v>0</v>
      </c>
      <c r="V187" s="368"/>
      <c r="W187" s="390"/>
      <c r="X187" s="368"/>
      <c r="Y187" s="390"/>
      <c r="Z187" s="367"/>
      <c r="AA187" s="367"/>
      <c r="AB187" s="367"/>
      <c r="AC187" s="390"/>
      <c r="AD187" s="390"/>
      <c r="AE187" s="391"/>
      <c r="AF187" s="368"/>
      <c r="AG187" s="391"/>
    </row>
    <row r="188" spans="1:33">
      <c r="A188" s="452" t="s">
        <v>44</v>
      </c>
      <c r="B188" s="453" t="s">
        <v>419</v>
      </c>
      <c r="C188" s="456"/>
      <c r="D188" s="457">
        <v>156231</v>
      </c>
      <c r="E188" s="399">
        <v>9</v>
      </c>
      <c r="F188" s="217">
        <f t="shared" si="15"/>
        <v>72172</v>
      </c>
      <c r="G188" s="216">
        <f t="shared" si="16"/>
        <v>73755</v>
      </c>
      <c r="H188" s="368">
        <v>43887</v>
      </c>
      <c r="I188" s="390">
        <v>40411</v>
      </c>
      <c r="J188" s="368">
        <v>4208</v>
      </c>
      <c r="K188" s="390">
        <v>3667</v>
      </c>
      <c r="L188" s="367">
        <v>24077</v>
      </c>
      <c r="M188" s="367"/>
      <c r="N188" s="367"/>
      <c r="O188" s="390">
        <v>29677</v>
      </c>
      <c r="P188" s="390"/>
      <c r="Q188" s="391"/>
      <c r="R188" s="368"/>
      <c r="S188" s="390"/>
      <c r="T188" s="218">
        <f t="shared" si="17"/>
        <v>0</v>
      </c>
      <c r="U188" s="219">
        <f t="shared" si="18"/>
        <v>0</v>
      </c>
      <c r="V188" s="368"/>
      <c r="W188" s="390"/>
      <c r="X188" s="368"/>
      <c r="Y188" s="390"/>
      <c r="Z188" s="367"/>
      <c r="AA188" s="367"/>
      <c r="AB188" s="367"/>
      <c r="AC188" s="390"/>
      <c r="AD188" s="390"/>
      <c r="AE188" s="391"/>
      <c r="AF188" s="368"/>
      <c r="AG188" s="391"/>
    </row>
    <row r="189" spans="1:33">
      <c r="A189" s="452" t="s">
        <v>44</v>
      </c>
      <c r="B189" s="453" t="s">
        <v>420</v>
      </c>
      <c r="C189" s="456"/>
      <c r="D189" s="403">
        <v>157553</v>
      </c>
      <c r="E189" s="399">
        <v>9</v>
      </c>
      <c r="F189" s="217">
        <f t="shared" si="15"/>
        <v>78801</v>
      </c>
      <c r="G189" s="216">
        <f t="shared" si="16"/>
        <v>75457</v>
      </c>
      <c r="H189" s="368">
        <v>48634</v>
      </c>
      <c r="I189" s="390">
        <v>47722</v>
      </c>
      <c r="J189" s="368">
        <v>594</v>
      </c>
      <c r="K189" s="390">
        <v>665</v>
      </c>
      <c r="L189" s="367">
        <v>29342</v>
      </c>
      <c r="M189" s="367">
        <v>231</v>
      </c>
      <c r="N189" s="367"/>
      <c r="O189" s="390">
        <v>27070</v>
      </c>
      <c r="P189" s="390"/>
      <c r="Q189" s="391"/>
      <c r="R189" s="368"/>
      <c r="S189" s="390"/>
      <c r="T189" s="218">
        <f t="shared" si="17"/>
        <v>0</v>
      </c>
      <c r="U189" s="219">
        <f t="shared" si="18"/>
        <v>0</v>
      </c>
      <c r="V189" s="368"/>
      <c r="W189" s="390"/>
      <c r="X189" s="368"/>
      <c r="Y189" s="390"/>
      <c r="Z189" s="367"/>
      <c r="AA189" s="367"/>
      <c r="AB189" s="367"/>
      <c r="AC189" s="390"/>
      <c r="AD189" s="390"/>
      <c r="AE189" s="391"/>
      <c r="AF189" s="368"/>
      <c r="AG189" s="391"/>
    </row>
    <row r="190" spans="1:33">
      <c r="A190" s="452" t="s">
        <v>44</v>
      </c>
      <c r="B190" s="453" t="s">
        <v>421</v>
      </c>
      <c r="C190" s="456"/>
      <c r="D190" s="403">
        <v>156648</v>
      </c>
      <c r="E190" s="399">
        <v>9</v>
      </c>
      <c r="F190" s="217">
        <f t="shared" si="15"/>
        <v>113674</v>
      </c>
      <c r="G190" s="216">
        <f t="shared" si="16"/>
        <v>112079</v>
      </c>
      <c r="H190" s="368">
        <v>74093</v>
      </c>
      <c r="I190" s="390">
        <v>67032</v>
      </c>
      <c r="J190" s="368">
        <v>3885</v>
      </c>
      <c r="K190" s="390">
        <v>5970</v>
      </c>
      <c r="L190" s="367">
        <v>35696</v>
      </c>
      <c r="M190" s="367"/>
      <c r="N190" s="367"/>
      <c r="O190" s="390">
        <v>39077</v>
      </c>
      <c r="P190" s="390"/>
      <c r="Q190" s="391"/>
      <c r="R190" s="368"/>
      <c r="S190" s="390"/>
      <c r="T190" s="218">
        <f t="shared" si="17"/>
        <v>0</v>
      </c>
      <c r="U190" s="219">
        <f t="shared" si="18"/>
        <v>0</v>
      </c>
      <c r="V190" s="368"/>
      <c r="W190" s="390"/>
      <c r="X190" s="368"/>
      <c r="Y190" s="390"/>
      <c r="Z190" s="367"/>
      <c r="AA190" s="367"/>
      <c r="AB190" s="367"/>
      <c r="AC190" s="390"/>
      <c r="AD190" s="390"/>
      <c r="AE190" s="391"/>
      <c r="AF190" s="368"/>
      <c r="AG190" s="391"/>
    </row>
    <row r="191" spans="1:33">
      <c r="A191" s="400" t="s">
        <v>44</v>
      </c>
      <c r="B191" s="453" t="s">
        <v>422</v>
      </c>
      <c r="C191" s="454" t="s">
        <v>357</v>
      </c>
      <c r="D191" s="403">
        <v>156790</v>
      </c>
      <c r="E191" s="396">
        <v>9</v>
      </c>
      <c r="F191" s="217">
        <f t="shared" si="15"/>
        <v>62559</v>
      </c>
      <c r="G191" s="216">
        <f t="shared" si="16"/>
        <v>59995</v>
      </c>
      <c r="H191" s="368">
        <v>31949</v>
      </c>
      <c r="I191" s="390">
        <v>27242</v>
      </c>
      <c r="J191" s="368">
        <v>2005</v>
      </c>
      <c r="K191" s="390">
        <v>1990</v>
      </c>
      <c r="L191" s="367">
        <v>27996</v>
      </c>
      <c r="M191" s="367">
        <v>215</v>
      </c>
      <c r="N191" s="367">
        <v>394</v>
      </c>
      <c r="O191" s="390">
        <v>30763</v>
      </c>
      <c r="P191" s="390"/>
      <c r="Q191" s="391"/>
      <c r="R191" s="368"/>
      <c r="S191" s="390"/>
      <c r="T191" s="218">
        <f t="shared" si="17"/>
        <v>0</v>
      </c>
      <c r="U191" s="219">
        <f t="shared" si="18"/>
        <v>0</v>
      </c>
      <c r="V191" s="368"/>
      <c r="W191" s="390"/>
      <c r="X191" s="368"/>
      <c r="Y191" s="390"/>
      <c r="Z191" s="367"/>
      <c r="AA191" s="367"/>
      <c r="AB191" s="367"/>
      <c r="AC191" s="390"/>
      <c r="AD191" s="390"/>
      <c r="AE191" s="391"/>
      <c r="AF191" s="368"/>
      <c r="AG191" s="391"/>
    </row>
    <row r="192" spans="1:33">
      <c r="A192" s="452" t="s">
        <v>44</v>
      </c>
      <c r="B192" s="453" t="s">
        <v>423</v>
      </c>
      <c r="C192" s="458"/>
      <c r="D192" s="403">
        <v>156860</v>
      </c>
      <c r="E192" s="396">
        <v>9</v>
      </c>
      <c r="F192" s="217">
        <f t="shared" si="15"/>
        <v>66726</v>
      </c>
      <c r="G192" s="216">
        <f t="shared" si="16"/>
        <v>63904</v>
      </c>
      <c r="H192" s="368">
        <v>48163</v>
      </c>
      <c r="I192" s="390">
        <v>45172</v>
      </c>
      <c r="J192" s="368">
        <v>744</v>
      </c>
      <c r="K192" s="390">
        <v>1129</v>
      </c>
      <c r="L192" s="367">
        <v>17819</v>
      </c>
      <c r="M192" s="367"/>
      <c r="N192" s="367"/>
      <c r="O192" s="390">
        <v>17603</v>
      </c>
      <c r="P192" s="390"/>
      <c r="Q192" s="391"/>
      <c r="R192" s="368"/>
      <c r="S192" s="390"/>
      <c r="T192" s="218">
        <f t="shared" si="17"/>
        <v>0</v>
      </c>
      <c r="U192" s="219">
        <f t="shared" si="18"/>
        <v>0</v>
      </c>
      <c r="V192" s="368"/>
      <c r="W192" s="390"/>
      <c r="X192" s="368"/>
      <c r="Y192" s="390"/>
      <c r="Z192" s="367"/>
      <c r="AA192" s="367"/>
      <c r="AB192" s="367"/>
      <c r="AC192" s="390"/>
      <c r="AD192" s="390"/>
      <c r="AE192" s="391"/>
      <c r="AF192" s="368"/>
      <c r="AG192" s="391"/>
    </row>
    <row r="193" spans="1:33">
      <c r="A193" s="400" t="s">
        <v>44</v>
      </c>
      <c r="B193" s="401" t="s">
        <v>424</v>
      </c>
      <c r="C193" s="402"/>
      <c r="D193" s="403">
        <v>157304</v>
      </c>
      <c r="E193" s="404">
        <v>9</v>
      </c>
      <c r="F193" s="217">
        <f t="shared" si="15"/>
        <v>65837</v>
      </c>
      <c r="G193" s="216">
        <f t="shared" si="16"/>
        <v>63319</v>
      </c>
      <c r="H193" s="368">
        <v>36594</v>
      </c>
      <c r="I193" s="390">
        <v>31206</v>
      </c>
      <c r="J193" s="368">
        <v>5113</v>
      </c>
      <c r="K193" s="390">
        <v>5309</v>
      </c>
      <c r="L193" s="367">
        <v>24130</v>
      </c>
      <c r="M193" s="367"/>
      <c r="N193" s="367"/>
      <c r="O193" s="390">
        <v>26804</v>
      </c>
      <c r="P193" s="390"/>
      <c r="Q193" s="391"/>
      <c r="R193" s="368"/>
      <c r="S193" s="390"/>
      <c r="T193" s="218">
        <f t="shared" si="17"/>
        <v>0</v>
      </c>
      <c r="U193" s="219">
        <f t="shared" si="18"/>
        <v>0</v>
      </c>
      <c r="V193" s="368"/>
      <c r="W193" s="390"/>
      <c r="X193" s="368"/>
      <c r="Y193" s="390"/>
      <c r="Z193" s="367"/>
      <c r="AA193" s="367"/>
      <c r="AB193" s="367"/>
      <c r="AC193" s="390"/>
      <c r="AD193" s="390"/>
      <c r="AE193" s="391"/>
      <c r="AF193" s="368"/>
      <c r="AG193" s="391"/>
    </row>
    <row r="194" spans="1:33">
      <c r="A194" s="400" t="s">
        <v>44</v>
      </c>
      <c r="B194" s="401" t="s">
        <v>425</v>
      </c>
      <c r="C194" s="402"/>
      <c r="D194" s="403">
        <v>157331</v>
      </c>
      <c r="E194" s="404">
        <v>9</v>
      </c>
      <c r="F194" s="217">
        <f t="shared" si="15"/>
        <v>86457</v>
      </c>
      <c r="G194" s="216">
        <f t="shared" si="16"/>
        <v>77846</v>
      </c>
      <c r="H194" s="368">
        <v>37768</v>
      </c>
      <c r="I194" s="390">
        <v>33945</v>
      </c>
      <c r="J194" s="368">
        <v>4766</v>
      </c>
      <c r="K194" s="390">
        <v>7030</v>
      </c>
      <c r="L194" s="367">
        <v>43737</v>
      </c>
      <c r="M194" s="367"/>
      <c r="N194" s="367">
        <v>186</v>
      </c>
      <c r="O194" s="390">
        <v>36871</v>
      </c>
      <c r="P194" s="390"/>
      <c r="Q194" s="391"/>
      <c r="R194" s="368"/>
      <c r="S194" s="390"/>
      <c r="T194" s="218">
        <f t="shared" si="17"/>
        <v>0</v>
      </c>
      <c r="U194" s="219">
        <f t="shared" si="18"/>
        <v>0</v>
      </c>
      <c r="V194" s="368"/>
      <c r="W194" s="390"/>
      <c r="X194" s="368"/>
      <c r="Y194" s="390"/>
      <c r="Z194" s="367"/>
      <c r="AA194" s="367"/>
      <c r="AB194" s="367"/>
      <c r="AC194" s="390"/>
      <c r="AD194" s="390"/>
      <c r="AE194" s="391"/>
      <c r="AF194" s="368"/>
      <c r="AG194" s="391"/>
    </row>
    <row r="195" spans="1:33">
      <c r="A195" s="452" t="s">
        <v>44</v>
      </c>
      <c r="B195" s="453" t="s">
        <v>426</v>
      </c>
      <c r="C195" s="456"/>
      <c r="D195" s="403">
        <v>247940</v>
      </c>
      <c r="E195" s="399">
        <v>9</v>
      </c>
      <c r="F195" s="217">
        <f t="shared" si="15"/>
        <v>79913</v>
      </c>
      <c r="G195" s="216">
        <f t="shared" si="16"/>
        <v>74837</v>
      </c>
      <c r="H195" s="368">
        <v>54577</v>
      </c>
      <c r="I195" s="390">
        <v>48161</v>
      </c>
      <c r="J195" s="368">
        <v>2209</v>
      </c>
      <c r="K195" s="390">
        <v>3896</v>
      </c>
      <c r="L195" s="367">
        <v>23120</v>
      </c>
      <c r="M195" s="367"/>
      <c r="N195" s="367">
        <v>7</v>
      </c>
      <c r="O195" s="390">
        <v>22780</v>
      </c>
      <c r="P195" s="390"/>
      <c r="Q195" s="391"/>
      <c r="R195" s="368"/>
      <c r="S195" s="390"/>
      <c r="T195" s="218">
        <f t="shared" si="17"/>
        <v>0</v>
      </c>
      <c r="U195" s="219">
        <f t="shared" si="18"/>
        <v>0</v>
      </c>
      <c r="V195" s="368"/>
      <c r="W195" s="390"/>
      <c r="X195" s="368"/>
      <c r="Y195" s="390"/>
      <c r="Z195" s="367"/>
      <c r="AA195" s="367"/>
      <c r="AB195" s="367"/>
      <c r="AC195" s="390"/>
      <c r="AD195" s="390"/>
      <c r="AE195" s="391"/>
      <c r="AF195" s="368"/>
      <c r="AG195" s="391"/>
    </row>
    <row r="196" spans="1:33">
      <c r="A196" s="452" t="s">
        <v>44</v>
      </c>
      <c r="B196" s="453" t="s">
        <v>427</v>
      </c>
      <c r="C196" s="454"/>
      <c r="D196" s="403">
        <v>157711</v>
      </c>
      <c r="E196" s="399">
        <v>9</v>
      </c>
      <c r="F196" s="217">
        <f t="shared" si="15"/>
        <v>143316</v>
      </c>
      <c r="G196" s="216">
        <f t="shared" si="16"/>
        <v>134969</v>
      </c>
      <c r="H196" s="368">
        <v>66541</v>
      </c>
      <c r="I196" s="390">
        <v>60366</v>
      </c>
      <c r="J196" s="368">
        <v>11456</v>
      </c>
      <c r="K196" s="390">
        <v>10886</v>
      </c>
      <c r="L196" s="367">
        <v>63079</v>
      </c>
      <c r="M196" s="367">
        <v>405</v>
      </c>
      <c r="N196" s="367">
        <v>1835</v>
      </c>
      <c r="O196" s="390">
        <v>63717</v>
      </c>
      <c r="P196" s="390"/>
      <c r="Q196" s="391"/>
      <c r="R196" s="368"/>
      <c r="S196" s="390"/>
      <c r="T196" s="218">
        <f t="shared" si="17"/>
        <v>0</v>
      </c>
      <c r="U196" s="219">
        <f t="shared" si="18"/>
        <v>0</v>
      </c>
      <c r="V196" s="368"/>
      <c r="W196" s="390"/>
      <c r="X196" s="368"/>
      <c r="Y196" s="390"/>
      <c r="Z196" s="367"/>
      <c r="AA196" s="367"/>
      <c r="AB196" s="367"/>
      <c r="AC196" s="390"/>
      <c r="AD196" s="390"/>
      <c r="AE196" s="391"/>
      <c r="AF196" s="368"/>
      <c r="AG196" s="391"/>
    </row>
    <row r="197" spans="1:33">
      <c r="A197" s="452" t="s">
        <v>44</v>
      </c>
      <c r="B197" s="453" t="s">
        <v>428</v>
      </c>
      <c r="C197" s="454"/>
      <c r="D197" s="403">
        <v>157739</v>
      </c>
      <c r="E197" s="399">
        <v>9</v>
      </c>
      <c r="F197" s="217">
        <f t="shared" si="15"/>
        <v>64837</v>
      </c>
      <c r="G197" s="216">
        <f t="shared" si="16"/>
        <v>62677</v>
      </c>
      <c r="H197" s="368">
        <v>48422</v>
      </c>
      <c r="I197" s="390">
        <v>47379</v>
      </c>
      <c r="J197" s="368"/>
      <c r="K197" s="390"/>
      <c r="L197" s="367">
        <v>15507</v>
      </c>
      <c r="M197" s="367">
        <v>586</v>
      </c>
      <c r="N197" s="367">
        <v>322</v>
      </c>
      <c r="O197" s="390">
        <v>15298</v>
      </c>
      <c r="P197" s="390"/>
      <c r="Q197" s="391"/>
      <c r="R197" s="368"/>
      <c r="S197" s="390"/>
      <c r="T197" s="218">
        <f t="shared" si="17"/>
        <v>0</v>
      </c>
      <c r="U197" s="219">
        <f t="shared" si="18"/>
        <v>0</v>
      </c>
      <c r="V197" s="368"/>
      <c r="W197" s="390"/>
      <c r="X197" s="368"/>
      <c r="Y197" s="390"/>
      <c r="Z197" s="367"/>
      <c r="AA197" s="367"/>
      <c r="AB197" s="367"/>
      <c r="AC197" s="390"/>
      <c r="AD197" s="390"/>
      <c r="AE197" s="391"/>
      <c r="AF197" s="368"/>
      <c r="AG197" s="391"/>
    </row>
    <row r="198" spans="1:33">
      <c r="A198" s="452" t="s">
        <v>44</v>
      </c>
      <c r="B198" s="453" t="s">
        <v>429</v>
      </c>
      <c r="C198" s="456"/>
      <c r="D198" s="403">
        <v>157483</v>
      </c>
      <c r="E198" s="399">
        <v>9</v>
      </c>
      <c r="F198" s="217">
        <f t="shared" si="15"/>
        <v>123422</v>
      </c>
      <c r="G198" s="216">
        <f t="shared" si="16"/>
        <v>117352</v>
      </c>
      <c r="H198" s="368">
        <v>71292</v>
      </c>
      <c r="I198" s="390">
        <v>63548</v>
      </c>
      <c r="J198" s="368">
        <v>8294</v>
      </c>
      <c r="K198" s="390">
        <v>6425</v>
      </c>
      <c r="L198" s="367">
        <v>43667</v>
      </c>
      <c r="M198" s="367"/>
      <c r="N198" s="367">
        <v>169</v>
      </c>
      <c r="O198" s="390">
        <v>47379</v>
      </c>
      <c r="P198" s="390"/>
      <c r="Q198" s="391"/>
      <c r="R198" s="368"/>
      <c r="S198" s="390"/>
      <c r="T198" s="218">
        <f t="shared" si="17"/>
        <v>0</v>
      </c>
      <c r="U198" s="219">
        <f t="shared" si="18"/>
        <v>0</v>
      </c>
      <c r="V198" s="368"/>
      <c r="W198" s="390"/>
      <c r="X198" s="368"/>
      <c r="Y198" s="390"/>
      <c r="Z198" s="367"/>
      <c r="AA198" s="367"/>
      <c r="AB198" s="367"/>
      <c r="AC198" s="390"/>
      <c r="AD198" s="390"/>
      <c r="AE198" s="391"/>
      <c r="AF198" s="368"/>
      <c r="AG198" s="391"/>
    </row>
    <row r="199" spans="1:33">
      <c r="A199" s="452" t="s">
        <v>44</v>
      </c>
      <c r="B199" s="453" t="s">
        <v>430</v>
      </c>
      <c r="C199" s="456"/>
      <c r="D199" s="403">
        <v>156851</v>
      </c>
      <c r="E199" s="399">
        <v>10</v>
      </c>
      <c r="F199" s="217">
        <f t="shared" si="15"/>
        <v>39112</v>
      </c>
      <c r="G199" s="216">
        <f t="shared" si="16"/>
        <v>33863</v>
      </c>
      <c r="H199" s="368">
        <v>18151</v>
      </c>
      <c r="I199" s="390">
        <v>16905</v>
      </c>
      <c r="J199" s="368">
        <v>2140</v>
      </c>
      <c r="K199" s="390">
        <v>2714</v>
      </c>
      <c r="L199" s="367">
        <v>18691</v>
      </c>
      <c r="M199" s="367"/>
      <c r="N199" s="367">
        <v>130</v>
      </c>
      <c r="O199" s="390">
        <v>14244</v>
      </c>
      <c r="P199" s="390"/>
      <c r="Q199" s="391"/>
      <c r="R199" s="368"/>
      <c r="S199" s="390"/>
      <c r="T199" s="218">
        <f t="shared" si="17"/>
        <v>0</v>
      </c>
      <c r="U199" s="219">
        <f t="shared" si="18"/>
        <v>0</v>
      </c>
      <c r="V199" s="368"/>
      <c r="W199" s="390"/>
      <c r="X199" s="368"/>
      <c r="Y199" s="390"/>
      <c r="Z199" s="367"/>
      <c r="AA199" s="367"/>
      <c r="AB199" s="367"/>
      <c r="AC199" s="390"/>
      <c r="AD199" s="390"/>
      <c r="AE199" s="391"/>
      <c r="AF199" s="368"/>
      <c r="AG199" s="391"/>
    </row>
    <row r="200" spans="1:33">
      <c r="A200" s="400" t="s">
        <v>44</v>
      </c>
      <c r="B200" s="401" t="s">
        <v>431</v>
      </c>
      <c r="C200" s="402"/>
      <c r="D200" s="403">
        <v>157438</v>
      </c>
      <c r="E200" s="404">
        <v>12</v>
      </c>
      <c r="F200" s="217">
        <f t="shared" ref="F200:F263" si="19">SUM(H200,J200,L200,M200,N200,R200)</f>
        <v>73801</v>
      </c>
      <c r="G200" s="216">
        <f t="shared" ref="G200:G263" si="20">SUM(I200,K200,O200,P200,Q200,S200)</f>
        <v>73495</v>
      </c>
      <c r="H200" s="368">
        <v>57944</v>
      </c>
      <c r="I200" s="390">
        <v>45758</v>
      </c>
      <c r="J200" s="368">
        <v>1135</v>
      </c>
      <c r="K200" s="390">
        <v>10631</v>
      </c>
      <c r="L200" s="367">
        <v>14722</v>
      </c>
      <c r="M200" s="367"/>
      <c r="N200" s="367"/>
      <c r="O200" s="390">
        <v>17106</v>
      </c>
      <c r="P200" s="390"/>
      <c r="Q200" s="391"/>
      <c r="R200" s="368"/>
      <c r="S200" s="390"/>
      <c r="T200" s="218">
        <f t="shared" ref="T200:T263" si="21">SUM(V200,X200,Z200,AA200,AB200,AF200)</f>
        <v>0</v>
      </c>
      <c r="U200" s="219">
        <f t="shared" ref="U200:U263" si="22">SUM(W200,Y200,AC200,AD200,AE200,AG200)</f>
        <v>0</v>
      </c>
      <c r="V200" s="368"/>
      <c r="W200" s="390"/>
      <c r="X200" s="368"/>
      <c r="Y200" s="390"/>
      <c r="Z200" s="367"/>
      <c r="AA200" s="367"/>
      <c r="AB200" s="367"/>
      <c r="AC200" s="390"/>
      <c r="AD200" s="390"/>
      <c r="AE200" s="391"/>
      <c r="AF200" s="368"/>
      <c r="AG200" s="391"/>
    </row>
    <row r="201" spans="1:33">
      <c r="A201" s="400" t="s">
        <v>44</v>
      </c>
      <c r="B201" s="401" t="s">
        <v>432</v>
      </c>
      <c r="C201" s="456"/>
      <c r="D201" s="403">
        <v>156338</v>
      </c>
      <c r="E201" s="399">
        <v>12</v>
      </c>
      <c r="F201" s="217">
        <f t="shared" si="19"/>
        <v>87980</v>
      </c>
      <c r="G201" s="216">
        <f t="shared" si="20"/>
        <v>79651</v>
      </c>
      <c r="H201" s="368">
        <v>51631</v>
      </c>
      <c r="I201" s="390">
        <v>49872</v>
      </c>
      <c r="J201" s="368">
        <v>3818</v>
      </c>
      <c r="K201" s="390">
        <v>3442</v>
      </c>
      <c r="L201" s="367">
        <v>32531</v>
      </c>
      <c r="M201" s="367"/>
      <c r="N201" s="367"/>
      <c r="O201" s="390">
        <v>26337</v>
      </c>
      <c r="P201" s="390"/>
      <c r="Q201" s="391"/>
      <c r="R201" s="368"/>
      <c r="S201" s="390"/>
      <c r="T201" s="218">
        <f t="shared" si="21"/>
        <v>0</v>
      </c>
      <c r="U201" s="219">
        <f t="shared" si="22"/>
        <v>0</v>
      </c>
      <c r="V201" s="368"/>
      <c r="W201" s="390"/>
      <c r="X201" s="368"/>
      <c r="Y201" s="390"/>
      <c r="Z201" s="367"/>
      <c r="AA201" s="367"/>
      <c r="AB201" s="367"/>
      <c r="AC201" s="390"/>
      <c r="AD201" s="390"/>
      <c r="AE201" s="391"/>
      <c r="AF201" s="368"/>
      <c r="AG201" s="391"/>
    </row>
    <row r="202" spans="1:33">
      <c r="A202" s="651" t="s">
        <v>45</v>
      </c>
      <c r="B202" s="652"/>
      <c r="C202" s="653"/>
      <c r="D202" s="654"/>
      <c r="E202" s="655"/>
      <c r="F202" s="217">
        <f t="shared" si="19"/>
        <v>0</v>
      </c>
      <c r="G202" s="216">
        <f t="shared" si="20"/>
        <v>0</v>
      </c>
      <c r="H202" s="368"/>
      <c r="I202" s="390"/>
      <c r="J202" s="368"/>
      <c r="K202" s="390"/>
      <c r="L202" s="367"/>
      <c r="M202" s="367"/>
      <c r="N202" s="367"/>
      <c r="O202" s="390"/>
      <c r="P202" s="390"/>
      <c r="Q202" s="391"/>
      <c r="R202" s="368"/>
      <c r="S202" s="390"/>
      <c r="T202" s="218">
        <f t="shared" si="21"/>
        <v>0</v>
      </c>
      <c r="U202" s="219">
        <f t="shared" si="22"/>
        <v>0</v>
      </c>
      <c r="V202" s="368"/>
      <c r="W202" s="390"/>
      <c r="X202" s="368"/>
      <c r="Y202" s="390"/>
      <c r="Z202" s="367"/>
      <c r="AA202" s="367"/>
      <c r="AB202" s="367"/>
      <c r="AC202" s="390"/>
      <c r="AD202" s="390"/>
      <c r="AE202" s="391"/>
      <c r="AF202" s="368"/>
      <c r="AG202" s="391"/>
    </row>
    <row r="203" spans="1:33">
      <c r="A203" s="451" t="s">
        <v>46</v>
      </c>
      <c r="B203" s="435" t="s">
        <v>683</v>
      </c>
      <c r="C203" s="591"/>
      <c r="D203" s="448">
        <v>163286</v>
      </c>
      <c r="E203" s="449">
        <v>1</v>
      </c>
      <c r="F203" s="217">
        <f t="shared" si="19"/>
        <v>786874</v>
      </c>
      <c r="G203" s="216">
        <f t="shared" si="20"/>
        <v>801361</v>
      </c>
      <c r="H203" s="368">
        <v>747597</v>
      </c>
      <c r="I203" s="592">
        <v>759431</v>
      </c>
      <c r="J203" s="368">
        <v>21145</v>
      </c>
      <c r="K203" s="592">
        <v>20329</v>
      </c>
      <c r="L203" s="367">
        <v>16980</v>
      </c>
      <c r="M203" s="367">
        <v>1152</v>
      </c>
      <c r="N203" s="367">
        <v>0</v>
      </c>
      <c r="O203" s="592">
        <v>20815</v>
      </c>
      <c r="P203" s="592">
        <v>786</v>
      </c>
      <c r="Q203" s="592">
        <v>0</v>
      </c>
      <c r="R203" s="368"/>
      <c r="S203" s="592">
        <v>0</v>
      </c>
      <c r="T203" s="218">
        <f t="shared" si="21"/>
        <v>155702</v>
      </c>
      <c r="U203" s="219">
        <f t="shared" si="22"/>
        <v>155362</v>
      </c>
      <c r="V203" s="368">
        <v>118004</v>
      </c>
      <c r="W203" s="592">
        <v>117701</v>
      </c>
      <c r="X203" s="368">
        <v>30170</v>
      </c>
      <c r="Y203" s="592">
        <v>29566</v>
      </c>
      <c r="Z203" s="367">
        <v>6631</v>
      </c>
      <c r="AA203" s="367">
        <v>897</v>
      </c>
      <c r="AB203" s="367">
        <v>0</v>
      </c>
      <c r="AC203" s="592">
        <v>7224</v>
      </c>
      <c r="AD203" s="592">
        <v>871</v>
      </c>
      <c r="AE203" s="592">
        <v>0</v>
      </c>
      <c r="AF203" s="368"/>
      <c r="AG203" s="592">
        <v>0</v>
      </c>
    </row>
    <row r="204" spans="1:33">
      <c r="A204" s="451" t="s">
        <v>46</v>
      </c>
      <c r="B204" s="435" t="s">
        <v>684</v>
      </c>
      <c r="C204" s="593"/>
      <c r="D204" s="448">
        <v>163453</v>
      </c>
      <c r="E204" s="438">
        <v>2</v>
      </c>
      <c r="F204" s="217">
        <f t="shared" si="19"/>
        <v>179961</v>
      </c>
      <c r="G204" s="216">
        <f t="shared" si="20"/>
        <v>176517</v>
      </c>
      <c r="H204" s="368">
        <v>174295</v>
      </c>
      <c r="I204" s="592">
        <v>171534</v>
      </c>
      <c r="J204" s="368">
        <v>1887</v>
      </c>
      <c r="K204" s="592">
        <v>42</v>
      </c>
      <c r="L204" s="367">
        <v>3779</v>
      </c>
      <c r="M204" s="367">
        <v>0</v>
      </c>
      <c r="N204" s="367">
        <v>0</v>
      </c>
      <c r="O204" s="592">
        <v>4941</v>
      </c>
      <c r="P204" s="592">
        <v>0</v>
      </c>
      <c r="Q204" s="592">
        <v>0</v>
      </c>
      <c r="R204" s="368"/>
      <c r="S204" s="592">
        <v>0</v>
      </c>
      <c r="T204" s="218">
        <f t="shared" si="21"/>
        <v>20304</v>
      </c>
      <c r="U204" s="219">
        <f t="shared" si="22"/>
        <v>21129</v>
      </c>
      <c r="V204" s="368">
        <v>17750</v>
      </c>
      <c r="W204" s="592">
        <v>19577</v>
      </c>
      <c r="X204" s="368">
        <v>238</v>
      </c>
      <c r="Y204" s="592">
        <v>24</v>
      </c>
      <c r="Z204" s="367">
        <v>2316</v>
      </c>
      <c r="AA204" s="367">
        <v>0</v>
      </c>
      <c r="AB204" s="367">
        <v>0</v>
      </c>
      <c r="AC204" s="592">
        <v>1528</v>
      </c>
      <c r="AD204" s="592">
        <v>0</v>
      </c>
      <c r="AE204" s="592">
        <v>0</v>
      </c>
      <c r="AF204" s="368"/>
      <c r="AG204" s="592">
        <v>0</v>
      </c>
    </row>
    <row r="205" spans="1:33">
      <c r="A205" s="451" t="s">
        <v>46</v>
      </c>
      <c r="B205" s="435" t="s">
        <v>685</v>
      </c>
      <c r="C205" s="591"/>
      <c r="D205" s="448">
        <v>163268</v>
      </c>
      <c r="E205" s="449">
        <v>2</v>
      </c>
      <c r="F205" s="217">
        <f t="shared" si="19"/>
        <v>315357</v>
      </c>
      <c r="G205" s="216">
        <f t="shared" si="20"/>
        <v>319789</v>
      </c>
      <c r="H205" s="368">
        <v>274522</v>
      </c>
      <c r="I205" s="592">
        <v>276150</v>
      </c>
      <c r="J205" s="368">
        <v>7636</v>
      </c>
      <c r="K205" s="592">
        <v>7899</v>
      </c>
      <c r="L205" s="367">
        <v>33199</v>
      </c>
      <c r="M205" s="367">
        <v>0</v>
      </c>
      <c r="N205" s="367">
        <v>0</v>
      </c>
      <c r="O205" s="592">
        <v>35740</v>
      </c>
      <c r="P205" s="592">
        <v>0</v>
      </c>
      <c r="Q205" s="592">
        <v>0</v>
      </c>
      <c r="R205" s="368"/>
      <c r="S205" s="592">
        <v>0</v>
      </c>
      <c r="T205" s="218">
        <f t="shared" si="21"/>
        <v>35394</v>
      </c>
      <c r="U205" s="219">
        <f t="shared" si="22"/>
        <v>35348</v>
      </c>
      <c r="V205" s="368">
        <v>25610</v>
      </c>
      <c r="W205" s="592">
        <v>25258</v>
      </c>
      <c r="X205" s="368">
        <v>1930</v>
      </c>
      <c r="Y205" s="592">
        <v>2658</v>
      </c>
      <c r="Z205" s="367">
        <v>7854</v>
      </c>
      <c r="AA205" s="367">
        <v>0</v>
      </c>
      <c r="AB205" s="367">
        <v>0</v>
      </c>
      <c r="AC205" s="592">
        <v>7432</v>
      </c>
      <c r="AD205" s="592">
        <v>0</v>
      </c>
      <c r="AE205" s="592">
        <v>0</v>
      </c>
      <c r="AF205" s="368"/>
      <c r="AG205" s="592">
        <v>0</v>
      </c>
    </row>
    <row r="206" spans="1:33">
      <c r="A206" s="451" t="s">
        <v>46</v>
      </c>
      <c r="B206" s="435" t="s">
        <v>686</v>
      </c>
      <c r="C206" s="591"/>
      <c r="D206" s="448">
        <v>164076</v>
      </c>
      <c r="E206" s="449">
        <v>3</v>
      </c>
      <c r="F206" s="217">
        <f t="shared" si="19"/>
        <v>532503</v>
      </c>
      <c r="G206" s="216">
        <f t="shared" si="20"/>
        <v>538278</v>
      </c>
      <c r="H206" s="368">
        <v>480316</v>
      </c>
      <c r="I206" s="592">
        <v>481849</v>
      </c>
      <c r="J206" s="368">
        <v>11270</v>
      </c>
      <c r="K206" s="592">
        <v>11815</v>
      </c>
      <c r="L206" s="367">
        <v>40034</v>
      </c>
      <c r="M206" s="367">
        <v>883</v>
      </c>
      <c r="N206" s="367">
        <v>0</v>
      </c>
      <c r="O206" s="592">
        <v>44425</v>
      </c>
      <c r="P206" s="592">
        <v>189</v>
      </c>
      <c r="Q206" s="592">
        <v>0</v>
      </c>
      <c r="R206" s="368"/>
      <c r="S206" s="592">
        <v>0</v>
      </c>
      <c r="T206" s="218">
        <f t="shared" si="21"/>
        <v>53830</v>
      </c>
      <c r="U206" s="219">
        <f t="shared" si="22"/>
        <v>51407.5</v>
      </c>
      <c r="V206" s="368">
        <v>33838</v>
      </c>
      <c r="W206" s="592">
        <v>30772.5</v>
      </c>
      <c r="X206" s="368">
        <v>10063</v>
      </c>
      <c r="Y206" s="592">
        <v>9665.5</v>
      </c>
      <c r="Z206" s="367">
        <v>9857</v>
      </c>
      <c r="AA206" s="367">
        <v>72</v>
      </c>
      <c r="AB206" s="367">
        <v>0</v>
      </c>
      <c r="AC206" s="592">
        <v>10516.5</v>
      </c>
      <c r="AD206" s="592">
        <v>453</v>
      </c>
      <c r="AE206" s="592">
        <v>0</v>
      </c>
      <c r="AF206" s="368"/>
      <c r="AG206" s="592">
        <v>0</v>
      </c>
    </row>
    <row r="207" spans="1:33">
      <c r="A207" s="451" t="s">
        <v>46</v>
      </c>
      <c r="B207" s="435" t="s">
        <v>687</v>
      </c>
      <c r="C207" s="591"/>
      <c r="D207" s="448">
        <v>162007</v>
      </c>
      <c r="E207" s="449">
        <v>4</v>
      </c>
      <c r="F207" s="217">
        <f t="shared" si="19"/>
        <v>117072</v>
      </c>
      <c r="G207" s="216">
        <f t="shared" si="20"/>
        <v>119899</v>
      </c>
      <c r="H207" s="368">
        <v>101937</v>
      </c>
      <c r="I207" s="592">
        <v>103570</v>
      </c>
      <c r="J207" s="368">
        <v>0</v>
      </c>
      <c r="K207" s="592">
        <v>0</v>
      </c>
      <c r="L207" s="367">
        <v>15135</v>
      </c>
      <c r="M207" s="367">
        <v>0</v>
      </c>
      <c r="N207" s="367">
        <v>0</v>
      </c>
      <c r="O207" s="592">
        <v>16329</v>
      </c>
      <c r="P207" s="592">
        <v>0</v>
      </c>
      <c r="Q207" s="592">
        <v>0</v>
      </c>
      <c r="R207" s="368"/>
      <c r="S207" s="592">
        <v>0</v>
      </c>
      <c r="T207" s="218">
        <f t="shared" si="21"/>
        <v>16760</v>
      </c>
      <c r="U207" s="219">
        <f t="shared" si="22"/>
        <v>18596</v>
      </c>
      <c r="V207" s="368">
        <v>14989</v>
      </c>
      <c r="W207" s="592">
        <v>16371</v>
      </c>
      <c r="X207" s="368">
        <v>463</v>
      </c>
      <c r="Y207" s="592">
        <v>583</v>
      </c>
      <c r="Z207" s="367">
        <v>1308</v>
      </c>
      <c r="AA207" s="367">
        <v>0</v>
      </c>
      <c r="AB207" s="367">
        <v>0</v>
      </c>
      <c r="AC207" s="592">
        <v>1642</v>
      </c>
      <c r="AD207" s="592">
        <v>0</v>
      </c>
      <c r="AE207" s="592">
        <v>0</v>
      </c>
      <c r="AF207" s="368"/>
      <c r="AG207" s="592">
        <v>0</v>
      </c>
    </row>
    <row r="208" spans="1:33">
      <c r="A208" s="451" t="s">
        <v>46</v>
      </c>
      <c r="B208" s="435" t="s">
        <v>688</v>
      </c>
      <c r="C208" s="591"/>
      <c r="D208" s="448">
        <v>162584</v>
      </c>
      <c r="E208" s="449">
        <v>4</v>
      </c>
      <c r="F208" s="217">
        <f t="shared" si="19"/>
        <v>132736</v>
      </c>
      <c r="G208" s="216">
        <f t="shared" si="20"/>
        <v>134434</v>
      </c>
      <c r="H208" s="368">
        <v>111245</v>
      </c>
      <c r="I208" s="592">
        <v>109840</v>
      </c>
      <c r="J208" s="368">
        <v>2510</v>
      </c>
      <c r="K208" s="592">
        <v>2942</v>
      </c>
      <c r="L208" s="367">
        <v>18981</v>
      </c>
      <c r="M208" s="367">
        <v>0</v>
      </c>
      <c r="N208" s="367">
        <v>0</v>
      </c>
      <c r="O208" s="592">
        <v>21652</v>
      </c>
      <c r="P208" s="592">
        <v>0</v>
      </c>
      <c r="Q208" s="592">
        <v>0</v>
      </c>
      <c r="R208" s="368"/>
      <c r="S208" s="592">
        <v>0</v>
      </c>
      <c r="T208" s="218">
        <f t="shared" si="21"/>
        <v>12550</v>
      </c>
      <c r="U208" s="219">
        <f t="shared" si="22"/>
        <v>11843</v>
      </c>
      <c r="V208" s="368">
        <v>3493</v>
      </c>
      <c r="W208" s="592">
        <v>2661</v>
      </c>
      <c r="X208" s="368">
        <v>864</v>
      </c>
      <c r="Y208" s="592">
        <v>439</v>
      </c>
      <c r="Z208" s="367">
        <v>8193</v>
      </c>
      <c r="AA208" s="367">
        <v>0</v>
      </c>
      <c r="AB208" s="367">
        <v>0</v>
      </c>
      <c r="AC208" s="592">
        <v>8743</v>
      </c>
      <c r="AD208" s="592">
        <v>0</v>
      </c>
      <c r="AE208" s="592">
        <v>0</v>
      </c>
      <c r="AF208" s="368"/>
      <c r="AG208" s="592">
        <v>0</v>
      </c>
    </row>
    <row r="209" spans="1:34">
      <c r="A209" s="451" t="s">
        <v>46</v>
      </c>
      <c r="B209" s="435" t="s">
        <v>689</v>
      </c>
      <c r="C209" s="591"/>
      <c r="D209" s="448">
        <v>163851</v>
      </c>
      <c r="E209" s="449">
        <v>4</v>
      </c>
      <c r="F209" s="217">
        <f t="shared" si="19"/>
        <v>238587</v>
      </c>
      <c r="G209" s="216">
        <f t="shared" si="20"/>
        <v>239693</v>
      </c>
      <c r="H209" s="368">
        <v>206133</v>
      </c>
      <c r="I209" s="592">
        <v>210710</v>
      </c>
      <c r="J209" s="368">
        <v>3439</v>
      </c>
      <c r="K209" s="592">
        <v>3274</v>
      </c>
      <c r="L209" s="367">
        <v>21517</v>
      </c>
      <c r="M209" s="367">
        <v>7498</v>
      </c>
      <c r="N209" s="367">
        <v>0</v>
      </c>
      <c r="O209" s="592">
        <v>23626</v>
      </c>
      <c r="P209" s="592">
        <v>2083</v>
      </c>
      <c r="Q209" s="592">
        <v>0</v>
      </c>
      <c r="R209" s="368"/>
      <c r="S209" s="592">
        <v>0</v>
      </c>
      <c r="T209" s="218">
        <f t="shared" si="21"/>
        <v>10601</v>
      </c>
      <c r="U209" s="219">
        <f t="shared" si="22"/>
        <v>11815</v>
      </c>
      <c r="V209" s="368">
        <v>4333</v>
      </c>
      <c r="W209" s="592">
        <v>4286</v>
      </c>
      <c r="X209" s="368">
        <v>100</v>
      </c>
      <c r="Y209" s="592">
        <v>552</v>
      </c>
      <c r="Z209" s="367">
        <v>5129</v>
      </c>
      <c r="AA209" s="367">
        <v>1039</v>
      </c>
      <c r="AB209" s="367">
        <v>0</v>
      </c>
      <c r="AC209" s="592">
        <v>5005</v>
      </c>
      <c r="AD209" s="592">
        <v>1972</v>
      </c>
      <c r="AE209" s="592">
        <v>0</v>
      </c>
      <c r="AF209" s="368"/>
      <c r="AG209" s="592">
        <v>0</v>
      </c>
    </row>
    <row r="210" spans="1:34">
      <c r="A210" s="451" t="s">
        <v>46</v>
      </c>
      <c r="B210" s="435" t="s">
        <v>690</v>
      </c>
      <c r="C210" s="591" t="s">
        <v>531</v>
      </c>
      <c r="D210" s="448">
        <v>161873</v>
      </c>
      <c r="E210" s="449">
        <v>4</v>
      </c>
      <c r="F210" s="217">
        <f t="shared" si="19"/>
        <v>75630</v>
      </c>
      <c r="G210" s="216">
        <f t="shared" si="20"/>
        <v>76623</v>
      </c>
      <c r="H210" s="368">
        <v>60582</v>
      </c>
      <c r="I210" s="592">
        <v>59310</v>
      </c>
      <c r="J210" s="368">
        <v>1344</v>
      </c>
      <c r="K210" s="592">
        <v>1335</v>
      </c>
      <c r="L210" s="367">
        <v>13704</v>
      </c>
      <c r="M210" s="367">
        <v>0</v>
      </c>
      <c r="N210" s="367">
        <v>0</v>
      </c>
      <c r="O210" s="592">
        <v>15978</v>
      </c>
      <c r="P210" s="592">
        <v>0</v>
      </c>
      <c r="Q210" s="592">
        <v>0</v>
      </c>
      <c r="R210" s="368"/>
      <c r="S210" s="592">
        <v>0</v>
      </c>
      <c r="T210" s="218">
        <f t="shared" si="21"/>
        <v>54307</v>
      </c>
      <c r="U210" s="219">
        <f t="shared" si="22"/>
        <v>52306.5</v>
      </c>
      <c r="V210" s="368">
        <v>43411</v>
      </c>
      <c r="W210" s="592">
        <v>41765.5</v>
      </c>
      <c r="X210" s="368">
        <v>1899</v>
      </c>
      <c r="Y210" s="592">
        <v>1965.5</v>
      </c>
      <c r="Z210" s="367">
        <v>8997</v>
      </c>
      <c r="AA210" s="367">
        <v>0</v>
      </c>
      <c r="AB210" s="367">
        <v>0</v>
      </c>
      <c r="AC210" s="592">
        <v>8575.5</v>
      </c>
      <c r="AD210" s="592">
        <v>0</v>
      </c>
      <c r="AE210" s="592">
        <v>0</v>
      </c>
      <c r="AF210" s="368"/>
      <c r="AG210" s="592">
        <v>0</v>
      </c>
    </row>
    <row r="211" spans="1:34">
      <c r="A211" s="451" t="s">
        <v>46</v>
      </c>
      <c r="B211" s="435" t="s">
        <v>691</v>
      </c>
      <c r="C211" s="591"/>
      <c r="D211" s="448">
        <v>163338</v>
      </c>
      <c r="E211" s="449">
        <v>4</v>
      </c>
      <c r="F211" s="217">
        <f t="shared" si="19"/>
        <v>106017</v>
      </c>
      <c r="G211" s="216">
        <f t="shared" si="20"/>
        <v>103932</v>
      </c>
      <c r="H211" s="368">
        <v>94328</v>
      </c>
      <c r="I211" s="592">
        <v>89742</v>
      </c>
      <c r="J211" s="368">
        <v>2131</v>
      </c>
      <c r="K211" s="592">
        <v>2742</v>
      </c>
      <c r="L211" s="367">
        <v>9558</v>
      </c>
      <c r="M211" s="367">
        <v>0</v>
      </c>
      <c r="N211" s="367">
        <v>0</v>
      </c>
      <c r="O211" s="592">
        <v>11448</v>
      </c>
      <c r="P211" s="592">
        <v>0</v>
      </c>
      <c r="Q211" s="592">
        <v>0</v>
      </c>
      <c r="R211" s="368"/>
      <c r="S211" s="592">
        <v>0</v>
      </c>
      <c r="T211" s="218">
        <f t="shared" si="21"/>
        <v>17426</v>
      </c>
      <c r="U211" s="219">
        <f t="shared" si="22"/>
        <v>20060</v>
      </c>
      <c r="V211" s="368">
        <v>17069</v>
      </c>
      <c r="W211" s="592">
        <v>19590</v>
      </c>
      <c r="X211" s="368">
        <v>201</v>
      </c>
      <c r="Y211" s="592">
        <v>269</v>
      </c>
      <c r="Z211" s="367">
        <v>156</v>
      </c>
      <c r="AA211" s="367">
        <v>0</v>
      </c>
      <c r="AB211" s="367">
        <v>0</v>
      </c>
      <c r="AC211" s="592">
        <v>201</v>
      </c>
      <c r="AD211" s="592">
        <v>0</v>
      </c>
      <c r="AE211" s="592">
        <v>0</v>
      </c>
      <c r="AF211" s="368"/>
      <c r="AG211" s="592">
        <v>0</v>
      </c>
      <c r="AH211" s="389"/>
    </row>
    <row r="212" spans="1:34">
      <c r="A212" s="451" t="s">
        <v>46</v>
      </c>
      <c r="B212" s="435" t="s">
        <v>692</v>
      </c>
      <c r="C212" s="591"/>
      <c r="D212" s="448">
        <v>162283</v>
      </c>
      <c r="E212" s="449">
        <v>5</v>
      </c>
      <c r="F212" s="217">
        <f t="shared" si="19"/>
        <v>80671</v>
      </c>
      <c r="G212" s="216">
        <f t="shared" si="20"/>
        <v>72249</v>
      </c>
      <c r="H212" s="368">
        <v>67833</v>
      </c>
      <c r="I212" s="592">
        <v>59373</v>
      </c>
      <c r="J212" s="368">
        <v>1742</v>
      </c>
      <c r="K212" s="592">
        <v>1643</v>
      </c>
      <c r="L212" s="367">
        <v>11096</v>
      </c>
      <c r="M212" s="367">
        <v>0</v>
      </c>
      <c r="N212" s="367">
        <v>0</v>
      </c>
      <c r="O212" s="592">
        <v>11233</v>
      </c>
      <c r="P212" s="592">
        <v>0</v>
      </c>
      <c r="Q212" s="592">
        <v>0</v>
      </c>
      <c r="R212" s="368"/>
      <c r="S212" s="592">
        <v>0</v>
      </c>
      <c r="T212" s="218">
        <f t="shared" si="21"/>
        <v>6276</v>
      </c>
      <c r="U212" s="219">
        <f t="shared" si="22"/>
        <v>5619</v>
      </c>
      <c r="V212" s="368">
        <v>4722</v>
      </c>
      <c r="W212" s="592">
        <v>4685</v>
      </c>
      <c r="X212" s="368">
        <v>1039</v>
      </c>
      <c r="Y212" s="592">
        <v>433</v>
      </c>
      <c r="Z212" s="367">
        <v>515</v>
      </c>
      <c r="AA212" s="367">
        <v>0</v>
      </c>
      <c r="AB212" s="367">
        <v>0</v>
      </c>
      <c r="AC212" s="592">
        <v>501</v>
      </c>
      <c r="AD212" s="592">
        <v>0</v>
      </c>
      <c r="AE212" s="592">
        <v>0</v>
      </c>
      <c r="AF212" s="368"/>
      <c r="AG212" s="592">
        <v>0</v>
      </c>
      <c r="AH212" s="389"/>
    </row>
    <row r="213" spans="1:34">
      <c r="A213" s="451" t="s">
        <v>46</v>
      </c>
      <c r="B213" s="435" t="s">
        <v>693</v>
      </c>
      <c r="C213" s="591"/>
      <c r="D213" s="448">
        <v>163912</v>
      </c>
      <c r="E213" s="449">
        <v>6</v>
      </c>
      <c r="F213" s="217">
        <f t="shared" si="19"/>
        <v>55976</v>
      </c>
      <c r="G213" s="216">
        <f t="shared" si="20"/>
        <v>54140.5</v>
      </c>
      <c r="H213" s="368">
        <v>55976</v>
      </c>
      <c r="I213" s="592">
        <v>54140.5</v>
      </c>
      <c r="J213" s="368">
        <v>0</v>
      </c>
      <c r="K213" s="592">
        <v>0</v>
      </c>
      <c r="L213" s="367">
        <v>0</v>
      </c>
      <c r="M213" s="367">
        <v>0</v>
      </c>
      <c r="N213" s="367">
        <v>0</v>
      </c>
      <c r="O213" s="592">
        <v>0</v>
      </c>
      <c r="P213" s="592">
        <v>0</v>
      </c>
      <c r="Q213" s="592">
        <v>0</v>
      </c>
      <c r="R213" s="368"/>
      <c r="S213" s="592">
        <v>0</v>
      </c>
      <c r="T213" s="218">
        <f t="shared" si="21"/>
        <v>1413</v>
      </c>
      <c r="U213" s="219">
        <f t="shared" si="22"/>
        <v>1382</v>
      </c>
      <c r="V213" s="368">
        <v>1413</v>
      </c>
      <c r="W213" s="592">
        <v>1382</v>
      </c>
      <c r="X213" s="368">
        <v>0</v>
      </c>
      <c r="Y213" s="592">
        <v>0</v>
      </c>
      <c r="Z213" s="367">
        <v>0</v>
      </c>
      <c r="AA213" s="367">
        <v>0</v>
      </c>
      <c r="AB213" s="367">
        <v>0</v>
      </c>
      <c r="AC213" s="592">
        <v>0</v>
      </c>
      <c r="AD213" s="592">
        <v>0</v>
      </c>
      <c r="AE213" s="592">
        <v>0</v>
      </c>
      <c r="AF213" s="368"/>
      <c r="AG213" s="592">
        <v>0</v>
      </c>
      <c r="AH213" s="389"/>
    </row>
    <row r="214" spans="1:34">
      <c r="A214" s="451" t="s">
        <v>46</v>
      </c>
      <c r="B214" s="435" t="s">
        <v>694</v>
      </c>
      <c r="C214" s="591"/>
      <c r="D214" s="448">
        <v>161767</v>
      </c>
      <c r="E214" s="438">
        <v>8</v>
      </c>
      <c r="F214" s="217">
        <f t="shared" si="19"/>
        <v>304001</v>
      </c>
      <c r="G214" s="216">
        <f t="shared" si="20"/>
        <v>271660.5</v>
      </c>
      <c r="H214" s="368">
        <v>216764</v>
      </c>
      <c r="I214" s="592">
        <v>197420.5</v>
      </c>
      <c r="J214" s="368">
        <v>4001</v>
      </c>
      <c r="K214" s="592">
        <v>2906</v>
      </c>
      <c r="L214" s="367">
        <v>82960</v>
      </c>
      <c r="M214" s="367">
        <v>276</v>
      </c>
      <c r="N214" s="367">
        <v>0</v>
      </c>
      <c r="O214" s="592">
        <v>71036</v>
      </c>
      <c r="P214" s="592">
        <v>298</v>
      </c>
      <c r="Q214" s="592">
        <v>0</v>
      </c>
      <c r="R214" s="368"/>
      <c r="S214" s="592">
        <v>0</v>
      </c>
      <c r="T214" s="218">
        <f t="shared" si="21"/>
        <v>0</v>
      </c>
      <c r="U214" s="219">
        <f t="shared" si="22"/>
        <v>0</v>
      </c>
      <c r="V214" s="368">
        <v>0</v>
      </c>
      <c r="W214" s="592">
        <v>0</v>
      </c>
      <c r="X214" s="368">
        <v>0</v>
      </c>
      <c r="Y214" s="592">
        <v>0</v>
      </c>
      <c r="Z214" s="367">
        <v>0</v>
      </c>
      <c r="AA214" s="367">
        <v>0</v>
      </c>
      <c r="AB214" s="367">
        <v>0</v>
      </c>
      <c r="AC214" s="592">
        <v>0</v>
      </c>
      <c r="AD214" s="592">
        <v>0</v>
      </c>
      <c r="AE214" s="592">
        <v>0</v>
      </c>
      <c r="AF214" s="368"/>
      <c r="AG214" s="592">
        <v>0</v>
      </c>
      <c r="AH214" s="389"/>
    </row>
    <row r="215" spans="1:34">
      <c r="A215" s="451" t="s">
        <v>46</v>
      </c>
      <c r="B215" s="435" t="s">
        <v>695</v>
      </c>
      <c r="C215" s="593"/>
      <c r="D215" s="448">
        <v>162122</v>
      </c>
      <c r="E215" s="438">
        <v>8</v>
      </c>
      <c r="F215" s="217">
        <f t="shared" si="19"/>
        <v>167067</v>
      </c>
      <c r="G215" s="216">
        <f t="shared" si="20"/>
        <v>158537</v>
      </c>
      <c r="H215" s="368">
        <v>106928</v>
      </c>
      <c r="I215" s="592">
        <v>100557</v>
      </c>
      <c r="J215" s="368">
        <v>4265</v>
      </c>
      <c r="K215" s="592">
        <v>3539</v>
      </c>
      <c r="L215" s="367">
        <v>55175</v>
      </c>
      <c r="M215" s="367">
        <v>699</v>
      </c>
      <c r="N215" s="367">
        <v>0</v>
      </c>
      <c r="O215" s="592">
        <v>53976</v>
      </c>
      <c r="P215" s="592">
        <v>465</v>
      </c>
      <c r="Q215" s="592">
        <v>0</v>
      </c>
      <c r="R215" s="368"/>
      <c r="S215" s="592">
        <v>0</v>
      </c>
      <c r="T215" s="218">
        <f t="shared" si="21"/>
        <v>0</v>
      </c>
      <c r="U215" s="219">
        <f t="shared" si="22"/>
        <v>0</v>
      </c>
      <c r="V215" s="368">
        <v>0</v>
      </c>
      <c r="W215" s="592">
        <v>0</v>
      </c>
      <c r="X215" s="368">
        <v>0</v>
      </c>
      <c r="Y215" s="592">
        <v>0</v>
      </c>
      <c r="Z215" s="367">
        <v>0</v>
      </c>
      <c r="AA215" s="367">
        <v>0</v>
      </c>
      <c r="AB215" s="367">
        <v>0</v>
      </c>
      <c r="AC215" s="592">
        <v>0</v>
      </c>
      <c r="AD215" s="592">
        <v>0</v>
      </c>
      <c r="AE215" s="592">
        <v>0</v>
      </c>
      <c r="AF215" s="368"/>
      <c r="AG215" s="592">
        <v>0</v>
      </c>
      <c r="AH215" s="389"/>
    </row>
    <row r="216" spans="1:34">
      <c r="A216" s="451" t="s">
        <v>46</v>
      </c>
      <c r="B216" s="435" t="s">
        <v>696</v>
      </c>
      <c r="C216" s="591"/>
      <c r="D216" s="448">
        <v>434672</v>
      </c>
      <c r="E216" s="438">
        <v>8</v>
      </c>
      <c r="F216" s="217">
        <f t="shared" si="19"/>
        <v>450072</v>
      </c>
      <c r="G216" s="216">
        <f t="shared" si="20"/>
        <v>425577</v>
      </c>
      <c r="H216" s="368">
        <v>348638</v>
      </c>
      <c r="I216" s="592">
        <v>322667</v>
      </c>
      <c r="J216" s="368">
        <v>43627</v>
      </c>
      <c r="K216" s="592">
        <v>46087</v>
      </c>
      <c r="L216" s="367">
        <v>57714</v>
      </c>
      <c r="M216" s="367">
        <v>93</v>
      </c>
      <c r="N216" s="367">
        <v>0</v>
      </c>
      <c r="O216" s="592">
        <v>56799</v>
      </c>
      <c r="P216" s="592">
        <v>24</v>
      </c>
      <c r="Q216" s="592">
        <v>0</v>
      </c>
      <c r="R216" s="368"/>
      <c r="S216" s="592">
        <v>0</v>
      </c>
      <c r="T216" s="218">
        <f t="shared" si="21"/>
        <v>0</v>
      </c>
      <c r="U216" s="219">
        <f t="shared" si="22"/>
        <v>0</v>
      </c>
      <c r="V216" s="368">
        <v>0</v>
      </c>
      <c r="W216" s="592">
        <v>0</v>
      </c>
      <c r="X216" s="368">
        <v>0</v>
      </c>
      <c r="Y216" s="592">
        <v>0</v>
      </c>
      <c r="Z216" s="367">
        <v>0</v>
      </c>
      <c r="AA216" s="367">
        <v>0</v>
      </c>
      <c r="AB216" s="367">
        <v>0</v>
      </c>
      <c r="AC216" s="592">
        <v>0</v>
      </c>
      <c r="AD216" s="592">
        <v>0</v>
      </c>
      <c r="AE216" s="592">
        <v>0</v>
      </c>
      <c r="AF216" s="368"/>
      <c r="AG216" s="592">
        <v>0</v>
      </c>
      <c r="AH216" s="389"/>
    </row>
    <row r="217" spans="1:34">
      <c r="A217" s="451" t="s">
        <v>46</v>
      </c>
      <c r="B217" s="435" t="s">
        <v>697</v>
      </c>
      <c r="C217" s="593"/>
      <c r="D217" s="448">
        <v>162779</v>
      </c>
      <c r="E217" s="438">
        <v>8</v>
      </c>
      <c r="F217" s="217">
        <f t="shared" si="19"/>
        <v>197190</v>
      </c>
      <c r="G217" s="216">
        <f t="shared" si="20"/>
        <v>203311</v>
      </c>
      <c r="H217" s="368">
        <v>166297</v>
      </c>
      <c r="I217" s="592">
        <v>167983</v>
      </c>
      <c r="J217" s="368">
        <v>8176</v>
      </c>
      <c r="K217" s="592">
        <v>8567</v>
      </c>
      <c r="L217" s="367">
        <v>22717</v>
      </c>
      <c r="M217" s="367">
        <v>0</v>
      </c>
      <c r="N217" s="367">
        <v>0</v>
      </c>
      <c r="O217" s="592">
        <v>26761</v>
      </c>
      <c r="P217" s="592">
        <v>0</v>
      </c>
      <c r="Q217" s="592">
        <v>0</v>
      </c>
      <c r="R217" s="368"/>
      <c r="S217" s="592">
        <v>0</v>
      </c>
      <c r="T217" s="218">
        <f t="shared" si="21"/>
        <v>0</v>
      </c>
      <c r="U217" s="219">
        <f t="shared" si="22"/>
        <v>0</v>
      </c>
      <c r="V217" s="368">
        <v>0</v>
      </c>
      <c r="W217" s="592">
        <v>0</v>
      </c>
      <c r="X217" s="368">
        <v>0</v>
      </c>
      <c r="Y217" s="592">
        <v>0</v>
      </c>
      <c r="Z217" s="367">
        <v>0</v>
      </c>
      <c r="AA217" s="367">
        <v>0</v>
      </c>
      <c r="AB217" s="367">
        <v>0</v>
      </c>
      <c r="AC217" s="592">
        <v>0</v>
      </c>
      <c r="AD217" s="592">
        <v>0</v>
      </c>
      <c r="AE217" s="592">
        <v>0</v>
      </c>
      <c r="AF217" s="368"/>
      <c r="AG217" s="592">
        <v>0</v>
      </c>
      <c r="AH217" s="389"/>
    </row>
    <row r="218" spans="1:34">
      <c r="A218" s="451" t="s">
        <v>46</v>
      </c>
      <c r="B218" s="435" t="s">
        <v>698</v>
      </c>
      <c r="C218" s="591"/>
      <c r="D218" s="448">
        <v>163426</v>
      </c>
      <c r="E218" s="438">
        <v>8</v>
      </c>
      <c r="F218" s="217">
        <f t="shared" si="19"/>
        <v>525737</v>
      </c>
      <c r="G218" s="216">
        <f t="shared" si="20"/>
        <v>700488</v>
      </c>
      <c r="H218" s="368">
        <v>465266</v>
      </c>
      <c r="I218" s="592">
        <v>557061</v>
      </c>
      <c r="J218" s="368">
        <v>2962</v>
      </c>
      <c r="K218" s="592">
        <v>79776</v>
      </c>
      <c r="L218" s="367">
        <v>57509</v>
      </c>
      <c r="M218" s="367">
        <v>0</v>
      </c>
      <c r="N218" s="367">
        <v>0</v>
      </c>
      <c r="O218" s="592">
        <v>63651</v>
      </c>
      <c r="P218" s="592">
        <v>0</v>
      </c>
      <c r="Q218" s="592">
        <v>0</v>
      </c>
      <c r="R218" s="368"/>
      <c r="S218" s="592">
        <v>0</v>
      </c>
      <c r="T218" s="218">
        <f t="shared" si="21"/>
        <v>0</v>
      </c>
      <c r="U218" s="219">
        <f t="shared" si="22"/>
        <v>0</v>
      </c>
      <c r="V218" s="368">
        <v>0</v>
      </c>
      <c r="W218" s="592">
        <v>0</v>
      </c>
      <c r="X218" s="368">
        <v>0</v>
      </c>
      <c r="Y218" s="592">
        <v>0</v>
      </c>
      <c r="Z218" s="367">
        <v>0</v>
      </c>
      <c r="AA218" s="367">
        <v>0</v>
      </c>
      <c r="AB218" s="367">
        <v>0</v>
      </c>
      <c r="AC218" s="592">
        <v>0</v>
      </c>
      <c r="AD218" s="592">
        <v>0</v>
      </c>
      <c r="AE218" s="592">
        <v>0</v>
      </c>
      <c r="AF218" s="368"/>
      <c r="AG218" s="592">
        <v>0</v>
      </c>
      <c r="AH218" s="389"/>
    </row>
    <row r="219" spans="1:34">
      <c r="A219" s="451" t="s">
        <v>46</v>
      </c>
      <c r="B219" s="435" t="s">
        <v>699</v>
      </c>
      <c r="C219" s="591"/>
      <c r="D219" s="448">
        <v>163657</v>
      </c>
      <c r="E219" s="438">
        <v>8</v>
      </c>
      <c r="F219" s="217">
        <f t="shared" si="19"/>
        <v>373617</v>
      </c>
      <c r="G219" s="216">
        <f t="shared" si="20"/>
        <v>371502</v>
      </c>
      <c r="H219" s="368">
        <v>205267</v>
      </c>
      <c r="I219" s="592">
        <v>198432</v>
      </c>
      <c r="J219" s="368">
        <v>122089</v>
      </c>
      <c r="K219" s="592">
        <v>126426</v>
      </c>
      <c r="L219" s="367">
        <v>46261</v>
      </c>
      <c r="M219" s="367">
        <v>0</v>
      </c>
      <c r="N219" s="367">
        <v>0</v>
      </c>
      <c r="O219" s="592">
        <v>46644</v>
      </c>
      <c r="P219" s="592">
        <v>0</v>
      </c>
      <c r="Q219" s="592">
        <v>0</v>
      </c>
      <c r="R219" s="368"/>
      <c r="S219" s="592">
        <v>0</v>
      </c>
      <c r="T219" s="218">
        <f t="shared" si="21"/>
        <v>0</v>
      </c>
      <c r="U219" s="219">
        <f t="shared" si="22"/>
        <v>0</v>
      </c>
      <c r="V219" s="368">
        <v>0</v>
      </c>
      <c r="W219" s="592">
        <v>0</v>
      </c>
      <c r="X219" s="368">
        <v>0</v>
      </c>
      <c r="Y219" s="592">
        <v>0</v>
      </c>
      <c r="Z219" s="367">
        <v>0</v>
      </c>
      <c r="AA219" s="367">
        <v>0</v>
      </c>
      <c r="AB219" s="367">
        <v>0</v>
      </c>
      <c r="AC219" s="592">
        <v>0</v>
      </c>
      <c r="AD219" s="592">
        <v>0</v>
      </c>
      <c r="AE219" s="592">
        <v>0</v>
      </c>
      <c r="AF219" s="368"/>
      <c r="AG219" s="592">
        <v>0</v>
      </c>
      <c r="AH219" s="389"/>
    </row>
    <row r="220" spans="1:34">
      <c r="A220" s="594" t="s">
        <v>46</v>
      </c>
      <c r="B220" s="435" t="s">
        <v>700</v>
      </c>
      <c r="C220" s="591"/>
      <c r="D220" s="595">
        <v>161688</v>
      </c>
      <c r="E220" s="596">
        <v>9</v>
      </c>
      <c r="F220" s="217">
        <f t="shared" si="19"/>
        <v>68693</v>
      </c>
      <c r="G220" s="216">
        <f t="shared" si="20"/>
        <v>67611</v>
      </c>
      <c r="H220" s="368">
        <v>44830</v>
      </c>
      <c r="I220" s="592">
        <v>42548</v>
      </c>
      <c r="J220" s="368">
        <v>12253</v>
      </c>
      <c r="K220" s="592">
        <v>11915</v>
      </c>
      <c r="L220" s="367">
        <v>9341</v>
      </c>
      <c r="M220" s="367">
        <v>2269</v>
      </c>
      <c r="N220" s="367">
        <v>0</v>
      </c>
      <c r="O220" s="592">
        <v>10502</v>
      </c>
      <c r="P220" s="592">
        <v>2646</v>
      </c>
      <c r="Q220" s="592">
        <v>0</v>
      </c>
      <c r="R220" s="368"/>
      <c r="S220" s="592">
        <v>0</v>
      </c>
      <c r="T220" s="218">
        <f t="shared" si="21"/>
        <v>0</v>
      </c>
      <c r="U220" s="219">
        <f t="shared" si="22"/>
        <v>0</v>
      </c>
      <c r="V220" s="368">
        <v>0</v>
      </c>
      <c r="W220" s="592">
        <v>0</v>
      </c>
      <c r="X220" s="368">
        <v>0</v>
      </c>
      <c r="Y220" s="592">
        <v>0</v>
      </c>
      <c r="Z220" s="367">
        <v>0</v>
      </c>
      <c r="AA220" s="367">
        <v>0</v>
      </c>
      <c r="AB220" s="367">
        <v>0</v>
      </c>
      <c r="AC220" s="592">
        <v>0</v>
      </c>
      <c r="AD220" s="592">
        <v>0</v>
      </c>
      <c r="AE220" s="592">
        <v>0</v>
      </c>
      <c r="AF220" s="368"/>
      <c r="AG220" s="592">
        <v>0</v>
      </c>
      <c r="AH220" s="389"/>
    </row>
    <row r="221" spans="1:34">
      <c r="A221" s="451" t="s">
        <v>46</v>
      </c>
      <c r="B221" s="435" t="s">
        <v>701</v>
      </c>
      <c r="C221" s="591"/>
      <c r="D221" s="448">
        <v>161864</v>
      </c>
      <c r="E221" s="438">
        <v>9</v>
      </c>
      <c r="F221" s="217">
        <f t="shared" si="19"/>
        <v>106952</v>
      </c>
      <c r="G221" s="216">
        <f t="shared" si="20"/>
        <v>98869</v>
      </c>
      <c r="H221" s="368">
        <v>77932</v>
      </c>
      <c r="I221" s="592">
        <v>71372</v>
      </c>
      <c r="J221" s="368">
        <v>6459</v>
      </c>
      <c r="K221" s="592">
        <v>5807</v>
      </c>
      <c r="L221" s="367">
        <v>22561</v>
      </c>
      <c r="M221" s="367">
        <v>0</v>
      </c>
      <c r="N221" s="367">
        <v>0</v>
      </c>
      <c r="O221" s="592">
        <v>21690</v>
      </c>
      <c r="P221" s="592">
        <v>0</v>
      </c>
      <c r="Q221" s="592">
        <v>0</v>
      </c>
      <c r="R221" s="368"/>
      <c r="S221" s="592">
        <v>0</v>
      </c>
      <c r="T221" s="218">
        <f t="shared" si="21"/>
        <v>0</v>
      </c>
      <c r="U221" s="219">
        <f t="shared" si="22"/>
        <v>0</v>
      </c>
      <c r="V221" s="368">
        <v>0</v>
      </c>
      <c r="W221" s="592">
        <v>0</v>
      </c>
      <c r="X221" s="368">
        <v>0</v>
      </c>
      <c r="Y221" s="592">
        <v>0</v>
      </c>
      <c r="Z221" s="367">
        <v>0</v>
      </c>
      <c r="AA221" s="367">
        <v>0</v>
      </c>
      <c r="AB221" s="367">
        <v>0</v>
      </c>
      <c r="AC221" s="592">
        <v>0</v>
      </c>
      <c r="AD221" s="592">
        <v>0</v>
      </c>
      <c r="AE221" s="592">
        <v>0</v>
      </c>
      <c r="AF221" s="368"/>
      <c r="AG221" s="592">
        <v>0</v>
      </c>
      <c r="AH221" s="389"/>
    </row>
    <row r="222" spans="1:34">
      <c r="A222" s="451" t="s">
        <v>46</v>
      </c>
      <c r="B222" s="597" t="s">
        <v>702</v>
      </c>
      <c r="C222" s="598"/>
      <c r="D222" s="437">
        <v>405872</v>
      </c>
      <c r="E222" s="438">
        <v>9</v>
      </c>
      <c r="F222" s="217">
        <f t="shared" si="19"/>
        <v>77183</v>
      </c>
      <c r="G222" s="216">
        <f t="shared" si="20"/>
        <v>72863</v>
      </c>
      <c r="H222" s="368">
        <v>65429</v>
      </c>
      <c r="I222" s="592">
        <v>61497</v>
      </c>
      <c r="J222" s="368">
        <v>1097</v>
      </c>
      <c r="K222" s="592">
        <v>797</v>
      </c>
      <c r="L222" s="367">
        <v>10570</v>
      </c>
      <c r="M222" s="367">
        <v>87</v>
      </c>
      <c r="N222" s="367">
        <v>0</v>
      </c>
      <c r="O222" s="592">
        <v>10467</v>
      </c>
      <c r="P222" s="592">
        <v>102</v>
      </c>
      <c r="Q222" s="592">
        <v>0</v>
      </c>
      <c r="R222" s="368"/>
      <c r="S222" s="592">
        <v>0</v>
      </c>
      <c r="T222" s="218">
        <f t="shared" si="21"/>
        <v>0</v>
      </c>
      <c r="U222" s="219">
        <f t="shared" si="22"/>
        <v>0</v>
      </c>
      <c r="V222" s="368">
        <v>0</v>
      </c>
      <c r="W222" s="592">
        <v>0</v>
      </c>
      <c r="X222" s="368">
        <v>0</v>
      </c>
      <c r="Y222" s="592">
        <v>0</v>
      </c>
      <c r="Z222" s="367">
        <v>0</v>
      </c>
      <c r="AA222" s="367">
        <v>0</v>
      </c>
      <c r="AB222" s="367">
        <v>0</v>
      </c>
      <c r="AC222" s="592">
        <v>0</v>
      </c>
      <c r="AD222" s="592">
        <v>0</v>
      </c>
      <c r="AE222" s="592">
        <v>0</v>
      </c>
      <c r="AF222" s="368"/>
      <c r="AG222" s="592">
        <v>0</v>
      </c>
      <c r="AH222" s="389"/>
    </row>
    <row r="223" spans="1:34">
      <c r="A223" s="451" t="s">
        <v>46</v>
      </c>
      <c r="B223" s="435" t="s">
        <v>703</v>
      </c>
      <c r="C223" s="591"/>
      <c r="D223" s="448">
        <v>162557</v>
      </c>
      <c r="E223" s="438">
        <v>9</v>
      </c>
      <c r="F223" s="217">
        <f t="shared" si="19"/>
        <v>119484</v>
      </c>
      <c r="G223" s="216">
        <f t="shared" si="20"/>
        <v>115156</v>
      </c>
      <c r="H223" s="368">
        <v>99345</v>
      </c>
      <c r="I223" s="592">
        <v>90603</v>
      </c>
      <c r="J223" s="368">
        <v>6866</v>
      </c>
      <c r="K223" s="592">
        <v>6938</v>
      </c>
      <c r="L223" s="367">
        <v>13273</v>
      </c>
      <c r="M223" s="367">
        <v>0</v>
      </c>
      <c r="N223" s="367">
        <v>0</v>
      </c>
      <c r="O223" s="592">
        <v>17615</v>
      </c>
      <c r="P223" s="592">
        <v>0</v>
      </c>
      <c r="Q223" s="592">
        <v>0</v>
      </c>
      <c r="R223" s="368"/>
      <c r="S223" s="592">
        <v>0</v>
      </c>
      <c r="T223" s="218">
        <f t="shared" si="21"/>
        <v>0</v>
      </c>
      <c r="U223" s="219">
        <f t="shared" si="22"/>
        <v>0</v>
      </c>
      <c r="V223" s="368">
        <v>0</v>
      </c>
      <c r="W223" s="592">
        <v>0</v>
      </c>
      <c r="X223" s="368">
        <v>0</v>
      </c>
      <c r="Y223" s="592">
        <v>0</v>
      </c>
      <c r="Z223" s="367">
        <v>0</v>
      </c>
      <c r="AA223" s="367">
        <v>0</v>
      </c>
      <c r="AB223" s="367">
        <v>0</v>
      </c>
      <c r="AC223" s="592">
        <v>0</v>
      </c>
      <c r="AD223" s="592">
        <v>0</v>
      </c>
      <c r="AE223" s="592">
        <v>0</v>
      </c>
      <c r="AF223" s="368"/>
      <c r="AG223" s="592">
        <v>0</v>
      </c>
      <c r="AH223" s="389"/>
    </row>
    <row r="224" spans="1:34">
      <c r="A224" s="594" t="s">
        <v>46</v>
      </c>
      <c r="B224" s="435" t="s">
        <v>704</v>
      </c>
      <c r="C224" s="591"/>
      <c r="D224" s="595">
        <v>162690</v>
      </c>
      <c r="E224" s="438">
        <v>9</v>
      </c>
      <c r="F224" s="217">
        <f t="shared" si="19"/>
        <v>94713</v>
      </c>
      <c r="G224" s="216">
        <f t="shared" si="20"/>
        <v>90108</v>
      </c>
      <c r="H224" s="368">
        <v>67146</v>
      </c>
      <c r="I224" s="592">
        <v>62516</v>
      </c>
      <c r="J224" s="368">
        <v>5956</v>
      </c>
      <c r="K224" s="592">
        <v>5272</v>
      </c>
      <c r="L224" s="367">
        <v>21611</v>
      </c>
      <c r="M224" s="367">
        <v>0</v>
      </c>
      <c r="N224" s="367">
        <v>0</v>
      </c>
      <c r="O224" s="592">
        <v>22239</v>
      </c>
      <c r="P224" s="592">
        <v>0</v>
      </c>
      <c r="Q224" s="592">
        <v>0</v>
      </c>
      <c r="R224" s="368"/>
      <c r="S224" s="592">
        <v>81</v>
      </c>
      <c r="T224" s="218">
        <f t="shared" si="21"/>
        <v>0</v>
      </c>
      <c r="U224" s="219">
        <f t="shared" si="22"/>
        <v>0</v>
      </c>
      <c r="V224" s="368">
        <v>0</v>
      </c>
      <c r="W224" s="592">
        <v>0</v>
      </c>
      <c r="X224" s="368">
        <v>0</v>
      </c>
      <c r="Y224" s="592">
        <v>0</v>
      </c>
      <c r="Z224" s="367">
        <v>0</v>
      </c>
      <c r="AA224" s="367">
        <v>0</v>
      </c>
      <c r="AB224" s="367">
        <v>0</v>
      </c>
      <c r="AC224" s="592">
        <v>0</v>
      </c>
      <c r="AD224" s="592">
        <v>0</v>
      </c>
      <c r="AE224" s="592">
        <v>0</v>
      </c>
      <c r="AF224" s="368"/>
      <c r="AG224" s="592">
        <v>0</v>
      </c>
      <c r="AH224" s="389"/>
    </row>
    <row r="225" spans="1:34">
      <c r="A225" s="451" t="s">
        <v>46</v>
      </c>
      <c r="B225" s="435" t="s">
        <v>705</v>
      </c>
      <c r="C225" s="591"/>
      <c r="D225" s="448">
        <v>162706</v>
      </c>
      <c r="E225" s="438">
        <v>9</v>
      </c>
      <c r="F225" s="217">
        <f t="shared" si="19"/>
        <v>131036</v>
      </c>
      <c r="G225" s="216">
        <f t="shared" si="20"/>
        <v>125739.5</v>
      </c>
      <c r="H225" s="368">
        <v>97956</v>
      </c>
      <c r="I225" s="592">
        <v>92595.5</v>
      </c>
      <c r="J225" s="368">
        <v>1540</v>
      </c>
      <c r="K225" s="592">
        <v>1647</v>
      </c>
      <c r="L225" s="367">
        <v>31540</v>
      </c>
      <c r="M225" s="367">
        <v>0</v>
      </c>
      <c r="N225" s="367">
        <v>0</v>
      </c>
      <c r="O225" s="592">
        <v>31497</v>
      </c>
      <c r="P225" s="592">
        <v>0</v>
      </c>
      <c r="Q225" s="592">
        <v>0</v>
      </c>
      <c r="R225" s="368"/>
      <c r="S225" s="592">
        <v>0</v>
      </c>
      <c r="T225" s="218">
        <f t="shared" si="21"/>
        <v>0</v>
      </c>
      <c r="U225" s="219">
        <f t="shared" si="22"/>
        <v>0</v>
      </c>
      <c r="V225" s="368">
        <v>0</v>
      </c>
      <c r="W225" s="592">
        <v>0</v>
      </c>
      <c r="X225" s="368">
        <v>0</v>
      </c>
      <c r="Y225" s="592">
        <v>0</v>
      </c>
      <c r="Z225" s="367">
        <v>0</v>
      </c>
      <c r="AA225" s="367">
        <v>0</v>
      </c>
      <c r="AB225" s="367">
        <v>0</v>
      </c>
      <c r="AC225" s="592">
        <v>0</v>
      </c>
      <c r="AD225" s="592">
        <v>0</v>
      </c>
      <c r="AE225" s="592">
        <v>0</v>
      </c>
      <c r="AF225" s="368"/>
      <c r="AG225" s="592">
        <v>0</v>
      </c>
      <c r="AH225" s="389"/>
    </row>
    <row r="226" spans="1:34">
      <c r="A226" s="451" t="s">
        <v>46</v>
      </c>
      <c r="B226" s="597" t="s">
        <v>706</v>
      </c>
      <c r="C226" s="598" t="s">
        <v>712</v>
      </c>
      <c r="D226" s="437">
        <v>164313</v>
      </c>
      <c r="E226" s="438">
        <v>9</v>
      </c>
      <c r="F226" s="217">
        <f t="shared" si="19"/>
        <v>64397</v>
      </c>
      <c r="G226" s="216">
        <f t="shared" si="20"/>
        <v>56902</v>
      </c>
      <c r="H226" s="368">
        <v>55180</v>
      </c>
      <c r="I226" s="592">
        <v>47645.5</v>
      </c>
      <c r="J226" s="368">
        <v>1774</v>
      </c>
      <c r="K226" s="592">
        <v>1525</v>
      </c>
      <c r="L226" s="367">
        <v>7371</v>
      </c>
      <c r="M226" s="367">
        <v>72</v>
      </c>
      <c r="N226" s="367">
        <v>0</v>
      </c>
      <c r="O226" s="592">
        <v>7695.5</v>
      </c>
      <c r="P226" s="592">
        <v>36</v>
      </c>
      <c r="Q226" s="592">
        <v>0</v>
      </c>
      <c r="R226" s="368"/>
      <c r="S226" s="592">
        <v>0</v>
      </c>
      <c r="T226" s="218">
        <f t="shared" si="21"/>
        <v>0</v>
      </c>
      <c r="U226" s="219">
        <f t="shared" si="22"/>
        <v>0</v>
      </c>
      <c r="V226" s="368">
        <v>0</v>
      </c>
      <c r="W226" s="592">
        <v>0</v>
      </c>
      <c r="X226" s="368">
        <v>0</v>
      </c>
      <c r="Y226" s="592">
        <v>0</v>
      </c>
      <c r="Z226" s="367">
        <v>0</v>
      </c>
      <c r="AA226" s="367">
        <v>0</v>
      </c>
      <c r="AB226" s="367">
        <v>0</v>
      </c>
      <c r="AC226" s="592">
        <v>0</v>
      </c>
      <c r="AD226" s="592">
        <v>0</v>
      </c>
      <c r="AE226" s="592">
        <v>0</v>
      </c>
      <c r="AF226" s="368"/>
      <c r="AG226" s="592">
        <v>0</v>
      </c>
      <c r="AH226" s="389"/>
    </row>
    <row r="227" spans="1:34">
      <c r="A227" s="451" t="s">
        <v>46</v>
      </c>
      <c r="B227" s="435" t="s">
        <v>707</v>
      </c>
      <c r="C227" s="591"/>
      <c r="D227" s="448">
        <v>162104</v>
      </c>
      <c r="E227" s="438">
        <v>10</v>
      </c>
      <c r="F227" s="217">
        <f t="shared" si="19"/>
        <v>49287</v>
      </c>
      <c r="G227" s="216">
        <f t="shared" si="20"/>
        <v>48662</v>
      </c>
      <c r="H227" s="368">
        <v>38251</v>
      </c>
      <c r="I227" s="592">
        <v>36536</v>
      </c>
      <c r="J227" s="368">
        <v>623</v>
      </c>
      <c r="K227" s="592">
        <v>1092</v>
      </c>
      <c r="L227" s="367">
        <v>10413</v>
      </c>
      <c r="M227" s="367">
        <v>0</v>
      </c>
      <c r="N227" s="367">
        <v>0</v>
      </c>
      <c r="O227" s="592">
        <v>11034</v>
      </c>
      <c r="P227" s="592">
        <v>0</v>
      </c>
      <c r="Q227" s="592">
        <v>0</v>
      </c>
      <c r="R227" s="368"/>
      <c r="S227" s="592">
        <v>0</v>
      </c>
      <c r="T227" s="218">
        <f t="shared" si="21"/>
        <v>0</v>
      </c>
      <c r="U227" s="219">
        <f t="shared" si="22"/>
        <v>0</v>
      </c>
      <c r="V227" s="368">
        <v>0</v>
      </c>
      <c r="W227" s="592">
        <v>0</v>
      </c>
      <c r="X227" s="368">
        <v>0</v>
      </c>
      <c r="Y227" s="592">
        <v>0</v>
      </c>
      <c r="Z227" s="367">
        <v>0</v>
      </c>
      <c r="AA227" s="367">
        <v>0</v>
      </c>
      <c r="AB227" s="367">
        <v>0</v>
      </c>
      <c r="AC227" s="592">
        <v>0</v>
      </c>
      <c r="AD227" s="592">
        <v>0</v>
      </c>
      <c r="AE227" s="592">
        <v>0</v>
      </c>
      <c r="AF227" s="368"/>
      <c r="AG227" s="592">
        <v>0</v>
      </c>
      <c r="AH227" s="389"/>
    </row>
    <row r="228" spans="1:34">
      <c r="A228" s="451" t="s">
        <v>46</v>
      </c>
      <c r="B228" s="435" t="s">
        <v>708</v>
      </c>
      <c r="C228" s="591"/>
      <c r="D228" s="448">
        <v>162168</v>
      </c>
      <c r="E228" s="438">
        <v>10</v>
      </c>
      <c r="F228" s="217">
        <f t="shared" si="19"/>
        <v>45242</v>
      </c>
      <c r="G228" s="216">
        <f t="shared" si="20"/>
        <v>43043</v>
      </c>
      <c r="H228" s="368">
        <v>28593</v>
      </c>
      <c r="I228" s="592">
        <v>27176</v>
      </c>
      <c r="J228" s="368">
        <v>7434</v>
      </c>
      <c r="K228" s="592">
        <v>7208</v>
      </c>
      <c r="L228" s="367">
        <v>7807</v>
      </c>
      <c r="M228" s="367">
        <v>1408</v>
      </c>
      <c r="N228" s="367">
        <v>0</v>
      </c>
      <c r="O228" s="592">
        <v>7243</v>
      </c>
      <c r="P228" s="592">
        <v>1416</v>
      </c>
      <c r="Q228" s="592">
        <v>0</v>
      </c>
      <c r="R228" s="368"/>
      <c r="S228" s="592">
        <v>0</v>
      </c>
      <c r="T228" s="218">
        <f t="shared" si="21"/>
        <v>0</v>
      </c>
      <c r="U228" s="219">
        <f t="shared" si="22"/>
        <v>0</v>
      </c>
      <c r="V228" s="368">
        <v>0</v>
      </c>
      <c r="W228" s="592">
        <v>0</v>
      </c>
      <c r="X228" s="368">
        <v>0</v>
      </c>
      <c r="Y228" s="592">
        <v>0</v>
      </c>
      <c r="Z228" s="367">
        <v>0</v>
      </c>
      <c r="AA228" s="367">
        <v>0</v>
      </c>
      <c r="AB228" s="367">
        <v>0</v>
      </c>
      <c r="AC228" s="592">
        <v>0</v>
      </c>
      <c r="AD228" s="592">
        <v>0</v>
      </c>
      <c r="AE228" s="592">
        <v>0</v>
      </c>
      <c r="AF228" s="368"/>
      <c r="AG228" s="592">
        <v>0</v>
      </c>
      <c r="AH228" s="389"/>
    </row>
    <row r="229" spans="1:34">
      <c r="A229" s="451" t="s">
        <v>46</v>
      </c>
      <c r="B229" s="435" t="s">
        <v>709</v>
      </c>
      <c r="C229" s="591"/>
      <c r="D229" s="448">
        <v>162609</v>
      </c>
      <c r="E229" s="438">
        <v>10</v>
      </c>
      <c r="F229" s="217">
        <f t="shared" si="19"/>
        <v>19502</v>
      </c>
      <c r="G229" s="216">
        <f t="shared" si="20"/>
        <v>18371</v>
      </c>
      <c r="H229" s="368">
        <v>15986</v>
      </c>
      <c r="I229" s="592">
        <v>14102</v>
      </c>
      <c r="J229" s="368">
        <v>778</v>
      </c>
      <c r="K229" s="592">
        <v>939</v>
      </c>
      <c r="L229" s="367">
        <v>2543</v>
      </c>
      <c r="M229" s="367">
        <v>195</v>
      </c>
      <c r="N229" s="367">
        <v>0</v>
      </c>
      <c r="O229" s="592">
        <v>3093</v>
      </c>
      <c r="P229" s="592">
        <v>237</v>
      </c>
      <c r="Q229" s="592">
        <v>0</v>
      </c>
      <c r="R229" s="368"/>
      <c r="S229" s="592">
        <v>0</v>
      </c>
      <c r="T229" s="218">
        <f t="shared" si="21"/>
        <v>0</v>
      </c>
      <c r="U229" s="219">
        <f t="shared" si="22"/>
        <v>0</v>
      </c>
      <c r="V229" s="368">
        <v>0</v>
      </c>
      <c r="W229" s="592">
        <v>0</v>
      </c>
      <c r="X229" s="368">
        <v>0</v>
      </c>
      <c r="Y229" s="592">
        <v>0</v>
      </c>
      <c r="Z229" s="367">
        <v>0</v>
      </c>
      <c r="AA229" s="367">
        <v>0</v>
      </c>
      <c r="AB229" s="367">
        <v>0</v>
      </c>
      <c r="AC229" s="592">
        <v>0</v>
      </c>
      <c r="AD229" s="592">
        <v>0</v>
      </c>
      <c r="AE229" s="592">
        <v>0</v>
      </c>
      <c r="AF229" s="368"/>
      <c r="AG229" s="592">
        <v>0</v>
      </c>
      <c r="AH229" s="389"/>
    </row>
    <row r="230" spans="1:34">
      <c r="A230" s="451" t="s">
        <v>46</v>
      </c>
      <c r="B230" s="435" t="s">
        <v>710</v>
      </c>
      <c r="C230" s="591"/>
      <c r="D230" s="451">
        <v>163204</v>
      </c>
      <c r="E230" s="438">
        <v>15</v>
      </c>
      <c r="F230" s="217">
        <f t="shared" si="19"/>
        <v>505410</v>
      </c>
      <c r="G230" s="216">
        <f t="shared" si="20"/>
        <v>555880</v>
      </c>
      <c r="H230" s="368">
        <v>0</v>
      </c>
      <c r="I230" s="592">
        <v>0</v>
      </c>
      <c r="J230" s="368">
        <v>87</v>
      </c>
      <c r="K230" s="592">
        <v>33</v>
      </c>
      <c r="L230" s="367">
        <v>505323</v>
      </c>
      <c r="M230" s="367">
        <v>0</v>
      </c>
      <c r="N230" s="367">
        <v>0</v>
      </c>
      <c r="O230" s="592">
        <v>555847</v>
      </c>
      <c r="P230" s="592">
        <v>0</v>
      </c>
      <c r="Q230" s="592">
        <v>0</v>
      </c>
      <c r="R230" s="368"/>
      <c r="S230" s="592">
        <v>0</v>
      </c>
      <c r="T230" s="218">
        <f t="shared" si="21"/>
        <v>180401</v>
      </c>
      <c r="U230" s="219">
        <f t="shared" si="22"/>
        <v>171680</v>
      </c>
      <c r="V230" s="368">
        <v>0</v>
      </c>
      <c r="W230" s="592">
        <v>0</v>
      </c>
      <c r="X230" s="368">
        <v>2157</v>
      </c>
      <c r="Y230" s="592">
        <v>1356</v>
      </c>
      <c r="Z230" s="367">
        <v>178244</v>
      </c>
      <c r="AA230" s="367">
        <v>0</v>
      </c>
      <c r="AB230" s="367">
        <v>0</v>
      </c>
      <c r="AC230" s="592">
        <v>170324</v>
      </c>
      <c r="AD230" s="592">
        <v>0</v>
      </c>
      <c r="AE230" s="592">
        <v>0</v>
      </c>
      <c r="AF230" s="368"/>
      <c r="AG230" s="592">
        <v>0</v>
      </c>
      <c r="AH230" s="389"/>
    </row>
    <row r="231" spans="1:34">
      <c r="A231" s="434" t="s">
        <v>46</v>
      </c>
      <c r="B231" s="435" t="s">
        <v>711</v>
      </c>
      <c r="C231" s="591"/>
      <c r="D231" s="448">
        <v>163259</v>
      </c>
      <c r="E231" s="449">
        <v>15</v>
      </c>
      <c r="F231" s="217">
        <f t="shared" si="19"/>
        <v>16774</v>
      </c>
      <c r="G231" s="216">
        <f t="shared" si="20"/>
        <v>18053</v>
      </c>
      <c r="H231" s="368">
        <v>8406</v>
      </c>
      <c r="I231" s="592">
        <v>8568.5</v>
      </c>
      <c r="J231" s="368">
        <v>4913</v>
      </c>
      <c r="K231" s="592">
        <v>5247</v>
      </c>
      <c r="L231" s="367">
        <v>3455</v>
      </c>
      <c r="M231" s="367">
        <v>0</v>
      </c>
      <c r="N231" s="367">
        <v>0</v>
      </c>
      <c r="O231" s="592">
        <v>4236.5</v>
      </c>
      <c r="P231" s="592">
        <v>0</v>
      </c>
      <c r="Q231" s="592">
        <v>0</v>
      </c>
      <c r="R231" s="368"/>
      <c r="S231" s="592">
        <v>1</v>
      </c>
      <c r="T231" s="218">
        <f t="shared" si="21"/>
        <v>44107</v>
      </c>
      <c r="U231" s="219">
        <f t="shared" si="22"/>
        <v>44129</v>
      </c>
      <c r="V231" s="368">
        <v>26031</v>
      </c>
      <c r="W231" s="592">
        <v>25386.5</v>
      </c>
      <c r="X231" s="368">
        <v>7517</v>
      </c>
      <c r="Y231" s="592">
        <v>7160.5</v>
      </c>
      <c r="Z231" s="367">
        <v>10168</v>
      </c>
      <c r="AA231" s="367">
        <v>391</v>
      </c>
      <c r="AB231" s="367">
        <v>0</v>
      </c>
      <c r="AC231" s="592">
        <v>11369</v>
      </c>
      <c r="AD231" s="592">
        <v>213</v>
      </c>
      <c r="AE231" s="592">
        <v>0</v>
      </c>
      <c r="AF231" s="368"/>
      <c r="AG231" s="592">
        <v>0</v>
      </c>
      <c r="AH231" s="389"/>
    </row>
    <row r="232" spans="1:34">
      <c r="A232" s="459" t="s">
        <v>47</v>
      </c>
      <c r="B232" s="460" t="s">
        <v>434</v>
      </c>
      <c r="C232" s="461"/>
      <c r="D232" s="462">
        <v>176080</v>
      </c>
      <c r="E232" s="463">
        <v>1</v>
      </c>
      <c r="F232" s="217">
        <f t="shared" si="19"/>
        <v>447149</v>
      </c>
      <c r="G232" s="216">
        <f t="shared" si="20"/>
        <v>452584</v>
      </c>
      <c r="H232" s="368">
        <v>412201</v>
      </c>
      <c r="I232" s="390">
        <v>416085</v>
      </c>
      <c r="J232" s="368">
        <v>10856</v>
      </c>
      <c r="K232" s="390">
        <v>10818</v>
      </c>
      <c r="L232" s="367">
        <v>23288</v>
      </c>
      <c r="M232" s="367">
        <v>804</v>
      </c>
      <c r="N232" s="367"/>
      <c r="O232" s="390">
        <v>25276</v>
      </c>
      <c r="P232" s="390">
        <v>405</v>
      </c>
      <c r="Q232" s="391"/>
      <c r="R232" s="368"/>
      <c r="S232" s="390"/>
      <c r="T232" s="218">
        <f t="shared" si="21"/>
        <v>58493</v>
      </c>
      <c r="U232" s="219">
        <f t="shared" si="22"/>
        <v>55968</v>
      </c>
      <c r="V232" s="368">
        <v>41326</v>
      </c>
      <c r="W232" s="390">
        <v>39574</v>
      </c>
      <c r="X232" s="368">
        <v>2231</v>
      </c>
      <c r="Y232" s="390">
        <v>1863</v>
      </c>
      <c r="Z232" s="367">
        <v>14528</v>
      </c>
      <c r="AA232" s="367">
        <v>408</v>
      </c>
      <c r="AB232" s="367"/>
      <c r="AC232" s="390">
        <v>14096</v>
      </c>
      <c r="AD232" s="390">
        <v>435</v>
      </c>
      <c r="AE232" s="391"/>
      <c r="AF232" s="368"/>
      <c r="AG232" s="390"/>
      <c r="AH232" s="389"/>
    </row>
    <row r="233" spans="1:34">
      <c r="A233" s="459" t="s">
        <v>47</v>
      </c>
      <c r="B233" s="460" t="s">
        <v>435</v>
      </c>
      <c r="C233" s="461"/>
      <c r="D233" s="462">
        <v>176372</v>
      </c>
      <c r="E233" s="463">
        <v>1</v>
      </c>
      <c r="F233" s="217">
        <f t="shared" si="19"/>
        <v>363977</v>
      </c>
      <c r="G233" s="216">
        <f t="shared" si="20"/>
        <v>353418</v>
      </c>
      <c r="H233" s="464">
        <v>274253</v>
      </c>
      <c r="I233" s="390">
        <v>258765</v>
      </c>
      <c r="J233" s="368">
        <v>41895</v>
      </c>
      <c r="K233" s="390">
        <v>40979</v>
      </c>
      <c r="L233" s="367">
        <v>41616</v>
      </c>
      <c r="M233" s="465">
        <v>6213</v>
      </c>
      <c r="N233" s="367"/>
      <c r="O233" s="390">
        <v>47514</v>
      </c>
      <c r="P233" s="390">
        <v>6160</v>
      </c>
      <c r="Q233" s="391"/>
      <c r="R233" s="368"/>
      <c r="S233" s="390"/>
      <c r="T233" s="218">
        <f t="shared" si="21"/>
        <v>55561</v>
      </c>
      <c r="U233" s="219">
        <f t="shared" si="22"/>
        <v>58372</v>
      </c>
      <c r="V233" s="368">
        <v>34216</v>
      </c>
      <c r="W233" s="390">
        <v>34881</v>
      </c>
      <c r="X233" s="368">
        <v>6283</v>
      </c>
      <c r="Y233" s="390">
        <v>7716</v>
      </c>
      <c r="Z233" s="367">
        <v>14996</v>
      </c>
      <c r="AA233" s="367">
        <v>66</v>
      </c>
      <c r="AB233" s="367"/>
      <c r="AC233" s="390">
        <v>15271</v>
      </c>
      <c r="AD233" s="390">
        <v>504</v>
      </c>
      <c r="AE233" s="391"/>
      <c r="AF233" s="368"/>
      <c r="AG233" s="390"/>
      <c r="AH233" s="389"/>
    </row>
    <row r="234" spans="1:34">
      <c r="A234" s="459" t="s">
        <v>47</v>
      </c>
      <c r="B234" s="460" t="s">
        <v>436</v>
      </c>
      <c r="C234" s="461"/>
      <c r="D234" s="462">
        <v>175856</v>
      </c>
      <c r="E234" s="463">
        <v>2</v>
      </c>
      <c r="F234" s="217">
        <f t="shared" si="19"/>
        <v>164370</v>
      </c>
      <c r="G234" s="216">
        <f t="shared" si="20"/>
        <v>161810</v>
      </c>
      <c r="H234" s="368">
        <v>130395</v>
      </c>
      <c r="I234" s="390">
        <v>125419</v>
      </c>
      <c r="J234" s="368">
        <v>7166</v>
      </c>
      <c r="K234" s="390">
        <v>8235</v>
      </c>
      <c r="L234" s="367">
        <v>26809</v>
      </c>
      <c r="M234" s="367"/>
      <c r="N234" s="367"/>
      <c r="O234" s="390">
        <v>28156</v>
      </c>
      <c r="P234" s="390"/>
      <c r="Q234" s="391"/>
      <c r="R234" s="368"/>
      <c r="S234" s="390"/>
      <c r="T234" s="218">
        <f t="shared" si="21"/>
        <v>33702</v>
      </c>
      <c r="U234" s="219">
        <f t="shared" si="22"/>
        <v>34198</v>
      </c>
      <c r="V234" s="368">
        <v>18551</v>
      </c>
      <c r="W234" s="390">
        <v>14788</v>
      </c>
      <c r="X234" s="368">
        <v>9292</v>
      </c>
      <c r="Y234" s="390">
        <v>10624</v>
      </c>
      <c r="Z234" s="367">
        <v>5859</v>
      </c>
      <c r="AA234" s="367"/>
      <c r="AB234" s="367"/>
      <c r="AC234" s="390">
        <v>8786</v>
      </c>
      <c r="AD234" s="390"/>
      <c r="AE234" s="391"/>
      <c r="AF234" s="368"/>
      <c r="AG234" s="390"/>
      <c r="AH234" s="389"/>
    </row>
    <row r="235" spans="1:34">
      <c r="A235" s="459" t="s">
        <v>47</v>
      </c>
      <c r="B235" s="460" t="s">
        <v>437</v>
      </c>
      <c r="C235" s="461"/>
      <c r="D235" s="462">
        <v>176017</v>
      </c>
      <c r="E235" s="463">
        <v>2</v>
      </c>
      <c r="F235" s="217">
        <f t="shared" si="19"/>
        <v>472103</v>
      </c>
      <c r="G235" s="216">
        <f t="shared" si="20"/>
        <v>516284</v>
      </c>
      <c r="H235" s="464">
        <v>424332</v>
      </c>
      <c r="I235" s="390">
        <v>443127</v>
      </c>
      <c r="J235" s="464">
        <v>23163</v>
      </c>
      <c r="K235" s="390">
        <v>43281</v>
      </c>
      <c r="L235" s="367">
        <v>13604</v>
      </c>
      <c r="M235" s="367">
        <v>10482</v>
      </c>
      <c r="N235" s="367"/>
      <c r="O235" s="390">
        <v>19277</v>
      </c>
      <c r="P235" s="390">
        <v>10059</v>
      </c>
      <c r="Q235" s="391"/>
      <c r="R235" s="464">
        <v>522</v>
      </c>
      <c r="S235" s="390">
        <v>540</v>
      </c>
      <c r="T235" s="218">
        <f t="shared" si="21"/>
        <v>65129</v>
      </c>
      <c r="U235" s="219">
        <f t="shared" si="22"/>
        <v>64902</v>
      </c>
      <c r="V235" s="464">
        <v>56661</v>
      </c>
      <c r="W235" s="390">
        <v>57023</v>
      </c>
      <c r="X235" s="368">
        <v>1497</v>
      </c>
      <c r="Y235" s="390">
        <v>1155</v>
      </c>
      <c r="Z235" s="367">
        <v>5636</v>
      </c>
      <c r="AA235" s="367">
        <v>1332</v>
      </c>
      <c r="AB235" s="367"/>
      <c r="AC235" s="390">
        <v>5569</v>
      </c>
      <c r="AD235" s="390">
        <v>1149</v>
      </c>
      <c r="AE235" s="391"/>
      <c r="AF235" s="464">
        <v>3</v>
      </c>
      <c r="AG235" s="390">
        <v>6</v>
      </c>
      <c r="AH235" s="389"/>
    </row>
    <row r="236" spans="1:34">
      <c r="A236" s="459" t="s">
        <v>47</v>
      </c>
      <c r="B236" s="460" t="s">
        <v>438</v>
      </c>
      <c r="C236" s="461"/>
      <c r="D236" s="462">
        <v>175342</v>
      </c>
      <c r="E236" s="463">
        <v>4</v>
      </c>
      <c r="F236" s="217">
        <f t="shared" si="19"/>
        <v>86287</v>
      </c>
      <c r="G236" s="216">
        <f t="shared" si="20"/>
        <v>81743</v>
      </c>
      <c r="H236" s="368">
        <v>65732</v>
      </c>
      <c r="I236" s="466">
        <v>62343</v>
      </c>
      <c r="J236" s="368">
        <v>5560</v>
      </c>
      <c r="K236" s="466">
        <v>4930</v>
      </c>
      <c r="L236" s="367">
        <v>14962</v>
      </c>
      <c r="M236" s="367"/>
      <c r="N236" s="367">
        <v>33</v>
      </c>
      <c r="O236" s="466">
        <v>14446</v>
      </c>
      <c r="P236" s="390"/>
      <c r="Q236" s="391">
        <v>24</v>
      </c>
      <c r="R236" s="368"/>
      <c r="S236" s="466"/>
      <c r="T236" s="218">
        <f t="shared" si="21"/>
        <v>10474</v>
      </c>
      <c r="U236" s="219">
        <f t="shared" si="22"/>
        <v>9620</v>
      </c>
      <c r="V236" s="368">
        <v>2931</v>
      </c>
      <c r="W236" s="466">
        <v>3039</v>
      </c>
      <c r="X236" s="368">
        <v>812</v>
      </c>
      <c r="Y236" s="466">
        <v>441</v>
      </c>
      <c r="Z236" s="367">
        <v>6683</v>
      </c>
      <c r="AA236" s="367"/>
      <c r="AB236" s="367">
        <v>48</v>
      </c>
      <c r="AC236" s="466">
        <v>6011</v>
      </c>
      <c r="AD236" s="390" t="s">
        <v>39</v>
      </c>
      <c r="AE236" s="391">
        <v>129</v>
      </c>
      <c r="AF236" s="368"/>
      <c r="AG236" s="466"/>
      <c r="AH236" s="389"/>
    </row>
    <row r="237" spans="1:34">
      <c r="A237" s="459" t="s">
        <v>47</v>
      </c>
      <c r="B237" s="460" t="s">
        <v>439</v>
      </c>
      <c r="C237" s="461"/>
      <c r="D237" s="462">
        <v>175616</v>
      </c>
      <c r="E237" s="463">
        <v>4</v>
      </c>
      <c r="F237" s="217">
        <f t="shared" si="19"/>
        <v>67708</v>
      </c>
      <c r="G237" s="216">
        <f t="shared" si="20"/>
        <v>70212</v>
      </c>
      <c r="H237" s="368">
        <v>55029</v>
      </c>
      <c r="I237" s="466">
        <v>56418</v>
      </c>
      <c r="J237" s="368">
        <v>1315</v>
      </c>
      <c r="K237" s="466">
        <v>1705</v>
      </c>
      <c r="L237" s="367">
        <v>11364</v>
      </c>
      <c r="M237" s="367"/>
      <c r="N237" s="367"/>
      <c r="O237" s="390">
        <v>12089</v>
      </c>
      <c r="P237" s="390"/>
      <c r="Q237" s="391"/>
      <c r="R237" s="368"/>
      <c r="S237" s="466"/>
      <c r="T237" s="218">
        <f t="shared" si="21"/>
        <v>31282</v>
      </c>
      <c r="U237" s="219">
        <f t="shared" si="22"/>
        <v>28486</v>
      </c>
      <c r="V237" s="368">
        <v>14581</v>
      </c>
      <c r="W237" s="466">
        <v>3369</v>
      </c>
      <c r="X237" s="368">
        <v>285</v>
      </c>
      <c r="Y237" s="466">
        <v>738</v>
      </c>
      <c r="Z237" s="367">
        <v>16416</v>
      </c>
      <c r="AA237" s="367"/>
      <c r="AB237" s="367"/>
      <c r="AC237" s="390">
        <v>24379</v>
      </c>
      <c r="AD237" s="390"/>
      <c r="AE237" s="391"/>
      <c r="AF237" s="368"/>
      <c r="AG237" s="466"/>
      <c r="AH237" s="389"/>
    </row>
    <row r="238" spans="1:34">
      <c r="A238" s="459" t="s">
        <v>47</v>
      </c>
      <c r="B238" s="460" t="s">
        <v>440</v>
      </c>
      <c r="C238" s="461"/>
      <c r="D238" s="462">
        <v>176044</v>
      </c>
      <c r="E238" s="463">
        <v>4</v>
      </c>
      <c r="F238" s="217">
        <f t="shared" si="19"/>
        <v>55170</v>
      </c>
      <c r="G238" s="216">
        <f t="shared" si="20"/>
        <v>53236</v>
      </c>
      <c r="H238" s="368">
        <v>42884</v>
      </c>
      <c r="I238" s="660">
        <v>43640</v>
      </c>
      <c r="J238" s="368">
        <v>547</v>
      </c>
      <c r="K238" s="390">
        <v>454</v>
      </c>
      <c r="L238" s="367">
        <v>10971</v>
      </c>
      <c r="M238" s="367"/>
      <c r="N238" s="367"/>
      <c r="O238" s="390">
        <v>8080</v>
      </c>
      <c r="P238" s="390"/>
      <c r="Q238" s="391"/>
      <c r="R238" s="368">
        <v>768</v>
      </c>
      <c r="S238" s="660">
        <v>1062</v>
      </c>
      <c r="T238" s="218">
        <f t="shared" si="21"/>
        <v>4557</v>
      </c>
      <c r="U238" s="219">
        <f t="shared" si="22"/>
        <v>5074</v>
      </c>
      <c r="V238" s="368">
        <v>2778</v>
      </c>
      <c r="W238" s="660">
        <v>2362</v>
      </c>
      <c r="X238" s="368">
        <v>63</v>
      </c>
      <c r="Y238" s="390">
        <v>36</v>
      </c>
      <c r="Z238" s="367">
        <v>1557</v>
      </c>
      <c r="AA238" s="367"/>
      <c r="AB238" s="367"/>
      <c r="AC238" s="390">
        <v>2559</v>
      </c>
      <c r="AD238" s="390"/>
      <c r="AE238" s="391"/>
      <c r="AF238" s="368">
        <v>159</v>
      </c>
      <c r="AG238" s="660">
        <v>117</v>
      </c>
      <c r="AH238" s="389"/>
    </row>
    <row r="239" spans="1:34">
      <c r="A239" s="467" t="s">
        <v>47</v>
      </c>
      <c r="B239" s="460" t="s">
        <v>441</v>
      </c>
      <c r="C239" s="461"/>
      <c r="D239" s="462">
        <v>176035</v>
      </c>
      <c r="E239" s="463">
        <v>5</v>
      </c>
      <c r="F239" s="217">
        <f t="shared" si="19"/>
        <v>68079</v>
      </c>
      <c r="G239" s="216">
        <f t="shared" si="20"/>
        <v>69272</v>
      </c>
      <c r="H239" s="368">
        <v>35099</v>
      </c>
      <c r="I239" s="390">
        <v>34500</v>
      </c>
      <c r="J239" s="368">
        <v>0</v>
      </c>
      <c r="K239" s="390">
        <v>48</v>
      </c>
      <c r="L239" s="367">
        <v>32980</v>
      </c>
      <c r="M239" s="367"/>
      <c r="N239" s="367"/>
      <c r="O239" s="390">
        <v>34724</v>
      </c>
      <c r="P239" s="390"/>
      <c r="Q239" s="391"/>
      <c r="R239" s="368"/>
      <c r="S239" s="390"/>
      <c r="T239" s="218">
        <f t="shared" si="21"/>
        <v>4191</v>
      </c>
      <c r="U239" s="219">
        <f t="shared" si="22"/>
        <v>4147</v>
      </c>
      <c r="V239" s="368">
        <v>2696</v>
      </c>
      <c r="W239" s="390">
        <v>2536</v>
      </c>
      <c r="X239" s="368">
        <v>324</v>
      </c>
      <c r="Y239" s="390">
        <v>354</v>
      </c>
      <c r="Z239" s="367">
        <v>1171</v>
      </c>
      <c r="AA239" s="367"/>
      <c r="AB239" s="367"/>
      <c r="AC239" s="390">
        <v>1257</v>
      </c>
      <c r="AD239" s="390"/>
      <c r="AE239" s="391"/>
      <c r="AF239" s="368"/>
      <c r="AG239" s="390"/>
      <c r="AH239" s="389"/>
    </row>
    <row r="240" spans="1:34">
      <c r="A240" s="584" t="s">
        <v>47</v>
      </c>
      <c r="B240" s="585" t="s">
        <v>668</v>
      </c>
      <c r="C240" s="586"/>
      <c r="D240" s="544">
        <v>175786</v>
      </c>
      <c r="E240" s="587">
        <v>8</v>
      </c>
      <c r="F240" s="217">
        <f t="shared" si="19"/>
        <v>277146</v>
      </c>
      <c r="G240" s="216">
        <f t="shared" si="20"/>
        <v>280835</v>
      </c>
      <c r="H240" s="464">
        <v>233016</v>
      </c>
      <c r="I240" s="390">
        <v>229650</v>
      </c>
      <c r="J240" s="368"/>
      <c r="K240" s="390"/>
      <c r="L240" s="367">
        <v>44130</v>
      </c>
      <c r="M240" s="367"/>
      <c r="N240" s="367"/>
      <c r="O240" s="390">
        <v>51185</v>
      </c>
      <c r="P240" s="390"/>
      <c r="Q240" s="391"/>
      <c r="R240" s="368"/>
      <c r="S240" s="390"/>
      <c r="T240" s="218">
        <f t="shared" si="21"/>
        <v>0</v>
      </c>
      <c r="U240" s="219">
        <f t="shared" si="22"/>
        <v>0</v>
      </c>
      <c r="V240" s="368"/>
      <c r="W240" s="390"/>
      <c r="X240" s="368"/>
      <c r="Y240" s="390"/>
      <c r="Z240" s="367"/>
      <c r="AA240" s="367"/>
      <c r="AB240" s="367"/>
      <c r="AC240" s="390"/>
      <c r="AD240" s="390"/>
      <c r="AE240" s="391"/>
      <c r="AF240" s="368"/>
      <c r="AG240" s="390"/>
      <c r="AH240" s="389"/>
    </row>
    <row r="241" spans="1:34">
      <c r="A241" s="588" t="s">
        <v>47</v>
      </c>
      <c r="B241" s="585" t="s">
        <v>669</v>
      </c>
      <c r="C241" s="586"/>
      <c r="D241" s="589">
        <v>175829</v>
      </c>
      <c r="E241" s="590">
        <v>8</v>
      </c>
      <c r="F241" s="217">
        <f t="shared" si="19"/>
        <v>150611</v>
      </c>
      <c r="G241" s="216">
        <f t="shared" si="20"/>
        <v>152968</v>
      </c>
      <c r="H241" s="464">
        <v>98808</v>
      </c>
      <c r="I241" s="390">
        <v>100708</v>
      </c>
      <c r="J241" s="368"/>
      <c r="K241" s="390"/>
      <c r="L241" s="465">
        <v>51803</v>
      </c>
      <c r="M241" s="367"/>
      <c r="N241" s="367"/>
      <c r="O241" s="390">
        <v>52260</v>
      </c>
      <c r="P241" s="390"/>
      <c r="Q241" s="391"/>
      <c r="R241" s="368"/>
      <c r="S241" s="390"/>
      <c r="T241" s="218">
        <f t="shared" si="21"/>
        <v>0</v>
      </c>
      <c r="U241" s="219">
        <f t="shared" si="22"/>
        <v>0</v>
      </c>
      <c r="V241" s="368"/>
      <c r="W241" s="390"/>
      <c r="X241" s="368"/>
      <c r="Y241" s="390"/>
      <c r="Z241" s="367"/>
      <c r="AA241" s="367"/>
      <c r="AB241" s="367"/>
      <c r="AC241" s="390"/>
      <c r="AD241" s="390"/>
      <c r="AE241" s="391"/>
      <c r="AF241" s="368"/>
      <c r="AG241" s="390"/>
      <c r="AH241" s="389"/>
    </row>
    <row r="242" spans="1:34">
      <c r="A242" s="588" t="s">
        <v>47</v>
      </c>
      <c r="B242" s="585" t="s">
        <v>670</v>
      </c>
      <c r="C242" s="586"/>
      <c r="D242" s="589">
        <v>176071</v>
      </c>
      <c r="E242" s="542">
        <v>8</v>
      </c>
      <c r="F242" s="217">
        <f t="shared" si="19"/>
        <v>246038</v>
      </c>
      <c r="G242" s="216">
        <f t="shared" si="20"/>
        <v>238269</v>
      </c>
      <c r="H242" s="464">
        <v>193203</v>
      </c>
      <c r="I242" s="390">
        <v>179011</v>
      </c>
      <c r="J242" s="368"/>
      <c r="K242" s="390"/>
      <c r="L242" s="465">
        <v>52835</v>
      </c>
      <c r="M242" s="367"/>
      <c r="N242" s="367"/>
      <c r="O242" s="390">
        <v>59258</v>
      </c>
      <c r="P242" s="390"/>
      <c r="Q242" s="391"/>
      <c r="R242" s="368"/>
      <c r="S242" s="390"/>
      <c r="T242" s="218">
        <f t="shared" si="21"/>
        <v>0</v>
      </c>
      <c r="U242" s="219">
        <f t="shared" si="22"/>
        <v>0</v>
      </c>
      <c r="V242" s="368"/>
      <c r="W242" s="390"/>
      <c r="X242" s="368"/>
      <c r="Y242" s="390"/>
      <c r="Z242" s="367"/>
      <c r="AA242" s="367"/>
      <c r="AB242" s="367"/>
      <c r="AC242" s="390"/>
      <c r="AD242" s="390"/>
      <c r="AE242" s="391"/>
      <c r="AF242" s="368"/>
      <c r="AG242" s="390"/>
      <c r="AH242" s="389"/>
    </row>
    <row r="243" spans="1:34">
      <c r="A243" s="588" t="s">
        <v>47</v>
      </c>
      <c r="B243" s="585" t="s">
        <v>671</v>
      </c>
      <c r="C243" s="586"/>
      <c r="D243" s="589">
        <v>176178</v>
      </c>
      <c r="E243" s="542">
        <v>8</v>
      </c>
      <c r="F243" s="217">
        <f t="shared" si="19"/>
        <v>191808</v>
      </c>
      <c r="G243" s="216">
        <f t="shared" si="20"/>
        <v>196871</v>
      </c>
      <c r="H243" s="464">
        <v>161168</v>
      </c>
      <c r="I243" s="390">
        <v>161565</v>
      </c>
      <c r="J243" s="368"/>
      <c r="K243" s="390"/>
      <c r="L243" s="465">
        <v>30640</v>
      </c>
      <c r="M243" s="367"/>
      <c r="N243" s="367"/>
      <c r="O243" s="390">
        <v>35306</v>
      </c>
      <c r="P243" s="390"/>
      <c r="Q243" s="391"/>
      <c r="R243" s="368"/>
      <c r="S243" s="390"/>
      <c r="T243" s="218">
        <f t="shared" si="21"/>
        <v>0</v>
      </c>
      <c r="U243" s="219">
        <f t="shared" si="22"/>
        <v>0</v>
      </c>
      <c r="V243" s="368"/>
      <c r="W243" s="390"/>
      <c r="X243" s="368"/>
      <c r="Y243" s="390"/>
      <c r="Z243" s="367"/>
      <c r="AA243" s="367"/>
      <c r="AB243" s="367"/>
      <c r="AC243" s="390"/>
      <c r="AD243" s="390"/>
      <c r="AE243" s="391"/>
      <c r="AF243" s="368"/>
      <c r="AG243" s="390"/>
      <c r="AH243" s="389"/>
    </row>
    <row r="244" spans="1:34">
      <c r="A244" s="584" t="s">
        <v>47</v>
      </c>
      <c r="B244" s="585" t="s">
        <v>672</v>
      </c>
      <c r="C244" s="586"/>
      <c r="D244" s="544">
        <v>175573</v>
      </c>
      <c r="E244" s="587">
        <v>9</v>
      </c>
      <c r="F244" s="217">
        <f t="shared" si="19"/>
        <v>82570</v>
      </c>
      <c r="G244" s="216">
        <f t="shared" si="20"/>
        <v>77451</v>
      </c>
      <c r="H244" s="464">
        <v>67056</v>
      </c>
      <c r="I244" s="390">
        <v>61593</v>
      </c>
      <c r="J244" s="368"/>
      <c r="K244" s="390"/>
      <c r="L244" s="465">
        <v>15514</v>
      </c>
      <c r="M244" s="367"/>
      <c r="N244" s="367"/>
      <c r="O244" s="390">
        <v>15858</v>
      </c>
      <c r="P244" s="390"/>
      <c r="Q244" s="391"/>
      <c r="R244" s="368"/>
      <c r="S244" s="390"/>
      <c r="T244" s="218">
        <f t="shared" si="21"/>
        <v>0</v>
      </c>
      <c r="U244" s="219">
        <f t="shared" si="22"/>
        <v>0</v>
      </c>
      <c r="V244" s="368"/>
      <c r="W244" s="390"/>
      <c r="X244" s="368"/>
      <c r="Y244" s="390"/>
      <c r="Z244" s="367"/>
      <c r="AA244" s="367"/>
      <c r="AB244" s="367"/>
      <c r="AC244" s="390"/>
      <c r="AD244" s="390"/>
      <c r="AE244" s="391"/>
      <c r="AF244" s="368"/>
      <c r="AG244" s="390"/>
      <c r="AH244" s="389"/>
    </row>
    <row r="245" spans="1:34">
      <c r="A245" s="588" t="s">
        <v>47</v>
      </c>
      <c r="B245" s="585" t="s">
        <v>673</v>
      </c>
      <c r="C245" s="586"/>
      <c r="D245" s="589">
        <v>175643</v>
      </c>
      <c r="E245" s="542">
        <v>9</v>
      </c>
      <c r="F245" s="217">
        <f t="shared" si="19"/>
        <v>64271</v>
      </c>
      <c r="G245" s="216">
        <f t="shared" si="20"/>
        <v>68955</v>
      </c>
      <c r="H245" s="464">
        <v>52043</v>
      </c>
      <c r="I245" s="390">
        <v>53417</v>
      </c>
      <c r="J245" s="368"/>
      <c r="K245" s="390"/>
      <c r="L245" s="367">
        <v>12228</v>
      </c>
      <c r="M245" s="367"/>
      <c r="N245" s="367"/>
      <c r="O245" s="390">
        <v>15538</v>
      </c>
      <c r="P245" s="390"/>
      <c r="Q245" s="391"/>
      <c r="R245" s="368"/>
      <c r="S245" s="390"/>
      <c r="T245" s="218">
        <f t="shared" si="21"/>
        <v>0</v>
      </c>
      <c r="U245" s="219">
        <f t="shared" si="22"/>
        <v>0</v>
      </c>
      <c r="V245" s="368"/>
      <c r="W245" s="390"/>
      <c r="X245" s="368"/>
      <c r="Y245" s="390"/>
      <c r="Z245" s="367"/>
      <c r="AA245" s="367"/>
      <c r="AB245" s="367"/>
      <c r="AC245" s="390"/>
      <c r="AD245" s="390"/>
      <c r="AE245" s="391"/>
      <c r="AF245" s="368"/>
      <c r="AG245" s="390"/>
      <c r="AH245" s="389"/>
    </row>
    <row r="246" spans="1:34">
      <c r="A246" s="588" t="s">
        <v>47</v>
      </c>
      <c r="B246" s="585" t="s">
        <v>674</v>
      </c>
      <c r="C246" s="586"/>
      <c r="D246" s="589">
        <v>175652</v>
      </c>
      <c r="E246" s="542">
        <v>9</v>
      </c>
      <c r="F246" s="217">
        <f t="shared" si="19"/>
        <v>117979</v>
      </c>
      <c r="G246" s="216">
        <f t="shared" si="20"/>
        <v>114643</v>
      </c>
      <c r="H246" s="464">
        <v>77066</v>
      </c>
      <c r="I246" s="390">
        <v>76373</v>
      </c>
      <c r="J246" s="368"/>
      <c r="K246" s="390"/>
      <c r="L246" s="465">
        <v>40913</v>
      </c>
      <c r="M246" s="367"/>
      <c r="N246" s="367"/>
      <c r="O246" s="390">
        <v>38270</v>
      </c>
      <c r="P246" s="390"/>
      <c r="Q246" s="391"/>
      <c r="R246" s="368"/>
      <c r="S246" s="390"/>
      <c r="T246" s="218">
        <f t="shared" si="21"/>
        <v>0</v>
      </c>
      <c r="U246" s="219">
        <f t="shared" si="22"/>
        <v>0</v>
      </c>
      <c r="V246" s="368"/>
      <c r="W246" s="390"/>
      <c r="X246" s="368"/>
      <c r="Y246" s="390"/>
      <c r="Z246" s="367"/>
      <c r="AA246" s="367"/>
      <c r="AB246" s="367"/>
      <c r="AC246" s="390"/>
      <c r="AD246" s="390"/>
      <c r="AE246" s="391"/>
      <c r="AF246" s="368"/>
      <c r="AG246" s="390"/>
      <c r="AH246" s="389"/>
    </row>
    <row r="247" spans="1:34">
      <c r="A247" s="588" t="s">
        <v>47</v>
      </c>
      <c r="B247" s="585" t="s">
        <v>675</v>
      </c>
      <c r="C247" s="586"/>
      <c r="D247" s="589">
        <v>175810</v>
      </c>
      <c r="E247" s="542">
        <v>9</v>
      </c>
      <c r="F247" s="217">
        <f t="shared" si="19"/>
        <v>151313</v>
      </c>
      <c r="G247" s="216">
        <f t="shared" si="20"/>
        <v>149561</v>
      </c>
      <c r="H247" s="464">
        <v>115352</v>
      </c>
      <c r="I247" s="390">
        <v>105965</v>
      </c>
      <c r="J247" s="368"/>
      <c r="K247" s="390"/>
      <c r="L247" s="465">
        <v>35961</v>
      </c>
      <c r="M247" s="367"/>
      <c r="N247" s="367"/>
      <c r="O247" s="390">
        <v>43596</v>
      </c>
      <c r="P247" s="390"/>
      <c r="Q247" s="391"/>
      <c r="R247" s="368"/>
      <c r="S247" s="390"/>
      <c r="T247" s="218">
        <f t="shared" si="21"/>
        <v>0</v>
      </c>
      <c r="U247" s="219">
        <f t="shared" si="22"/>
        <v>0</v>
      </c>
      <c r="V247" s="368"/>
      <c r="W247" s="390"/>
      <c r="X247" s="368"/>
      <c r="Y247" s="390"/>
      <c r="Z247" s="367"/>
      <c r="AA247" s="367"/>
      <c r="AB247" s="367"/>
      <c r="AC247" s="390"/>
      <c r="AD247" s="390"/>
      <c r="AE247" s="391"/>
      <c r="AF247" s="368"/>
      <c r="AG247" s="390"/>
      <c r="AH247" s="389"/>
    </row>
    <row r="248" spans="1:34">
      <c r="A248" s="588" t="s">
        <v>47</v>
      </c>
      <c r="B248" s="585" t="s">
        <v>676</v>
      </c>
      <c r="C248" s="586"/>
      <c r="D248" s="589">
        <v>175883</v>
      </c>
      <c r="E248" s="542">
        <v>9</v>
      </c>
      <c r="F248" s="217">
        <f t="shared" si="19"/>
        <v>115319</v>
      </c>
      <c r="G248" s="216">
        <f t="shared" si="20"/>
        <v>121443</v>
      </c>
      <c r="H248" s="464">
        <v>98054</v>
      </c>
      <c r="I248" s="390">
        <v>103390</v>
      </c>
      <c r="J248" s="368"/>
      <c r="K248" s="390"/>
      <c r="L248" s="367">
        <v>17265</v>
      </c>
      <c r="M248" s="367"/>
      <c r="N248" s="367"/>
      <c r="O248" s="390">
        <v>18053</v>
      </c>
      <c r="P248" s="390"/>
      <c r="Q248" s="391"/>
      <c r="R248" s="368"/>
      <c r="S248" s="390"/>
      <c r="T248" s="218">
        <f t="shared" si="21"/>
        <v>0</v>
      </c>
      <c r="U248" s="219">
        <f t="shared" si="22"/>
        <v>0</v>
      </c>
      <c r="V248" s="368"/>
      <c r="W248" s="390"/>
      <c r="X248" s="368"/>
      <c r="Y248" s="390"/>
      <c r="Z248" s="367"/>
      <c r="AA248" s="367"/>
      <c r="AB248" s="367"/>
      <c r="AC248" s="390"/>
      <c r="AD248" s="390"/>
      <c r="AE248" s="391"/>
      <c r="AF248" s="368"/>
      <c r="AG248" s="390"/>
      <c r="AH248" s="389"/>
    </row>
    <row r="249" spans="1:34">
      <c r="A249" s="588" t="s">
        <v>47</v>
      </c>
      <c r="B249" s="585" t="s">
        <v>677</v>
      </c>
      <c r="C249" s="586"/>
      <c r="D249" s="589">
        <v>175935</v>
      </c>
      <c r="E249" s="542">
        <v>9</v>
      </c>
      <c r="F249" s="217">
        <f t="shared" si="19"/>
        <v>88787</v>
      </c>
      <c r="G249" s="216">
        <f t="shared" si="20"/>
        <v>86163</v>
      </c>
      <c r="H249" s="464">
        <v>74073</v>
      </c>
      <c r="I249" s="390">
        <v>72132</v>
      </c>
      <c r="J249" s="368"/>
      <c r="K249" s="390"/>
      <c r="L249" s="465">
        <v>14714</v>
      </c>
      <c r="M249" s="367"/>
      <c r="N249" s="367"/>
      <c r="O249" s="390">
        <v>14031</v>
      </c>
      <c r="P249" s="390"/>
      <c r="Q249" s="391"/>
      <c r="R249" s="368"/>
      <c r="S249" s="390"/>
      <c r="T249" s="218">
        <f t="shared" si="21"/>
        <v>0</v>
      </c>
      <c r="U249" s="219">
        <f t="shared" si="22"/>
        <v>0</v>
      </c>
      <c r="V249" s="368"/>
      <c r="W249" s="390"/>
      <c r="X249" s="368"/>
      <c r="Y249" s="390"/>
      <c r="Z249" s="367"/>
      <c r="AA249" s="367"/>
      <c r="AB249" s="367"/>
      <c r="AC249" s="390"/>
      <c r="AD249" s="390"/>
      <c r="AE249" s="391"/>
      <c r="AF249" s="368"/>
      <c r="AG249" s="390"/>
      <c r="AH249" s="389"/>
    </row>
    <row r="250" spans="1:34">
      <c r="A250" s="588" t="s">
        <v>47</v>
      </c>
      <c r="B250" s="585" t="s">
        <v>678</v>
      </c>
      <c r="C250" s="586"/>
      <c r="D250" s="589">
        <v>176008</v>
      </c>
      <c r="E250" s="542">
        <v>9</v>
      </c>
      <c r="F250" s="217">
        <f t="shared" si="19"/>
        <v>78059</v>
      </c>
      <c r="G250" s="216">
        <f t="shared" si="20"/>
        <v>74462</v>
      </c>
      <c r="H250" s="464">
        <v>67883</v>
      </c>
      <c r="I250" s="390">
        <v>65242</v>
      </c>
      <c r="J250" s="368"/>
      <c r="K250" s="390"/>
      <c r="L250" s="465">
        <v>10176</v>
      </c>
      <c r="M250" s="367"/>
      <c r="N250" s="367"/>
      <c r="O250" s="390">
        <v>9220</v>
      </c>
      <c r="P250" s="390"/>
      <c r="Q250" s="391"/>
      <c r="R250" s="368"/>
      <c r="S250" s="390"/>
      <c r="T250" s="218">
        <f t="shared" si="21"/>
        <v>0</v>
      </c>
      <c r="U250" s="219">
        <f t="shared" si="22"/>
        <v>0</v>
      </c>
      <c r="V250" s="368"/>
      <c r="W250" s="390"/>
      <c r="X250" s="368"/>
      <c r="Y250" s="390"/>
      <c r="Z250" s="367"/>
      <c r="AA250" s="367"/>
      <c r="AB250" s="367"/>
      <c r="AC250" s="390"/>
      <c r="AD250" s="390"/>
      <c r="AE250" s="391"/>
      <c r="AF250" s="368"/>
      <c r="AG250" s="390"/>
      <c r="AH250" s="389"/>
    </row>
    <row r="251" spans="1:34">
      <c r="A251" s="588" t="s">
        <v>47</v>
      </c>
      <c r="B251" s="585" t="s">
        <v>679</v>
      </c>
      <c r="C251" s="586"/>
      <c r="D251" s="589">
        <v>176169</v>
      </c>
      <c r="E251" s="542">
        <v>9</v>
      </c>
      <c r="F251" s="217">
        <f t="shared" si="19"/>
        <v>85123</v>
      </c>
      <c r="G251" s="216">
        <f t="shared" si="20"/>
        <v>87413</v>
      </c>
      <c r="H251" s="464">
        <v>72386</v>
      </c>
      <c r="I251" s="390">
        <v>71030</v>
      </c>
      <c r="J251" s="368"/>
      <c r="K251" s="390"/>
      <c r="L251" s="465">
        <v>12737</v>
      </c>
      <c r="M251" s="367"/>
      <c r="N251" s="367"/>
      <c r="O251" s="390">
        <v>16383</v>
      </c>
      <c r="P251" s="390"/>
      <c r="Q251" s="391"/>
      <c r="R251" s="368"/>
      <c r="S251" s="390"/>
      <c r="T251" s="218">
        <f t="shared" si="21"/>
        <v>0</v>
      </c>
      <c r="U251" s="219">
        <f t="shared" si="22"/>
        <v>0</v>
      </c>
      <c r="V251" s="368"/>
      <c r="W251" s="390"/>
      <c r="X251" s="368"/>
      <c r="Y251" s="390"/>
      <c r="Z251" s="367"/>
      <c r="AA251" s="367"/>
      <c r="AB251" s="367"/>
      <c r="AC251" s="390"/>
      <c r="AD251" s="390"/>
      <c r="AE251" s="391"/>
      <c r="AF251" s="368"/>
      <c r="AG251" s="390"/>
      <c r="AH251" s="389"/>
    </row>
    <row r="252" spans="1:34">
      <c r="A252" s="584" t="s">
        <v>47</v>
      </c>
      <c r="B252" s="585" t="s">
        <v>680</v>
      </c>
      <c r="C252" s="586"/>
      <c r="D252" s="544">
        <v>176239</v>
      </c>
      <c r="E252" s="587">
        <v>9</v>
      </c>
      <c r="F252" s="217">
        <f t="shared" si="19"/>
        <v>108250</v>
      </c>
      <c r="G252" s="216">
        <f t="shared" si="20"/>
        <v>108015</v>
      </c>
      <c r="H252" s="464">
        <v>87728</v>
      </c>
      <c r="I252" s="390">
        <v>86581</v>
      </c>
      <c r="J252" s="368"/>
      <c r="K252" s="390"/>
      <c r="L252" s="465">
        <v>20522</v>
      </c>
      <c r="M252" s="367"/>
      <c r="N252" s="367"/>
      <c r="O252" s="390">
        <v>21434</v>
      </c>
      <c r="P252" s="390"/>
      <c r="Q252" s="391"/>
      <c r="R252" s="368"/>
      <c r="S252" s="390"/>
      <c r="T252" s="218">
        <f t="shared" si="21"/>
        <v>0</v>
      </c>
      <c r="U252" s="219">
        <f t="shared" si="22"/>
        <v>0</v>
      </c>
      <c r="V252" s="368"/>
      <c r="W252" s="390"/>
      <c r="X252" s="368"/>
      <c r="Y252" s="390"/>
      <c r="Z252" s="367"/>
      <c r="AA252" s="367"/>
      <c r="AB252" s="367"/>
      <c r="AC252" s="390"/>
      <c r="AD252" s="390"/>
      <c r="AE252" s="391"/>
      <c r="AF252" s="368"/>
      <c r="AG252" s="390"/>
      <c r="AH252" s="389"/>
    </row>
    <row r="253" spans="1:34">
      <c r="A253" s="588" t="s">
        <v>47</v>
      </c>
      <c r="B253" s="585" t="s">
        <v>681</v>
      </c>
      <c r="C253" s="586"/>
      <c r="D253" s="589">
        <v>175519</v>
      </c>
      <c r="E253" s="542">
        <v>10</v>
      </c>
      <c r="F253" s="217">
        <f t="shared" si="19"/>
        <v>50751</v>
      </c>
      <c r="G253" s="216">
        <f t="shared" si="20"/>
        <v>49031</v>
      </c>
      <c r="H253" s="464">
        <v>45492</v>
      </c>
      <c r="I253" s="390">
        <v>43303</v>
      </c>
      <c r="J253" s="368"/>
      <c r="K253" s="390"/>
      <c r="L253" s="465">
        <v>5259</v>
      </c>
      <c r="M253" s="367"/>
      <c r="N253" s="367"/>
      <c r="O253" s="390">
        <v>5728</v>
      </c>
      <c r="P253" s="390"/>
      <c r="Q253" s="391"/>
      <c r="R253" s="368"/>
      <c r="S253" s="390"/>
      <c r="T253" s="218">
        <f t="shared" si="21"/>
        <v>0</v>
      </c>
      <c r="U253" s="219">
        <f t="shared" si="22"/>
        <v>0</v>
      </c>
      <c r="V253" s="368"/>
      <c r="W253" s="390"/>
      <c r="X253" s="368"/>
      <c r="Y253" s="390"/>
      <c r="Z253" s="367"/>
      <c r="AA253" s="367"/>
      <c r="AB253" s="367"/>
      <c r="AC253" s="390"/>
      <c r="AD253" s="390"/>
      <c r="AE253" s="391"/>
      <c r="AF253" s="368"/>
      <c r="AG253" s="390"/>
      <c r="AH253" s="389"/>
    </row>
    <row r="254" spans="1:34">
      <c r="A254" s="588" t="s">
        <v>47</v>
      </c>
      <c r="B254" s="585" t="s">
        <v>682</v>
      </c>
      <c r="C254" s="586"/>
      <c r="D254" s="589">
        <v>176354</v>
      </c>
      <c r="E254" s="542">
        <v>10</v>
      </c>
      <c r="F254" s="217">
        <f t="shared" si="19"/>
        <v>52997</v>
      </c>
      <c r="G254" s="216">
        <f t="shared" si="20"/>
        <v>54657</v>
      </c>
      <c r="H254" s="368">
        <v>44085</v>
      </c>
      <c r="I254" s="390">
        <v>43605</v>
      </c>
      <c r="J254" s="368"/>
      <c r="K254" s="390"/>
      <c r="L254" s="367">
        <v>8912</v>
      </c>
      <c r="M254" s="367"/>
      <c r="N254" s="367"/>
      <c r="O254" s="390">
        <v>11052</v>
      </c>
      <c r="P254" s="390"/>
      <c r="Q254" s="391"/>
      <c r="R254" s="368"/>
      <c r="S254" s="390"/>
      <c r="T254" s="218">
        <f t="shared" si="21"/>
        <v>0</v>
      </c>
      <c r="U254" s="219">
        <f t="shared" si="22"/>
        <v>0</v>
      </c>
      <c r="V254" s="368"/>
      <c r="W254" s="390"/>
      <c r="X254" s="368"/>
      <c r="Y254" s="390"/>
      <c r="Z254" s="367"/>
      <c r="AA254" s="367"/>
      <c r="AB254" s="367"/>
      <c r="AC254" s="390"/>
      <c r="AD254" s="390"/>
      <c r="AE254" s="391"/>
      <c r="AF254" s="368"/>
      <c r="AG254" s="390"/>
      <c r="AH254" s="389"/>
    </row>
    <row r="255" spans="1:34">
      <c r="A255" s="374" t="s">
        <v>48</v>
      </c>
      <c r="B255" s="371" t="s">
        <v>249</v>
      </c>
      <c r="C255" s="372"/>
      <c r="D255" s="377">
        <v>199193</v>
      </c>
      <c r="E255" s="373">
        <v>1</v>
      </c>
      <c r="F255" s="217">
        <f t="shared" si="19"/>
        <v>713389</v>
      </c>
      <c r="G255" s="216">
        <f t="shared" si="20"/>
        <v>698042</v>
      </c>
      <c r="H255" s="368">
        <v>622022</v>
      </c>
      <c r="I255" s="390">
        <v>606311</v>
      </c>
      <c r="J255" s="368">
        <v>3446</v>
      </c>
      <c r="K255" s="390">
        <v>2422</v>
      </c>
      <c r="L255" s="367">
        <v>86942</v>
      </c>
      <c r="M255" s="367"/>
      <c r="N255" s="367">
        <v>979</v>
      </c>
      <c r="O255" s="390">
        <v>88284</v>
      </c>
      <c r="P255" s="390"/>
      <c r="Q255" s="391">
        <v>1025</v>
      </c>
      <c r="R255" s="368"/>
      <c r="S255" s="390"/>
      <c r="T255" s="218">
        <f t="shared" si="21"/>
        <v>140235</v>
      </c>
      <c r="U255" s="219">
        <f t="shared" si="22"/>
        <v>132670</v>
      </c>
      <c r="V255" s="368">
        <v>112084</v>
      </c>
      <c r="W255" s="390">
        <v>112980</v>
      </c>
      <c r="X255" s="368">
        <v>4810</v>
      </c>
      <c r="Y255" s="390">
        <v>2474</v>
      </c>
      <c r="Z255" s="367">
        <v>21561</v>
      </c>
      <c r="AA255" s="367"/>
      <c r="AB255" s="367">
        <v>1780</v>
      </c>
      <c r="AC255" s="390">
        <v>16087</v>
      </c>
      <c r="AD255" s="390"/>
      <c r="AE255" s="391">
        <v>1129</v>
      </c>
      <c r="AF255" s="368"/>
      <c r="AG255" s="391"/>
      <c r="AH255" s="389"/>
    </row>
    <row r="256" spans="1:34">
      <c r="A256" s="374" t="s">
        <v>48</v>
      </c>
      <c r="B256" s="371" t="s">
        <v>250</v>
      </c>
      <c r="C256" s="372"/>
      <c r="D256" s="377">
        <v>199120</v>
      </c>
      <c r="E256" s="373">
        <v>1</v>
      </c>
      <c r="F256" s="217">
        <f t="shared" si="19"/>
        <v>510966</v>
      </c>
      <c r="G256" s="216">
        <f t="shared" si="20"/>
        <v>508040</v>
      </c>
      <c r="H256" s="368">
        <v>498655</v>
      </c>
      <c r="I256" s="390">
        <v>494810</v>
      </c>
      <c r="J256" s="368">
        <v>450</v>
      </c>
      <c r="K256" s="390">
        <v>402</v>
      </c>
      <c r="L256" s="367">
        <v>11861</v>
      </c>
      <c r="M256" s="367"/>
      <c r="N256" s="367"/>
      <c r="O256" s="390">
        <v>12828</v>
      </c>
      <c r="P256" s="390"/>
      <c r="Q256" s="391"/>
      <c r="R256" s="368"/>
      <c r="S256" s="390"/>
      <c r="T256" s="218">
        <f t="shared" si="21"/>
        <v>193771</v>
      </c>
      <c r="U256" s="219">
        <f t="shared" si="22"/>
        <v>191821</v>
      </c>
      <c r="V256" s="368">
        <v>161859</v>
      </c>
      <c r="W256" s="390">
        <v>157559</v>
      </c>
      <c r="X256" s="368">
        <v>13174</v>
      </c>
      <c r="Y256" s="390">
        <v>14023</v>
      </c>
      <c r="Z256" s="367">
        <v>18717</v>
      </c>
      <c r="AA256" s="367">
        <v>21</v>
      </c>
      <c r="AB256" s="367"/>
      <c r="AC256" s="390">
        <v>20188</v>
      </c>
      <c r="AD256" s="390">
        <v>51</v>
      </c>
      <c r="AE256" s="391"/>
      <c r="AF256" s="368"/>
      <c r="AG256" s="391"/>
      <c r="AH256" s="389"/>
    </row>
    <row r="257" spans="1:34">
      <c r="A257" s="374" t="s">
        <v>48</v>
      </c>
      <c r="B257" s="371" t="s">
        <v>251</v>
      </c>
      <c r="C257" s="372" t="s">
        <v>285</v>
      </c>
      <c r="D257" s="377">
        <v>199148</v>
      </c>
      <c r="E257" s="376">
        <v>1</v>
      </c>
      <c r="F257" s="217">
        <f t="shared" si="19"/>
        <v>403249</v>
      </c>
      <c r="G257" s="216">
        <f t="shared" si="20"/>
        <v>402261</v>
      </c>
      <c r="H257" s="368">
        <v>333577</v>
      </c>
      <c r="I257" s="390">
        <v>325584</v>
      </c>
      <c r="J257" s="368">
        <v>1169</v>
      </c>
      <c r="K257" s="390">
        <v>1245</v>
      </c>
      <c r="L257" s="367">
        <v>68452</v>
      </c>
      <c r="M257" s="367">
        <v>51</v>
      </c>
      <c r="N257" s="367"/>
      <c r="O257" s="390">
        <v>75402</v>
      </c>
      <c r="P257" s="390">
        <v>30</v>
      </c>
      <c r="Q257" s="391"/>
      <c r="R257" s="368"/>
      <c r="S257" s="390"/>
      <c r="T257" s="218">
        <f t="shared" si="21"/>
        <v>66798</v>
      </c>
      <c r="U257" s="219">
        <f t="shared" si="22"/>
        <v>63872</v>
      </c>
      <c r="V257" s="368">
        <v>52653</v>
      </c>
      <c r="W257" s="390">
        <v>50557</v>
      </c>
      <c r="X257" s="368">
        <v>3437</v>
      </c>
      <c r="Y257" s="390">
        <v>1646</v>
      </c>
      <c r="Z257" s="367">
        <v>10708</v>
      </c>
      <c r="AA257" s="367"/>
      <c r="AB257" s="367"/>
      <c r="AC257" s="390">
        <v>11630</v>
      </c>
      <c r="AD257" s="390">
        <v>39</v>
      </c>
      <c r="AE257" s="391"/>
      <c r="AF257" s="368"/>
      <c r="AG257" s="391"/>
      <c r="AH257" s="389"/>
    </row>
    <row r="258" spans="1:34">
      <c r="A258" s="374" t="s">
        <v>48</v>
      </c>
      <c r="B258" s="371" t="s">
        <v>252</v>
      </c>
      <c r="C258" s="375"/>
      <c r="D258" s="377">
        <v>198464</v>
      </c>
      <c r="E258" s="373">
        <v>2</v>
      </c>
      <c r="F258" s="217">
        <f t="shared" si="19"/>
        <v>583735</v>
      </c>
      <c r="G258" s="216">
        <f t="shared" si="20"/>
        <v>596907</v>
      </c>
      <c r="H258" s="368">
        <v>490294</v>
      </c>
      <c r="I258" s="390">
        <v>488794</v>
      </c>
      <c r="J258" s="368">
        <v>4451</v>
      </c>
      <c r="K258" s="390">
        <v>2718</v>
      </c>
      <c r="L258" s="367">
        <v>88990</v>
      </c>
      <c r="M258" s="367"/>
      <c r="N258" s="367"/>
      <c r="O258" s="390">
        <v>105242</v>
      </c>
      <c r="P258" s="390">
        <v>153</v>
      </c>
      <c r="Q258" s="391"/>
      <c r="R258" s="368"/>
      <c r="S258" s="390"/>
      <c r="T258" s="218">
        <f t="shared" si="21"/>
        <v>85097</v>
      </c>
      <c r="U258" s="219">
        <f t="shared" si="22"/>
        <v>81153</v>
      </c>
      <c r="V258" s="368">
        <v>42017</v>
      </c>
      <c r="W258" s="390">
        <v>39263</v>
      </c>
      <c r="X258" s="368">
        <v>4614</v>
      </c>
      <c r="Y258" s="390">
        <v>3779</v>
      </c>
      <c r="Z258" s="367">
        <v>38466</v>
      </c>
      <c r="AA258" s="367"/>
      <c r="AB258" s="367"/>
      <c r="AC258" s="390">
        <v>38102</v>
      </c>
      <c r="AD258" s="390">
        <v>9</v>
      </c>
      <c r="AE258" s="391"/>
      <c r="AF258" s="368"/>
      <c r="AG258" s="391"/>
      <c r="AH258" s="389"/>
    </row>
    <row r="259" spans="1:34">
      <c r="A259" s="374" t="s">
        <v>48</v>
      </c>
      <c r="B259" s="371" t="s">
        <v>253</v>
      </c>
      <c r="C259" s="375" t="s">
        <v>286</v>
      </c>
      <c r="D259" s="377">
        <v>199139</v>
      </c>
      <c r="E259" s="392">
        <v>1</v>
      </c>
      <c r="F259" s="217">
        <f t="shared" si="19"/>
        <v>596033</v>
      </c>
      <c r="G259" s="216">
        <f t="shared" si="20"/>
        <v>611011</v>
      </c>
      <c r="H259" s="368">
        <v>549398</v>
      </c>
      <c r="I259" s="390">
        <v>555749</v>
      </c>
      <c r="J259" s="368">
        <v>144</v>
      </c>
      <c r="K259" s="390" t="s">
        <v>264</v>
      </c>
      <c r="L259" s="367">
        <v>46309</v>
      </c>
      <c r="M259" s="367">
        <v>182</v>
      </c>
      <c r="N259" s="367"/>
      <c r="O259" s="390">
        <v>54964</v>
      </c>
      <c r="P259" s="390">
        <v>298</v>
      </c>
      <c r="Q259" s="391"/>
      <c r="R259" s="368"/>
      <c r="S259" s="390"/>
      <c r="T259" s="218">
        <f t="shared" si="21"/>
        <v>75967</v>
      </c>
      <c r="U259" s="219">
        <f t="shared" si="22"/>
        <v>76484</v>
      </c>
      <c r="V259" s="368">
        <v>60306</v>
      </c>
      <c r="W259" s="390">
        <v>62082</v>
      </c>
      <c r="X259" s="368">
        <v>2013</v>
      </c>
      <c r="Y259" s="390">
        <v>1489</v>
      </c>
      <c r="Z259" s="367">
        <v>13648</v>
      </c>
      <c r="AA259" s="367"/>
      <c r="AB259" s="367"/>
      <c r="AC259" s="390">
        <v>12913</v>
      </c>
      <c r="AD259" s="390"/>
      <c r="AE259" s="391"/>
      <c r="AF259" s="368"/>
      <c r="AG259" s="391"/>
      <c r="AH259" s="389"/>
    </row>
    <row r="260" spans="1:34">
      <c r="A260" s="374" t="s">
        <v>48</v>
      </c>
      <c r="B260" s="371" t="s">
        <v>254</v>
      </c>
      <c r="C260" s="372"/>
      <c r="D260" s="377">
        <v>197869</v>
      </c>
      <c r="E260" s="373">
        <v>3</v>
      </c>
      <c r="F260" s="217">
        <f t="shared" si="19"/>
        <v>482393</v>
      </c>
      <c r="G260" s="216">
        <f t="shared" si="20"/>
        <v>492284</v>
      </c>
      <c r="H260" s="368">
        <v>455385</v>
      </c>
      <c r="I260" s="390">
        <v>460637</v>
      </c>
      <c r="J260" s="368">
        <v>5917</v>
      </c>
      <c r="K260" s="390">
        <v>4884</v>
      </c>
      <c r="L260" s="367">
        <v>21071</v>
      </c>
      <c r="M260" s="367">
        <v>20</v>
      </c>
      <c r="N260" s="367"/>
      <c r="O260" s="390">
        <v>26719</v>
      </c>
      <c r="P260" s="390">
        <v>44</v>
      </c>
      <c r="Q260" s="391"/>
      <c r="R260" s="368"/>
      <c r="S260" s="390"/>
      <c r="T260" s="218">
        <f t="shared" si="21"/>
        <v>35826</v>
      </c>
      <c r="U260" s="219">
        <f t="shared" si="22"/>
        <v>34297</v>
      </c>
      <c r="V260" s="368">
        <v>21293</v>
      </c>
      <c r="W260" s="390">
        <v>22273</v>
      </c>
      <c r="X260" s="368">
        <v>4724</v>
      </c>
      <c r="Y260" s="390">
        <v>3405</v>
      </c>
      <c r="Z260" s="367">
        <v>9809</v>
      </c>
      <c r="AA260" s="367"/>
      <c r="AB260" s="367"/>
      <c r="AC260" s="390">
        <v>8619</v>
      </c>
      <c r="AD260" s="390"/>
      <c r="AE260" s="391"/>
      <c r="AF260" s="368"/>
      <c r="AG260" s="391"/>
      <c r="AH260" s="389"/>
    </row>
    <row r="261" spans="1:34">
      <c r="A261" s="374" t="s">
        <v>48</v>
      </c>
      <c r="B261" s="371" t="s">
        <v>255</v>
      </c>
      <c r="C261" s="372"/>
      <c r="D261" s="377">
        <v>199102</v>
      </c>
      <c r="E261" s="373">
        <v>3</v>
      </c>
      <c r="F261" s="217">
        <f t="shared" si="19"/>
        <v>254909</v>
      </c>
      <c r="G261" s="216">
        <f t="shared" si="20"/>
        <v>256733</v>
      </c>
      <c r="H261" s="368">
        <v>238103</v>
      </c>
      <c r="I261" s="390">
        <v>240475</v>
      </c>
      <c r="J261" s="368">
        <v>1901</v>
      </c>
      <c r="K261" s="390">
        <v>399</v>
      </c>
      <c r="L261" s="367">
        <v>14897</v>
      </c>
      <c r="M261" s="367">
        <v>8</v>
      </c>
      <c r="N261" s="367"/>
      <c r="O261" s="390">
        <v>15859</v>
      </c>
      <c r="P261" s="390"/>
      <c r="Q261" s="391"/>
      <c r="R261" s="368"/>
      <c r="S261" s="390"/>
      <c r="T261" s="218">
        <f t="shared" si="21"/>
        <v>32744</v>
      </c>
      <c r="U261" s="219">
        <f t="shared" si="22"/>
        <v>30150</v>
      </c>
      <c r="V261" s="368">
        <v>22587</v>
      </c>
      <c r="W261" s="390">
        <v>22811</v>
      </c>
      <c r="X261" s="368">
        <v>3114</v>
      </c>
      <c r="Y261" s="390">
        <v>1456</v>
      </c>
      <c r="Z261" s="367">
        <v>6998</v>
      </c>
      <c r="AA261" s="367">
        <v>45</v>
      </c>
      <c r="AB261" s="367"/>
      <c r="AC261" s="390">
        <v>5883</v>
      </c>
      <c r="AD261" s="390"/>
      <c r="AE261" s="391"/>
      <c r="AF261" s="368"/>
      <c r="AG261" s="391"/>
      <c r="AH261" s="389"/>
    </row>
    <row r="262" spans="1:34">
      <c r="A262" s="374" t="s">
        <v>48</v>
      </c>
      <c r="B262" s="371" t="s">
        <v>256</v>
      </c>
      <c r="C262" s="372"/>
      <c r="D262" s="377">
        <v>199157</v>
      </c>
      <c r="E262" s="373">
        <v>3</v>
      </c>
      <c r="F262" s="217">
        <f t="shared" si="19"/>
        <v>185029</v>
      </c>
      <c r="G262" s="216">
        <f t="shared" si="20"/>
        <v>177589</v>
      </c>
      <c r="H262" s="368">
        <v>158657</v>
      </c>
      <c r="I262" s="390">
        <v>150636</v>
      </c>
      <c r="J262" s="368">
        <v>385</v>
      </c>
      <c r="K262" s="390">
        <v>702</v>
      </c>
      <c r="L262" s="367">
        <v>25987</v>
      </c>
      <c r="M262" s="367"/>
      <c r="N262" s="367"/>
      <c r="O262" s="390">
        <v>26251</v>
      </c>
      <c r="P262" s="390"/>
      <c r="Q262" s="391"/>
      <c r="R262" s="368"/>
      <c r="S262" s="390"/>
      <c r="T262" s="218">
        <f t="shared" si="21"/>
        <v>39267</v>
      </c>
      <c r="U262" s="219">
        <f t="shared" si="22"/>
        <v>38748</v>
      </c>
      <c r="V262" s="368">
        <v>31992</v>
      </c>
      <c r="W262" s="390">
        <v>31028</v>
      </c>
      <c r="X262" s="368">
        <v>354</v>
      </c>
      <c r="Y262" s="390">
        <v>477</v>
      </c>
      <c r="Z262" s="367">
        <v>6921</v>
      </c>
      <c r="AA262" s="367"/>
      <c r="AB262" s="367"/>
      <c r="AC262" s="390">
        <v>7243</v>
      </c>
      <c r="AD262" s="390"/>
      <c r="AE262" s="391"/>
      <c r="AF262" s="368"/>
      <c r="AG262" s="391"/>
      <c r="AH262" s="389"/>
    </row>
    <row r="263" spans="1:34">
      <c r="A263" s="374" t="s">
        <v>48</v>
      </c>
      <c r="B263" s="371" t="s">
        <v>257</v>
      </c>
      <c r="C263" s="372"/>
      <c r="D263" s="377">
        <v>199218</v>
      </c>
      <c r="E263" s="373">
        <v>3</v>
      </c>
      <c r="F263" s="217">
        <f t="shared" si="19"/>
        <v>369045</v>
      </c>
      <c r="G263" s="216">
        <f t="shared" si="20"/>
        <v>375539</v>
      </c>
      <c r="H263" s="368">
        <v>326253</v>
      </c>
      <c r="I263" s="390">
        <v>322767</v>
      </c>
      <c r="J263" s="368">
        <v>4508</v>
      </c>
      <c r="K263" s="390">
        <v>3928</v>
      </c>
      <c r="L263" s="367">
        <v>37781</v>
      </c>
      <c r="M263" s="367">
        <v>318</v>
      </c>
      <c r="N263" s="367">
        <v>185</v>
      </c>
      <c r="O263" s="390">
        <v>48745</v>
      </c>
      <c r="P263" s="390">
        <v>99</v>
      </c>
      <c r="Q263" s="391"/>
      <c r="R263" s="368"/>
      <c r="S263" s="390"/>
      <c r="T263" s="218">
        <f t="shared" si="21"/>
        <v>23184</v>
      </c>
      <c r="U263" s="219">
        <f t="shared" si="22"/>
        <v>25726</v>
      </c>
      <c r="V263" s="368">
        <v>14359</v>
      </c>
      <c r="W263" s="390">
        <v>14847</v>
      </c>
      <c r="X263" s="368">
        <v>668</v>
      </c>
      <c r="Y263" s="390">
        <v>816</v>
      </c>
      <c r="Z263" s="367">
        <v>8145</v>
      </c>
      <c r="AA263" s="367">
        <v>12</v>
      </c>
      <c r="AB263" s="367"/>
      <c r="AC263" s="390">
        <v>10015</v>
      </c>
      <c r="AD263" s="390">
        <v>48</v>
      </c>
      <c r="AE263" s="391"/>
      <c r="AF263" s="368"/>
      <c r="AG263" s="391"/>
      <c r="AH263" s="389"/>
    </row>
    <row r="264" spans="1:34">
      <c r="A264" s="374" t="s">
        <v>48</v>
      </c>
      <c r="B264" s="371" t="s">
        <v>258</v>
      </c>
      <c r="C264" s="372"/>
      <c r="D264" s="377">
        <v>200004</v>
      </c>
      <c r="E264" s="373">
        <v>3</v>
      </c>
      <c r="F264" s="217">
        <f t="shared" ref="F264:F327" si="23">SUM(H264,J264,L264,M264,N264,R264)</f>
        <v>232592</v>
      </c>
      <c r="G264" s="216">
        <f t="shared" ref="G264:G327" si="24">SUM(I264,K264,O264,P264,Q264,S264)</f>
        <v>242477</v>
      </c>
      <c r="H264" s="368">
        <v>204257</v>
      </c>
      <c r="I264" s="390">
        <v>210869</v>
      </c>
      <c r="J264" s="368">
        <v>2503</v>
      </c>
      <c r="K264" s="390">
        <v>2617</v>
      </c>
      <c r="L264" s="367">
        <v>25832</v>
      </c>
      <c r="M264" s="367"/>
      <c r="N264" s="367"/>
      <c r="O264" s="390">
        <v>28991</v>
      </c>
      <c r="P264" s="390"/>
      <c r="Q264" s="391"/>
      <c r="R264" s="368"/>
      <c r="S264" s="390"/>
      <c r="T264" s="218">
        <f t="shared" ref="T264:T327" si="25">SUM(V264,X264,Z264,AA264,AB264,AF264)</f>
        <v>30019</v>
      </c>
      <c r="U264" s="219">
        <f t="shared" ref="U264:U327" si="26">SUM(W264,Y264,AC264,AD264,AE264,AG264)</f>
        <v>30032</v>
      </c>
      <c r="V264" s="368">
        <v>17549</v>
      </c>
      <c r="W264" s="390">
        <v>17747</v>
      </c>
      <c r="X264" s="368">
        <v>1341</v>
      </c>
      <c r="Y264" s="390">
        <v>1222</v>
      </c>
      <c r="Z264" s="367">
        <v>11129</v>
      </c>
      <c r="AA264" s="367"/>
      <c r="AB264" s="367"/>
      <c r="AC264" s="390">
        <v>11063</v>
      </c>
      <c r="AD264" s="390"/>
      <c r="AE264" s="391"/>
      <c r="AF264" s="368"/>
      <c r="AG264" s="391"/>
      <c r="AH264" s="389"/>
    </row>
    <row r="265" spans="1:34">
      <c r="A265" s="374" t="s">
        <v>48</v>
      </c>
      <c r="B265" s="371" t="s">
        <v>259</v>
      </c>
      <c r="C265" s="372"/>
      <c r="D265" s="377">
        <v>198543</v>
      </c>
      <c r="E265" s="373">
        <v>4</v>
      </c>
      <c r="F265" s="217">
        <f t="shared" si="23"/>
        <v>149001</v>
      </c>
      <c r="G265" s="216">
        <f t="shared" si="24"/>
        <v>148585</v>
      </c>
      <c r="H265" s="368">
        <v>117314</v>
      </c>
      <c r="I265" s="390">
        <v>114332</v>
      </c>
      <c r="J265" s="368">
        <v>2328</v>
      </c>
      <c r="K265" s="390">
        <v>1914</v>
      </c>
      <c r="L265" s="367">
        <v>29284</v>
      </c>
      <c r="M265" s="367">
        <v>75</v>
      </c>
      <c r="N265" s="367"/>
      <c r="O265" s="390">
        <v>32339</v>
      </c>
      <c r="P265" s="390"/>
      <c r="Q265" s="391"/>
      <c r="R265" s="368"/>
      <c r="S265" s="390"/>
      <c r="T265" s="218">
        <f t="shared" si="25"/>
        <v>12574</v>
      </c>
      <c r="U265" s="219">
        <f t="shared" si="26"/>
        <v>11617</v>
      </c>
      <c r="V265" s="368">
        <v>6611</v>
      </c>
      <c r="W265" s="390">
        <v>6349</v>
      </c>
      <c r="X265" s="368">
        <v>2606</v>
      </c>
      <c r="Y265" s="390">
        <v>3074</v>
      </c>
      <c r="Z265" s="367">
        <v>3357</v>
      </c>
      <c r="AA265" s="367"/>
      <c r="AB265" s="367"/>
      <c r="AC265" s="390">
        <v>2194</v>
      </c>
      <c r="AD265" s="390"/>
      <c r="AE265" s="391"/>
      <c r="AF265" s="368"/>
      <c r="AG265" s="391"/>
      <c r="AH265" s="389"/>
    </row>
    <row r="266" spans="1:34">
      <c r="A266" s="374" t="s">
        <v>48</v>
      </c>
      <c r="B266" s="371" t="s">
        <v>260</v>
      </c>
      <c r="C266" s="372"/>
      <c r="D266" s="377">
        <v>199281</v>
      </c>
      <c r="E266" s="373">
        <v>5</v>
      </c>
      <c r="F266" s="217">
        <f t="shared" si="23"/>
        <v>150690</v>
      </c>
      <c r="G266" s="216">
        <f t="shared" si="24"/>
        <v>150302</v>
      </c>
      <c r="H266" s="368">
        <v>113657</v>
      </c>
      <c r="I266" s="390">
        <v>113616</v>
      </c>
      <c r="J266" s="368">
        <v>3436</v>
      </c>
      <c r="K266" s="390">
        <v>2583</v>
      </c>
      <c r="L266" s="367">
        <v>32346</v>
      </c>
      <c r="M266" s="367">
        <v>1251</v>
      </c>
      <c r="N266" s="367"/>
      <c r="O266" s="390">
        <v>33184</v>
      </c>
      <c r="P266" s="390">
        <v>919</v>
      </c>
      <c r="Q266" s="391"/>
      <c r="R266" s="368"/>
      <c r="S266" s="390"/>
      <c r="T266" s="218">
        <f t="shared" si="25"/>
        <v>12251</v>
      </c>
      <c r="U266" s="219">
        <f t="shared" si="26"/>
        <v>12908</v>
      </c>
      <c r="V266" s="368">
        <v>6321</v>
      </c>
      <c r="W266" s="390">
        <v>7373</v>
      </c>
      <c r="X266" s="368">
        <v>937</v>
      </c>
      <c r="Y266" s="390">
        <v>788</v>
      </c>
      <c r="Z266" s="367">
        <v>4813</v>
      </c>
      <c r="AA266" s="367">
        <v>180</v>
      </c>
      <c r="AB266" s="367"/>
      <c r="AC266" s="390">
        <v>4465</v>
      </c>
      <c r="AD266" s="390">
        <v>282</v>
      </c>
      <c r="AE266" s="391"/>
      <c r="AF266" s="368"/>
      <c r="AG266" s="391"/>
      <c r="AH266" s="389"/>
    </row>
    <row r="267" spans="1:34">
      <c r="A267" s="374" t="s">
        <v>48</v>
      </c>
      <c r="B267" s="371" t="s">
        <v>261</v>
      </c>
      <c r="C267" s="372"/>
      <c r="D267" s="377">
        <v>199999</v>
      </c>
      <c r="E267" s="373">
        <v>5</v>
      </c>
      <c r="F267" s="217">
        <f t="shared" si="23"/>
        <v>146802</v>
      </c>
      <c r="G267" s="216">
        <f t="shared" si="24"/>
        <v>136683</v>
      </c>
      <c r="H267" s="368">
        <v>114819</v>
      </c>
      <c r="I267" s="390">
        <v>102765</v>
      </c>
      <c r="J267" s="368">
        <v>12122</v>
      </c>
      <c r="K267" s="390">
        <v>14643</v>
      </c>
      <c r="L267" s="367">
        <v>19861</v>
      </c>
      <c r="M267" s="367"/>
      <c r="N267" s="367"/>
      <c r="O267" s="390">
        <v>19275</v>
      </c>
      <c r="P267" s="390"/>
      <c r="Q267" s="391"/>
      <c r="R267" s="368"/>
      <c r="S267" s="390"/>
      <c r="T267" s="218">
        <f t="shared" si="25"/>
        <v>11198</v>
      </c>
      <c r="U267" s="219">
        <f t="shared" si="26"/>
        <v>10654</v>
      </c>
      <c r="V267" s="368">
        <v>9446</v>
      </c>
      <c r="W267" s="390">
        <v>8781</v>
      </c>
      <c r="X267" s="368">
        <v>82</v>
      </c>
      <c r="Y267" s="390">
        <v>136</v>
      </c>
      <c r="Z267" s="367">
        <v>1670</v>
      </c>
      <c r="AA267" s="367"/>
      <c r="AB267" s="367"/>
      <c r="AC267" s="390">
        <v>1719</v>
      </c>
      <c r="AD267" s="390">
        <v>18</v>
      </c>
      <c r="AE267" s="391"/>
      <c r="AF267" s="368"/>
      <c r="AG267" s="391"/>
      <c r="AH267" s="389"/>
    </row>
    <row r="268" spans="1:34">
      <c r="A268" s="374" t="s">
        <v>48</v>
      </c>
      <c r="B268" s="371" t="s">
        <v>262</v>
      </c>
      <c r="C268" s="372" t="s">
        <v>287</v>
      </c>
      <c r="D268" s="377">
        <v>198507</v>
      </c>
      <c r="E268" s="373">
        <v>6</v>
      </c>
      <c r="F268" s="217">
        <f t="shared" si="23"/>
        <v>75506</v>
      </c>
      <c r="G268" s="216">
        <f t="shared" si="24"/>
        <v>60773</v>
      </c>
      <c r="H268" s="368">
        <v>58694</v>
      </c>
      <c r="I268" s="390">
        <v>45602</v>
      </c>
      <c r="J268" s="368">
        <v>798</v>
      </c>
      <c r="K268" s="390">
        <v>661</v>
      </c>
      <c r="L268" s="367">
        <v>16014</v>
      </c>
      <c r="M268" s="367"/>
      <c r="N268" s="367"/>
      <c r="O268" s="390">
        <v>14510</v>
      </c>
      <c r="P268" s="390"/>
      <c r="Q268" s="391"/>
      <c r="R268" s="368"/>
      <c r="S268" s="390"/>
      <c r="T268" s="218">
        <f t="shared" si="25"/>
        <v>1507</v>
      </c>
      <c r="U268" s="219">
        <f t="shared" si="26"/>
        <v>1041</v>
      </c>
      <c r="V268" s="368">
        <v>1129</v>
      </c>
      <c r="W268" s="390">
        <v>705</v>
      </c>
      <c r="X268" s="368">
        <v>66</v>
      </c>
      <c r="Y268" s="390"/>
      <c r="Z268" s="367">
        <v>312</v>
      </c>
      <c r="AA268" s="367"/>
      <c r="AB268" s="367"/>
      <c r="AC268" s="390">
        <v>336</v>
      </c>
      <c r="AD268" s="390"/>
      <c r="AE268" s="391"/>
      <c r="AF268" s="368"/>
      <c r="AG268" s="391"/>
      <c r="AH268" s="389"/>
    </row>
    <row r="269" spans="1:34">
      <c r="A269" s="374" t="s">
        <v>48</v>
      </c>
      <c r="B269" s="371" t="s">
        <v>263</v>
      </c>
      <c r="C269" s="372"/>
      <c r="D269" s="377">
        <v>199111</v>
      </c>
      <c r="E269" s="373">
        <v>6</v>
      </c>
      <c r="F269" s="217">
        <f t="shared" si="23"/>
        <v>98530</v>
      </c>
      <c r="G269" s="216">
        <f t="shared" si="24"/>
        <v>100985</v>
      </c>
      <c r="H269" s="368">
        <v>96614</v>
      </c>
      <c r="I269" s="390">
        <v>98335</v>
      </c>
      <c r="J269" s="368">
        <v>514</v>
      </c>
      <c r="K269" s="390">
        <v>503</v>
      </c>
      <c r="L269" s="367">
        <v>744</v>
      </c>
      <c r="M269" s="367">
        <v>447</v>
      </c>
      <c r="N269" s="367">
        <v>211</v>
      </c>
      <c r="O269" s="390">
        <v>672</v>
      </c>
      <c r="P269" s="390">
        <v>1203</v>
      </c>
      <c r="Q269" s="391">
        <v>272</v>
      </c>
      <c r="R269" s="368"/>
      <c r="S269" s="390"/>
      <c r="T269" s="218">
        <f t="shared" si="25"/>
        <v>488</v>
      </c>
      <c r="U269" s="219">
        <f t="shared" si="26"/>
        <v>387</v>
      </c>
      <c r="V269" s="368">
        <v>488</v>
      </c>
      <c r="W269" s="390">
        <v>387</v>
      </c>
      <c r="X269" s="368"/>
      <c r="Y269" s="390"/>
      <c r="Z269" s="367"/>
      <c r="AA269" s="367"/>
      <c r="AB269" s="367"/>
      <c r="AC269" s="390"/>
      <c r="AD269" s="390"/>
      <c r="AE269" s="391"/>
      <c r="AF269" s="368"/>
      <c r="AG269" s="391"/>
      <c r="AH269" s="389"/>
    </row>
    <row r="270" spans="1:34">
      <c r="A270" s="581" t="s">
        <v>48</v>
      </c>
      <c r="B270" s="582" t="s">
        <v>610</v>
      </c>
      <c r="C270" s="572"/>
      <c r="D270" s="573">
        <v>197887</v>
      </c>
      <c r="E270" s="424">
        <v>8</v>
      </c>
      <c r="F270" s="217">
        <f t="shared" si="23"/>
        <v>169493</v>
      </c>
      <c r="G270" s="216">
        <f t="shared" si="24"/>
        <v>157731</v>
      </c>
      <c r="H270" s="370">
        <v>115229</v>
      </c>
      <c r="I270" s="387">
        <v>106736</v>
      </c>
      <c r="J270" s="370">
        <v>2337</v>
      </c>
      <c r="K270" s="387">
        <v>3127</v>
      </c>
      <c r="L270" s="367">
        <v>51912</v>
      </c>
      <c r="M270" s="369">
        <v>15</v>
      </c>
      <c r="N270" s="369">
        <v>0</v>
      </c>
      <c r="O270" s="387">
        <v>47868</v>
      </c>
      <c r="P270" s="387">
        <v>0</v>
      </c>
      <c r="Q270" s="388">
        <v>0</v>
      </c>
      <c r="R270" s="370"/>
      <c r="S270" s="387"/>
      <c r="T270" s="218">
        <f t="shared" si="25"/>
        <v>0</v>
      </c>
      <c r="U270" s="219">
        <f t="shared" si="26"/>
        <v>0</v>
      </c>
      <c r="V270" s="370"/>
      <c r="W270" s="387"/>
      <c r="X270" s="370"/>
      <c r="Y270" s="387"/>
      <c r="Z270" s="367"/>
      <c r="AA270" s="369"/>
      <c r="AB270" s="369"/>
      <c r="AC270" s="387"/>
      <c r="AD270" s="387"/>
      <c r="AE270" s="388"/>
      <c r="AF270" s="370"/>
      <c r="AG270" s="387"/>
      <c r="AH270" s="389"/>
    </row>
    <row r="271" spans="1:34">
      <c r="A271" s="581" t="s">
        <v>48</v>
      </c>
      <c r="B271" s="582" t="s">
        <v>611</v>
      </c>
      <c r="C271" s="572"/>
      <c r="D271" s="573">
        <v>198154</v>
      </c>
      <c r="E271" s="424">
        <v>8</v>
      </c>
      <c r="F271" s="217">
        <f t="shared" si="23"/>
        <v>209951</v>
      </c>
      <c r="G271" s="216">
        <f t="shared" si="24"/>
        <v>208621</v>
      </c>
      <c r="H271" s="368">
        <v>155770</v>
      </c>
      <c r="I271" s="390">
        <v>142761</v>
      </c>
      <c r="J271" s="368">
        <v>478</v>
      </c>
      <c r="K271" s="390">
        <v>400</v>
      </c>
      <c r="L271" s="367">
        <v>53703</v>
      </c>
      <c r="M271" s="367">
        <v>0</v>
      </c>
      <c r="N271" s="367">
        <v>0</v>
      </c>
      <c r="O271" s="390">
        <v>65460</v>
      </c>
      <c r="P271" s="390">
        <v>0</v>
      </c>
      <c r="Q271" s="391">
        <v>0</v>
      </c>
      <c r="R271" s="368"/>
      <c r="S271" s="390"/>
      <c r="T271" s="218">
        <f t="shared" si="25"/>
        <v>0</v>
      </c>
      <c r="U271" s="219">
        <f t="shared" si="26"/>
        <v>0</v>
      </c>
      <c r="V271" s="368"/>
      <c r="W271" s="390"/>
      <c r="X271" s="368"/>
      <c r="Y271" s="390"/>
      <c r="Z271" s="367"/>
      <c r="AA271" s="367"/>
      <c r="AB271" s="367"/>
      <c r="AC271" s="390"/>
      <c r="AD271" s="390"/>
      <c r="AE271" s="391"/>
      <c r="AF271" s="368"/>
      <c r="AG271" s="390"/>
      <c r="AH271" s="389"/>
    </row>
    <row r="272" spans="1:34">
      <c r="A272" s="581" t="s">
        <v>48</v>
      </c>
      <c r="B272" s="582" t="s">
        <v>612</v>
      </c>
      <c r="C272" s="572"/>
      <c r="D272" s="573">
        <v>198260</v>
      </c>
      <c r="E272" s="424">
        <v>8</v>
      </c>
      <c r="F272" s="217">
        <f t="shared" si="23"/>
        <v>400503</v>
      </c>
      <c r="G272" s="216">
        <f t="shared" si="24"/>
        <v>407607</v>
      </c>
      <c r="H272" s="368">
        <v>269242</v>
      </c>
      <c r="I272" s="390">
        <v>276737</v>
      </c>
      <c r="J272" s="368">
        <v>3377</v>
      </c>
      <c r="K272" s="390">
        <v>3410</v>
      </c>
      <c r="L272" s="367">
        <v>126569</v>
      </c>
      <c r="M272" s="367">
        <v>0</v>
      </c>
      <c r="N272" s="367">
        <v>1315</v>
      </c>
      <c r="O272" s="390">
        <v>126216</v>
      </c>
      <c r="P272" s="390">
        <v>0</v>
      </c>
      <c r="Q272" s="391">
        <v>1244</v>
      </c>
      <c r="R272" s="368"/>
      <c r="S272" s="390"/>
      <c r="T272" s="218">
        <f t="shared" si="25"/>
        <v>0</v>
      </c>
      <c r="U272" s="219">
        <f t="shared" si="26"/>
        <v>0</v>
      </c>
      <c r="V272" s="368"/>
      <c r="W272" s="390"/>
      <c r="X272" s="368"/>
      <c r="Y272" s="390"/>
      <c r="Z272" s="367"/>
      <c r="AA272" s="367"/>
      <c r="AB272" s="367"/>
      <c r="AC272" s="390"/>
      <c r="AD272" s="390"/>
      <c r="AE272" s="391"/>
      <c r="AF272" s="368"/>
      <c r="AG272" s="390"/>
      <c r="AH272" s="389"/>
    </row>
    <row r="273" spans="1:34">
      <c r="A273" s="581" t="s">
        <v>48</v>
      </c>
      <c r="B273" s="582" t="s">
        <v>613</v>
      </c>
      <c r="C273" s="572"/>
      <c r="D273" s="573">
        <v>198534</v>
      </c>
      <c r="E273" s="424">
        <v>8</v>
      </c>
      <c r="F273" s="217">
        <f t="shared" si="23"/>
        <v>263993</v>
      </c>
      <c r="G273" s="216">
        <f t="shared" si="24"/>
        <v>265881</v>
      </c>
      <c r="H273" s="368">
        <v>148714</v>
      </c>
      <c r="I273" s="390">
        <v>135704</v>
      </c>
      <c r="J273" s="368">
        <v>1325</v>
      </c>
      <c r="K273" s="390">
        <v>1652</v>
      </c>
      <c r="L273" s="367">
        <v>113516</v>
      </c>
      <c r="M273" s="367">
        <v>438</v>
      </c>
      <c r="N273" s="367">
        <v>0</v>
      </c>
      <c r="O273" s="390">
        <v>128163</v>
      </c>
      <c r="P273" s="390">
        <v>362</v>
      </c>
      <c r="Q273" s="391">
        <v>0</v>
      </c>
      <c r="R273" s="368"/>
      <c r="S273" s="390"/>
      <c r="T273" s="218">
        <f t="shared" si="25"/>
        <v>0</v>
      </c>
      <c r="U273" s="219">
        <f t="shared" si="26"/>
        <v>0</v>
      </c>
      <c r="V273" s="368"/>
      <c r="W273" s="390"/>
      <c r="X273" s="368"/>
      <c r="Y273" s="390"/>
      <c r="Z273" s="367"/>
      <c r="AA273" s="367"/>
      <c r="AB273" s="367"/>
      <c r="AC273" s="390"/>
      <c r="AD273" s="390"/>
      <c r="AE273" s="391"/>
      <c r="AF273" s="368"/>
      <c r="AG273" s="390"/>
      <c r="AH273" s="389"/>
    </row>
    <row r="274" spans="1:34">
      <c r="A274" s="581" t="s">
        <v>48</v>
      </c>
      <c r="B274" s="582" t="s">
        <v>614</v>
      </c>
      <c r="C274" s="572"/>
      <c r="D274" s="573">
        <v>198552</v>
      </c>
      <c r="E274" s="424">
        <v>8</v>
      </c>
      <c r="F274" s="217">
        <f t="shared" si="23"/>
        <v>221351</v>
      </c>
      <c r="G274" s="216">
        <f t="shared" si="24"/>
        <v>206275</v>
      </c>
      <c r="H274" s="368">
        <v>143968</v>
      </c>
      <c r="I274" s="390">
        <v>131779</v>
      </c>
      <c r="J274" s="368">
        <v>4879</v>
      </c>
      <c r="K274" s="390">
        <v>4348</v>
      </c>
      <c r="L274" s="367">
        <v>71628</v>
      </c>
      <c r="M274" s="367">
        <v>876</v>
      </c>
      <c r="N274" s="367">
        <v>0</v>
      </c>
      <c r="O274" s="390">
        <v>69715</v>
      </c>
      <c r="P274" s="390">
        <v>433</v>
      </c>
      <c r="Q274" s="391">
        <v>0</v>
      </c>
      <c r="R274" s="368"/>
      <c r="S274" s="390"/>
      <c r="T274" s="218">
        <f t="shared" si="25"/>
        <v>0</v>
      </c>
      <c r="U274" s="219">
        <f t="shared" si="26"/>
        <v>0</v>
      </c>
      <c r="V274" s="368"/>
      <c r="W274" s="390"/>
      <c r="X274" s="368"/>
      <c r="Y274" s="390"/>
      <c r="Z274" s="367"/>
      <c r="AA274" s="367"/>
      <c r="AB274" s="367"/>
      <c r="AC274" s="390"/>
      <c r="AD274" s="390"/>
      <c r="AE274" s="391"/>
      <c r="AF274" s="368"/>
      <c r="AG274" s="390"/>
      <c r="AH274" s="389"/>
    </row>
    <row r="275" spans="1:34">
      <c r="A275" s="581" t="s">
        <v>48</v>
      </c>
      <c r="B275" s="582" t="s">
        <v>615</v>
      </c>
      <c r="C275" s="572"/>
      <c r="D275" s="573">
        <v>198622</v>
      </c>
      <c r="E275" s="424">
        <v>8</v>
      </c>
      <c r="F275" s="217">
        <f t="shared" si="23"/>
        <v>337951</v>
      </c>
      <c r="G275" s="216">
        <f t="shared" si="24"/>
        <v>296472</v>
      </c>
      <c r="H275" s="368">
        <v>196793</v>
      </c>
      <c r="I275" s="390">
        <v>143665</v>
      </c>
      <c r="J275" s="368">
        <v>3132</v>
      </c>
      <c r="K275" s="390">
        <v>2966</v>
      </c>
      <c r="L275" s="367">
        <v>138026</v>
      </c>
      <c r="M275" s="367">
        <v>0</v>
      </c>
      <c r="N275" s="367">
        <v>0</v>
      </c>
      <c r="O275" s="390">
        <v>149841</v>
      </c>
      <c r="P275" s="390">
        <v>0</v>
      </c>
      <c r="Q275" s="391">
        <v>0</v>
      </c>
      <c r="R275" s="368"/>
      <c r="S275" s="390"/>
      <c r="T275" s="218">
        <f t="shared" si="25"/>
        <v>0</v>
      </c>
      <c r="U275" s="219">
        <f t="shared" si="26"/>
        <v>0</v>
      </c>
      <c r="V275" s="368"/>
      <c r="W275" s="390"/>
      <c r="X275" s="368"/>
      <c r="Y275" s="390"/>
      <c r="Z275" s="367"/>
      <c r="AA275" s="367"/>
      <c r="AB275" s="367"/>
      <c r="AC275" s="390"/>
      <c r="AD275" s="390"/>
      <c r="AE275" s="391"/>
      <c r="AF275" s="368"/>
      <c r="AG275" s="390"/>
      <c r="AH275" s="389"/>
    </row>
    <row r="276" spans="1:34">
      <c r="A276" s="581" t="s">
        <v>48</v>
      </c>
      <c r="B276" s="582" t="s">
        <v>616</v>
      </c>
      <c r="C276" s="572"/>
      <c r="D276" s="573">
        <v>199333</v>
      </c>
      <c r="E276" s="424">
        <v>8</v>
      </c>
      <c r="F276" s="217">
        <f t="shared" si="23"/>
        <v>208616</v>
      </c>
      <c r="G276" s="216">
        <f t="shared" si="24"/>
        <v>205873</v>
      </c>
      <c r="H276" s="368">
        <v>120760</v>
      </c>
      <c r="I276" s="390">
        <v>116807</v>
      </c>
      <c r="J276" s="368">
        <v>7086</v>
      </c>
      <c r="K276" s="390">
        <v>6957</v>
      </c>
      <c r="L276" s="367">
        <v>80770</v>
      </c>
      <c r="M276" s="367">
        <v>0</v>
      </c>
      <c r="N276" s="367">
        <v>0</v>
      </c>
      <c r="O276" s="514">
        <v>82109</v>
      </c>
      <c r="P276" s="390">
        <v>0</v>
      </c>
      <c r="Q276" s="391">
        <v>0</v>
      </c>
      <c r="R276" s="368"/>
      <c r="S276" s="390"/>
      <c r="T276" s="218">
        <f t="shared" si="25"/>
        <v>0</v>
      </c>
      <c r="U276" s="219">
        <f t="shared" si="26"/>
        <v>0</v>
      </c>
      <c r="V276" s="368"/>
      <c r="W276" s="390"/>
      <c r="X276" s="368"/>
      <c r="Y276" s="390"/>
      <c r="Z276" s="367"/>
      <c r="AA276" s="367"/>
      <c r="AB276" s="367"/>
      <c r="AC276" s="514"/>
      <c r="AD276" s="390"/>
      <c r="AE276" s="391"/>
      <c r="AF276" s="368"/>
      <c r="AG276" s="390"/>
      <c r="AH276" s="389"/>
    </row>
    <row r="277" spans="1:34">
      <c r="A277" s="426" t="s">
        <v>48</v>
      </c>
      <c r="B277" s="419" t="s">
        <v>617</v>
      </c>
      <c r="C277" s="574"/>
      <c r="D277" s="575">
        <v>199494</v>
      </c>
      <c r="E277" s="427">
        <v>8</v>
      </c>
      <c r="F277" s="217">
        <f t="shared" si="23"/>
        <v>149951</v>
      </c>
      <c r="G277" s="216">
        <f t="shared" si="24"/>
        <v>145591</v>
      </c>
      <c r="H277" s="368">
        <v>105356</v>
      </c>
      <c r="I277" s="515">
        <v>89827</v>
      </c>
      <c r="J277" s="368">
        <v>5537</v>
      </c>
      <c r="K277" s="515">
        <v>7661</v>
      </c>
      <c r="L277" s="367">
        <v>38938</v>
      </c>
      <c r="M277" s="367">
        <v>0</v>
      </c>
      <c r="N277" s="367">
        <v>120</v>
      </c>
      <c r="O277" s="515">
        <v>48103</v>
      </c>
      <c r="P277" s="390">
        <v>0</v>
      </c>
      <c r="Q277" s="391">
        <v>0</v>
      </c>
      <c r="R277" s="368"/>
      <c r="S277" s="515"/>
      <c r="T277" s="218">
        <f t="shared" si="25"/>
        <v>0</v>
      </c>
      <c r="U277" s="219">
        <f t="shared" si="26"/>
        <v>0</v>
      </c>
      <c r="V277" s="368"/>
      <c r="W277" s="515"/>
      <c r="X277" s="368"/>
      <c r="Y277" s="515"/>
      <c r="Z277" s="367"/>
      <c r="AA277" s="367"/>
      <c r="AB277" s="367"/>
      <c r="AC277" s="515"/>
      <c r="AD277" s="390"/>
      <c r="AE277" s="391"/>
      <c r="AF277" s="368"/>
      <c r="AG277" s="515"/>
      <c r="AH277" s="389"/>
    </row>
    <row r="278" spans="1:34">
      <c r="A278" s="581" t="s">
        <v>48</v>
      </c>
      <c r="B278" s="582" t="s">
        <v>618</v>
      </c>
      <c r="C278" s="572"/>
      <c r="D278" s="573">
        <v>199856</v>
      </c>
      <c r="E278" s="424">
        <v>8</v>
      </c>
      <c r="F278" s="217">
        <f t="shared" si="23"/>
        <v>430751</v>
      </c>
      <c r="G278" s="216">
        <f t="shared" si="24"/>
        <v>442208</v>
      </c>
      <c r="H278" s="368">
        <v>288059</v>
      </c>
      <c r="I278" s="516">
        <v>287770</v>
      </c>
      <c r="J278" s="368">
        <v>3733</v>
      </c>
      <c r="K278" s="516">
        <v>3823</v>
      </c>
      <c r="L278" s="367">
        <v>138959</v>
      </c>
      <c r="M278" s="367">
        <v>0</v>
      </c>
      <c r="N278" s="367">
        <v>0</v>
      </c>
      <c r="O278" s="516">
        <v>150615</v>
      </c>
      <c r="P278" s="390">
        <v>0</v>
      </c>
      <c r="Q278" s="391">
        <v>0</v>
      </c>
      <c r="R278" s="368"/>
      <c r="S278" s="516"/>
      <c r="T278" s="218">
        <f t="shared" si="25"/>
        <v>0</v>
      </c>
      <c r="U278" s="219">
        <f t="shared" si="26"/>
        <v>0</v>
      </c>
      <c r="V278" s="368"/>
      <c r="W278" s="516"/>
      <c r="X278" s="368"/>
      <c r="Y278" s="516"/>
      <c r="Z278" s="367"/>
      <c r="AA278" s="367"/>
      <c r="AB278" s="367"/>
      <c r="AC278" s="516"/>
      <c r="AD278" s="390"/>
      <c r="AE278" s="391"/>
      <c r="AF278" s="368"/>
      <c r="AG278" s="516"/>
      <c r="AH278" s="389"/>
    </row>
    <row r="279" spans="1:34">
      <c r="A279" s="581" t="s">
        <v>48</v>
      </c>
      <c r="B279" s="571" t="s">
        <v>619</v>
      </c>
      <c r="C279" s="576"/>
      <c r="D279" s="573">
        <v>199786</v>
      </c>
      <c r="E279" s="424">
        <v>9</v>
      </c>
      <c r="F279" s="217">
        <f t="shared" si="23"/>
        <v>97623</v>
      </c>
      <c r="G279" s="216">
        <f t="shared" si="24"/>
        <v>93521</v>
      </c>
      <c r="H279" s="368">
        <v>72267</v>
      </c>
      <c r="I279" s="516">
        <v>67930</v>
      </c>
      <c r="J279" s="368">
        <v>2136</v>
      </c>
      <c r="K279" s="516">
        <v>2852</v>
      </c>
      <c r="L279" s="367">
        <v>23220</v>
      </c>
      <c r="M279" s="367">
        <v>0</v>
      </c>
      <c r="N279" s="367">
        <v>0</v>
      </c>
      <c r="O279" s="516">
        <v>22739</v>
      </c>
      <c r="P279" s="390">
        <v>0</v>
      </c>
      <c r="Q279" s="391">
        <v>0</v>
      </c>
      <c r="R279" s="368"/>
      <c r="S279" s="516"/>
      <c r="T279" s="218">
        <f t="shared" si="25"/>
        <v>0</v>
      </c>
      <c r="U279" s="219">
        <f t="shared" si="26"/>
        <v>0</v>
      </c>
      <c r="V279" s="368"/>
      <c r="W279" s="516"/>
      <c r="X279" s="368"/>
      <c r="Y279" s="516"/>
      <c r="Z279" s="367"/>
      <c r="AA279" s="367"/>
      <c r="AB279" s="367"/>
      <c r="AC279" s="516"/>
      <c r="AD279" s="390"/>
      <c r="AE279" s="391"/>
      <c r="AF279" s="368"/>
      <c r="AG279" s="516"/>
      <c r="AH279" s="389"/>
    </row>
    <row r="280" spans="1:34">
      <c r="A280" s="581" t="s">
        <v>48</v>
      </c>
      <c r="B280" s="571" t="s">
        <v>620</v>
      </c>
      <c r="C280" s="576"/>
      <c r="D280" s="573">
        <v>198118</v>
      </c>
      <c r="E280" s="424">
        <v>9</v>
      </c>
      <c r="F280" s="217">
        <f t="shared" si="23"/>
        <v>96730</v>
      </c>
      <c r="G280" s="216">
        <f t="shared" si="24"/>
        <v>80258</v>
      </c>
      <c r="H280" s="368">
        <v>56111</v>
      </c>
      <c r="I280" s="390">
        <v>40339</v>
      </c>
      <c r="J280" s="368">
        <v>1402</v>
      </c>
      <c r="K280" s="390">
        <v>1616</v>
      </c>
      <c r="L280" s="367">
        <v>34388</v>
      </c>
      <c r="M280" s="367">
        <v>4829</v>
      </c>
      <c r="N280" s="367">
        <v>0</v>
      </c>
      <c r="O280" s="390">
        <v>33957</v>
      </c>
      <c r="P280" s="390">
        <v>4346</v>
      </c>
      <c r="Q280" s="391">
        <v>0</v>
      </c>
      <c r="R280" s="368"/>
      <c r="S280" s="390"/>
      <c r="T280" s="218">
        <f t="shared" si="25"/>
        <v>0</v>
      </c>
      <c r="U280" s="219">
        <f t="shared" si="26"/>
        <v>0</v>
      </c>
      <c r="V280" s="368"/>
      <c r="W280" s="390"/>
      <c r="X280" s="368"/>
      <c r="Y280" s="390"/>
      <c r="Z280" s="367"/>
      <c r="AA280" s="367"/>
      <c r="AB280" s="367"/>
      <c r="AC280" s="390"/>
      <c r="AD280" s="390"/>
      <c r="AE280" s="391"/>
      <c r="AF280" s="368"/>
      <c r="AG280" s="390"/>
      <c r="AH280" s="389"/>
    </row>
    <row r="281" spans="1:34">
      <c r="A281" s="581" t="s">
        <v>48</v>
      </c>
      <c r="B281" s="571" t="s">
        <v>621</v>
      </c>
      <c r="C281" s="576"/>
      <c r="D281" s="577">
        <v>198233</v>
      </c>
      <c r="E281" s="413">
        <v>9</v>
      </c>
      <c r="F281" s="217">
        <f t="shared" si="23"/>
        <v>101055</v>
      </c>
      <c r="G281" s="216">
        <f t="shared" si="24"/>
        <v>93831</v>
      </c>
      <c r="H281" s="368">
        <v>58942</v>
      </c>
      <c r="I281" s="517">
        <v>53081</v>
      </c>
      <c r="J281" s="368">
        <v>2156</v>
      </c>
      <c r="K281" s="517">
        <v>2003</v>
      </c>
      <c r="L281" s="367">
        <v>39957</v>
      </c>
      <c r="M281" s="367">
        <v>0</v>
      </c>
      <c r="N281" s="367">
        <v>0</v>
      </c>
      <c r="O281" s="517">
        <v>38747</v>
      </c>
      <c r="P281" s="390">
        <v>0</v>
      </c>
      <c r="Q281" s="391">
        <v>0</v>
      </c>
      <c r="R281" s="368"/>
      <c r="S281" s="517"/>
      <c r="T281" s="218">
        <f t="shared" si="25"/>
        <v>0</v>
      </c>
      <c r="U281" s="219">
        <f t="shared" si="26"/>
        <v>0</v>
      </c>
      <c r="V281" s="368"/>
      <c r="W281" s="517"/>
      <c r="X281" s="368"/>
      <c r="Y281" s="517"/>
      <c r="Z281" s="367"/>
      <c r="AA281" s="367"/>
      <c r="AB281" s="367"/>
      <c r="AC281" s="517"/>
      <c r="AD281" s="390"/>
      <c r="AE281" s="391"/>
      <c r="AF281" s="368"/>
      <c r="AG281" s="517"/>
      <c r="AH281" s="389"/>
    </row>
    <row r="282" spans="1:34">
      <c r="A282" s="581" t="s">
        <v>48</v>
      </c>
      <c r="B282" s="571" t="s">
        <v>622</v>
      </c>
      <c r="C282" s="576"/>
      <c r="D282" s="577">
        <v>198251</v>
      </c>
      <c r="E282" s="413">
        <v>9</v>
      </c>
      <c r="F282" s="217">
        <f t="shared" si="23"/>
        <v>97375</v>
      </c>
      <c r="G282" s="216">
        <f t="shared" si="24"/>
        <v>100151</v>
      </c>
      <c r="H282" s="368">
        <v>59722</v>
      </c>
      <c r="I282" s="390">
        <v>59583</v>
      </c>
      <c r="J282" s="368">
        <v>2558</v>
      </c>
      <c r="K282" s="390">
        <v>3644</v>
      </c>
      <c r="L282" s="367">
        <v>35089</v>
      </c>
      <c r="M282" s="367">
        <v>0</v>
      </c>
      <c r="N282" s="367">
        <v>6</v>
      </c>
      <c r="O282" s="390">
        <v>36924</v>
      </c>
      <c r="P282" s="390">
        <v>0</v>
      </c>
      <c r="Q282" s="391">
        <v>0</v>
      </c>
      <c r="R282" s="368"/>
      <c r="S282" s="390"/>
      <c r="T282" s="218">
        <f t="shared" si="25"/>
        <v>0</v>
      </c>
      <c r="U282" s="219">
        <f t="shared" si="26"/>
        <v>0</v>
      </c>
      <c r="V282" s="368"/>
      <c r="W282" s="390"/>
      <c r="X282" s="368"/>
      <c r="Y282" s="390"/>
      <c r="Z282" s="367"/>
      <c r="AA282" s="367"/>
      <c r="AB282" s="367"/>
      <c r="AC282" s="390"/>
      <c r="AD282" s="390"/>
      <c r="AE282" s="391"/>
      <c r="AF282" s="368"/>
      <c r="AG282" s="390"/>
      <c r="AH282" s="389"/>
    </row>
    <row r="283" spans="1:34">
      <c r="A283" s="581" t="s">
        <v>48</v>
      </c>
      <c r="B283" s="571" t="s">
        <v>623</v>
      </c>
      <c r="C283" s="576"/>
      <c r="D283" s="573">
        <v>198321</v>
      </c>
      <c r="E283" s="424">
        <v>9</v>
      </c>
      <c r="F283" s="217">
        <f t="shared" si="23"/>
        <v>70863</v>
      </c>
      <c r="G283" s="216">
        <f t="shared" si="24"/>
        <v>65114</v>
      </c>
      <c r="H283" s="368">
        <v>40057</v>
      </c>
      <c r="I283" s="390">
        <v>34606</v>
      </c>
      <c r="J283" s="368">
        <v>1716</v>
      </c>
      <c r="K283" s="390">
        <v>1445</v>
      </c>
      <c r="L283" s="367">
        <v>28829</v>
      </c>
      <c r="M283" s="367">
        <v>261</v>
      </c>
      <c r="N283" s="367">
        <v>0</v>
      </c>
      <c r="O283" s="390">
        <v>28749</v>
      </c>
      <c r="P283" s="390">
        <v>51</v>
      </c>
      <c r="Q283" s="391">
        <v>263</v>
      </c>
      <c r="R283" s="368"/>
      <c r="S283" s="390"/>
      <c r="T283" s="218">
        <f t="shared" si="25"/>
        <v>0</v>
      </c>
      <c r="U283" s="219">
        <f t="shared" si="26"/>
        <v>0</v>
      </c>
      <c r="V283" s="368"/>
      <c r="W283" s="390"/>
      <c r="X283" s="368"/>
      <c r="Y283" s="390"/>
      <c r="Z283" s="367"/>
      <c r="AA283" s="367"/>
      <c r="AB283" s="367"/>
      <c r="AC283" s="390"/>
      <c r="AD283" s="390"/>
      <c r="AE283" s="391"/>
      <c r="AF283" s="368"/>
      <c r="AG283" s="390"/>
      <c r="AH283" s="389"/>
    </row>
    <row r="284" spans="1:34">
      <c r="A284" s="581" t="s">
        <v>48</v>
      </c>
      <c r="B284" s="423" t="s">
        <v>624</v>
      </c>
      <c r="C284" s="578"/>
      <c r="D284" s="573">
        <v>198330</v>
      </c>
      <c r="E284" s="424">
        <v>9</v>
      </c>
      <c r="F284" s="217">
        <f t="shared" si="23"/>
        <v>112597</v>
      </c>
      <c r="G284" s="216">
        <f t="shared" si="24"/>
        <v>106577</v>
      </c>
      <c r="H284" s="368">
        <v>84130</v>
      </c>
      <c r="I284" s="390">
        <v>78209</v>
      </c>
      <c r="J284" s="368">
        <v>947</v>
      </c>
      <c r="K284" s="390">
        <v>815</v>
      </c>
      <c r="L284" s="367">
        <v>27520</v>
      </c>
      <c r="M284" s="367">
        <v>0</v>
      </c>
      <c r="N284" s="367">
        <v>0</v>
      </c>
      <c r="O284" s="390">
        <v>27553</v>
      </c>
      <c r="P284" s="390">
        <v>0</v>
      </c>
      <c r="Q284" s="391">
        <v>0</v>
      </c>
      <c r="R284" s="368"/>
      <c r="S284" s="390"/>
      <c r="T284" s="218">
        <f t="shared" si="25"/>
        <v>0</v>
      </c>
      <c r="U284" s="219">
        <f t="shared" si="26"/>
        <v>0</v>
      </c>
      <c r="V284" s="368"/>
      <c r="W284" s="390"/>
      <c r="X284" s="368"/>
      <c r="Y284" s="390"/>
      <c r="Z284" s="367"/>
      <c r="AA284" s="367"/>
      <c r="AB284" s="367"/>
      <c r="AC284" s="390"/>
      <c r="AD284" s="390"/>
      <c r="AE284" s="391"/>
      <c r="AF284" s="368"/>
      <c r="AG284" s="390"/>
      <c r="AH284" s="389"/>
    </row>
    <row r="285" spans="1:34">
      <c r="A285" s="581" t="s">
        <v>48</v>
      </c>
      <c r="B285" s="582" t="s">
        <v>625</v>
      </c>
      <c r="C285" s="572"/>
      <c r="D285" s="573">
        <v>198367</v>
      </c>
      <c r="E285" s="424">
        <v>9</v>
      </c>
      <c r="F285" s="217">
        <f t="shared" si="23"/>
        <v>69432</v>
      </c>
      <c r="G285" s="216">
        <f t="shared" si="24"/>
        <v>71247</v>
      </c>
      <c r="H285" s="368">
        <v>36226</v>
      </c>
      <c r="I285" s="390">
        <v>37291</v>
      </c>
      <c r="J285" s="368">
        <v>623</v>
      </c>
      <c r="K285" s="390">
        <v>594</v>
      </c>
      <c r="L285" s="367">
        <v>32583</v>
      </c>
      <c r="M285" s="367">
        <v>0</v>
      </c>
      <c r="N285" s="367">
        <v>0</v>
      </c>
      <c r="O285" s="390">
        <v>33362</v>
      </c>
      <c r="P285" s="390">
        <v>0</v>
      </c>
      <c r="Q285" s="391">
        <v>0</v>
      </c>
      <c r="R285" s="368"/>
      <c r="S285" s="390"/>
      <c r="T285" s="218">
        <f t="shared" si="25"/>
        <v>0</v>
      </c>
      <c r="U285" s="219">
        <f t="shared" si="26"/>
        <v>0</v>
      </c>
      <c r="V285" s="368"/>
      <c r="W285" s="390"/>
      <c r="X285" s="368"/>
      <c r="Y285" s="390"/>
      <c r="Z285" s="367"/>
      <c r="AA285" s="367"/>
      <c r="AB285" s="367"/>
      <c r="AC285" s="390"/>
      <c r="AD285" s="390"/>
      <c r="AE285" s="391"/>
      <c r="AF285" s="368"/>
      <c r="AG285" s="390"/>
      <c r="AH285" s="389"/>
    </row>
    <row r="286" spans="1:34">
      <c r="A286" s="581" t="s">
        <v>48</v>
      </c>
      <c r="B286" s="582" t="s">
        <v>626</v>
      </c>
      <c r="C286" s="572"/>
      <c r="D286" s="573">
        <v>198376</v>
      </c>
      <c r="E286" s="424">
        <v>9</v>
      </c>
      <c r="F286" s="217">
        <f t="shared" si="23"/>
        <v>87203</v>
      </c>
      <c r="G286" s="216">
        <f t="shared" si="24"/>
        <v>84342</v>
      </c>
      <c r="H286" s="368">
        <v>38222</v>
      </c>
      <c r="I286" s="390">
        <v>41018</v>
      </c>
      <c r="J286" s="368">
        <v>6</v>
      </c>
      <c r="K286" s="390">
        <v>6</v>
      </c>
      <c r="L286" s="367">
        <v>48131</v>
      </c>
      <c r="M286" s="367">
        <v>468</v>
      </c>
      <c r="N286" s="367">
        <v>376</v>
      </c>
      <c r="O286" s="390">
        <v>41392</v>
      </c>
      <c r="P286" s="390">
        <v>1926</v>
      </c>
      <c r="Q286" s="391">
        <v>0</v>
      </c>
      <c r="R286" s="368"/>
      <c r="S286" s="390"/>
      <c r="T286" s="218">
        <f t="shared" si="25"/>
        <v>0</v>
      </c>
      <c r="U286" s="219">
        <f t="shared" si="26"/>
        <v>0</v>
      </c>
      <c r="V286" s="368"/>
      <c r="W286" s="390"/>
      <c r="X286" s="368"/>
      <c r="Y286" s="390"/>
      <c r="Z286" s="367"/>
      <c r="AA286" s="367"/>
      <c r="AB286" s="367"/>
      <c r="AC286" s="390"/>
      <c r="AD286" s="390"/>
      <c r="AE286" s="391"/>
      <c r="AF286" s="368"/>
      <c r="AG286" s="390"/>
      <c r="AH286" s="389"/>
    </row>
    <row r="287" spans="1:34">
      <c r="A287" s="426" t="s">
        <v>48</v>
      </c>
      <c r="B287" s="571" t="s">
        <v>627</v>
      </c>
      <c r="C287" s="576"/>
      <c r="D287" s="575">
        <v>198455</v>
      </c>
      <c r="E287" s="413">
        <v>9</v>
      </c>
      <c r="F287" s="217">
        <f t="shared" si="23"/>
        <v>106278</v>
      </c>
      <c r="G287" s="216">
        <f t="shared" si="24"/>
        <v>106443</v>
      </c>
      <c r="H287" s="368">
        <v>81116</v>
      </c>
      <c r="I287" s="390">
        <v>77719</v>
      </c>
      <c r="J287" s="368">
        <v>1153</v>
      </c>
      <c r="K287" s="390">
        <v>1249</v>
      </c>
      <c r="L287" s="367">
        <v>24009</v>
      </c>
      <c r="M287" s="367">
        <v>0</v>
      </c>
      <c r="N287" s="367">
        <v>0</v>
      </c>
      <c r="O287" s="390">
        <v>27475</v>
      </c>
      <c r="P287" s="390">
        <v>0</v>
      </c>
      <c r="Q287" s="391">
        <v>0</v>
      </c>
      <c r="R287" s="368"/>
      <c r="S287" s="390"/>
      <c r="T287" s="218">
        <f t="shared" si="25"/>
        <v>0</v>
      </c>
      <c r="U287" s="219">
        <f t="shared" si="26"/>
        <v>0</v>
      </c>
      <c r="V287" s="368"/>
      <c r="W287" s="390"/>
      <c r="X287" s="368"/>
      <c r="Y287" s="390"/>
      <c r="Z287" s="367"/>
      <c r="AA287" s="367"/>
      <c r="AB287" s="367"/>
      <c r="AC287" s="390"/>
      <c r="AD287" s="390"/>
      <c r="AE287" s="391"/>
      <c r="AF287" s="368"/>
      <c r="AG287" s="390"/>
      <c r="AH287" s="389"/>
    </row>
    <row r="288" spans="1:34">
      <c r="A288" s="581" t="s">
        <v>48</v>
      </c>
      <c r="B288" s="582" t="s">
        <v>628</v>
      </c>
      <c r="C288" s="572"/>
      <c r="D288" s="573">
        <v>198491</v>
      </c>
      <c r="E288" s="424">
        <v>9</v>
      </c>
      <c r="F288" s="217">
        <f t="shared" si="23"/>
        <v>66972</v>
      </c>
      <c r="G288" s="216">
        <f t="shared" si="24"/>
        <v>63634</v>
      </c>
      <c r="H288" s="368">
        <v>38590</v>
      </c>
      <c r="I288" s="390">
        <v>37131</v>
      </c>
      <c r="J288" s="368">
        <v>1535</v>
      </c>
      <c r="K288" s="390">
        <v>1421</v>
      </c>
      <c r="L288" s="367">
        <v>26847</v>
      </c>
      <c r="M288" s="367">
        <v>0</v>
      </c>
      <c r="N288" s="367">
        <v>0</v>
      </c>
      <c r="O288" s="390">
        <v>25082</v>
      </c>
      <c r="P288" s="390">
        <v>0</v>
      </c>
      <c r="Q288" s="391">
        <v>0</v>
      </c>
      <c r="R288" s="368"/>
      <c r="S288" s="390"/>
      <c r="T288" s="218">
        <f t="shared" si="25"/>
        <v>0</v>
      </c>
      <c r="U288" s="219">
        <f t="shared" si="26"/>
        <v>0</v>
      </c>
      <c r="V288" s="368"/>
      <c r="W288" s="390"/>
      <c r="X288" s="368"/>
      <c r="Y288" s="390"/>
      <c r="Z288" s="367"/>
      <c r="AA288" s="367"/>
      <c r="AB288" s="367"/>
      <c r="AC288" s="390"/>
      <c r="AD288" s="390"/>
      <c r="AE288" s="391"/>
      <c r="AF288" s="368"/>
      <c r="AG288" s="390"/>
      <c r="AH288" s="389"/>
    </row>
    <row r="289" spans="1:34">
      <c r="A289" s="581" t="s">
        <v>48</v>
      </c>
      <c r="B289" s="571" t="s">
        <v>629</v>
      </c>
      <c r="C289" s="579"/>
      <c r="D289" s="577">
        <v>198570</v>
      </c>
      <c r="E289" s="432">
        <v>9</v>
      </c>
      <c r="F289" s="217">
        <f t="shared" si="23"/>
        <v>130397</v>
      </c>
      <c r="G289" s="216">
        <f t="shared" si="24"/>
        <v>124956</v>
      </c>
      <c r="H289" s="368">
        <v>82196</v>
      </c>
      <c r="I289" s="390">
        <v>72866</v>
      </c>
      <c r="J289" s="368">
        <v>525</v>
      </c>
      <c r="K289" s="390">
        <v>392</v>
      </c>
      <c r="L289" s="367">
        <v>46893</v>
      </c>
      <c r="M289" s="367">
        <v>783</v>
      </c>
      <c r="N289" s="367">
        <v>0</v>
      </c>
      <c r="O289" s="390">
        <v>50921</v>
      </c>
      <c r="P289" s="390">
        <v>777</v>
      </c>
      <c r="Q289" s="391">
        <v>0</v>
      </c>
      <c r="R289" s="368"/>
      <c r="S289" s="390"/>
      <c r="T289" s="218">
        <f t="shared" si="25"/>
        <v>0</v>
      </c>
      <c r="U289" s="219">
        <f t="shared" si="26"/>
        <v>0</v>
      </c>
      <c r="V289" s="368"/>
      <c r="W289" s="390"/>
      <c r="X289" s="368"/>
      <c r="Y289" s="390"/>
      <c r="Z289" s="367"/>
      <c r="AA289" s="367"/>
      <c r="AB289" s="367"/>
      <c r="AC289" s="390"/>
      <c r="AD289" s="390"/>
      <c r="AE289" s="391"/>
      <c r="AF289" s="368"/>
      <c r="AG289" s="390"/>
      <c r="AH289" s="389"/>
    </row>
    <row r="290" spans="1:34">
      <c r="A290" s="581" t="s">
        <v>48</v>
      </c>
      <c r="B290" s="582" t="s">
        <v>630</v>
      </c>
      <c r="C290" s="583" t="s">
        <v>465</v>
      </c>
      <c r="D290" s="573">
        <v>198710</v>
      </c>
      <c r="E290" s="580">
        <v>10</v>
      </c>
      <c r="F290" s="217">
        <f t="shared" si="23"/>
        <v>55782</v>
      </c>
      <c r="G290" s="216">
        <f t="shared" si="24"/>
        <v>47983</v>
      </c>
      <c r="H290" s="368">
        <v>38526</v>
      </c>
      <c r="I290" s="390">
        <v>28914</v>
      </c>
      <c r="J290" s="368">
        <v>2645</v>
      </c>
      <c r="K290" s="390">
        <v>3809</v>
      </c>
      <c r="L290" s="367">
        <v>14557</v>
      </c>
      <c r="M290" s="367">
        <v>0</v>
      </c>
      <c r="N290" s="367">
        <v>54</v>
      </c>
      <c r="O290" s="390">
        <v>15260</v>
      </c>
      <c r="P290" s="390">
        <v>0</v>
      </c>
      <c r="Q290" s="391">
        <v>0</v>
      </c>
      <c r="R290" s="368"/>
      <c r="S290" s="390"/>
      <c r="T290" s="218">
        <f t="shared" si="25"/>
        <v>0</v>
      </c>
      <c r="U290" s="219">
        <f t="shared" si="26"/>
        <v>0</v>
      </c>
      <c r="V290" s="368"/>
      <c r="W290" s="390"/>
      <c r="X290" s="368"/>
      <c r="Y290" s="390"/>
      <c r="Z290" s="367"/>
      <c r="AA290" s="367"/>
      <c r="AB290" s="367"/>
      <c r="AC290" s="390"/>
      <c r="AD290" s="390"/>
      <c r="AE290" s="391"/>
      <c r="AF290" s="368"/>
      <c r="AG290" s="390"/>
      <c r="AH290" s="389"/>
    </row>
    <row r="291" spans="1:34">
      <c r="A291" s="581" t="s">
        <v>48</v>
      </c>
      <c r="B291" s="582" t="s">
        <v>631</v>
      </c>
      <c r="C291" s="572"/>
      <c r="D291" s="573">
        <v>198774</v>
      </c>
      <c r="E291" s="424">
        <v>9</v>
      </c>
      <c r="F291" s="217">
        <f t="shared" si="23"/>
        <v>88016</v>
      </c>
      <c r="G291" s="216">
        <f t="shared" si="24"/>
        <v>89439</v>
      </c>
      <c r="H291" s="368">
        <v>54043</v>
      </c>
      <c r="I291" s="390">
        <v>51738</v>
      </c>
      <c r="J291" s="368">
        <v>1842</v>
      </c>
      <c r="K291" s="390">
        <v>1897</v>
      </c>
      <c r="L291" s="367">
        <v>31942</v>
      </c>
      <c r="M291" s="367">
        <v>189</v>
      </c>
      <c r="N291" s="367">
        <v>0</v>
      </c>
      <c r="O291" s="390">
        <v>35040</v>
      </c>
      <c r="P291" s="390">
        <v>764</v>
      </c>
      <c r="Q291" s="391">
        <v>0</v>
      </c>
      <c r="R291" s="368"/>
      <c r="S291" s="390"/>
      <c r="T291" s="218">
        <f t="shared" si="25"/>
        <v>0</v>
      </c>
      <c r="U291" s="219">
        <f t="shared" si="26"/>
        <v>0</v>
      </c>
      <c r="V291" s="368"/>
      <c r="W291" s="390"/>
      <c r="X291" s="368"/>
      <c r="Y291" s="390"/>
      <c r="Z291" s="367"/>
      <c r="AA291" s="367"/>
      <c r="AB291" s="367"/>
      <c r="AC291" s="390"/>
      <c r="AD291" s="390"/>
      <c r="AE291" s="391"/>
      <c r="AF291" s="368"/>
      <c r="AG291" s="390"/>
      <c r="AH291" s="389"/>
    </row>
    <row r="292" spans="1:34">
      <c r="A292" s="581" t="s">
        <v>48</v>
      </c>
      <c r="B292" s="582" t="s">
        <v>632</v>
      </c>
      <c r="C292" s="572"/>
      <c r="D292" s="573">
        <v>198817</v>
      </c>
      <c r="E292" s="424">
        <v>9</v>
      </c>
      <c r="F292" s="217">
        <f t="shared" si="23"/>
        <v>65063</v>
      </c>
      <c r="G292" s="216">
        <f t="shared" si="24"/>
        <v>64359</v>
      </c>
      <c r="H292" s="368">
        <v>34207</v>
      </c>
      <c r="I292" s="390">
        <v>31959</v>
      </c>
      <c r="J292" s="368">
        <v>987</v>
      </c>
      <c r="K292" s="390">
        <v>790</v>
      </c>
      <c r="L292" s="367">
        <v>29749</v>
      </c>
      <c r="M292" s="367">
        <v>120</v>
      </c>
      <c r="N292" s="367">
        <v>0</v>
      </c>
      <c r="O292" s="390">
        <v>31175</v>
      </c>
      <c r="P292" s="390">
        <v>435</v>
      </c>
      <c r="Q292" s="391">
        <v>0</v>
      </c>
      <c r="R292" s="368"/>
      <c r="S292" s="390"/>
      <c r="T292" s="218">
        <f t="shared" si="25"/>
        <v>0</v>
      </c>
      <c r="U292" s="219">
        <f t="shared" si="26"/>
        <v>0</v>
      </c>
      <c r="V292" s="368"/>
      <c r="W292" s="390"/>
      <c r="X292" s="368"/>
      <c r="Y292" s="390"/>
      <c r="Z292" s="367"/>
      <c r="AA292" s="367"/>
      <c r="AB292" s="367"/>
      <c r="AC292" s="390"/>
      <c r="AD292" s="390"/>
      <c r="AE292" s="391"/>
      <c r="AF292" s="368"/>
      <c r="AG292" s="390"/>
      <c r="AH292" s="389"/>
    </row>
    <row r="293" spans="1:34">
      <c r="A293" s="581" t="s">
        <v>48</v>
      </c>
      <c r="B293" s="582" t="s">
        <v>633</v>
      </c>
      <c r="C293" s="572"/>
      <c r="D293" s="573">
        <v>198987</v>
      </c>
      <c r="E293" s="424">
        <v>9</v>
      </c>
      <c r="F293" s="217">
        <f t="shared" si="23"/>
        <v>72641</v>
      </c>
      <c r="G293" s="216">
        <f t="shared" si="24"/>
        <v>68343</v>
      </c>
      <c r="H293" s="368">
        <v>35715</v>
      </c>
      <c r="I293" s="390">
        <v>33234</v>
      </c>
      <c r="J293" s="368">
        <v>1791</v>
      </c>
      <c r="K293" s="390">
        <v>1552</v>
      </c>
      <c r="L293" s="367">
        <v>35135</v>
      </c>
      <c r="M293" s="367">
        <v>0</v>
      </c>
      <c r="N293" s="367">
        <v>0</v>
      </c>
      <c r="O293" s="390">
        <v>33557</v>
      </c>
      <c r="P293" s="390">
        <v>0</v>
      </c>
      <c r="Q293" s="391">
        <v>0</v>
      </c>
      <c r="R293" s="368"/>
      <c r="S293" s="390"/>
      <c r="T293" s="218">
        <f t="shared" si="25"/>
        <v>0</v>
      </c>
      <c r="U293" s="219">
        <f t="shared" si="26"/>
        <v>0</v>
      </c>
      <c r="V293" s="368"/>
      <c r="W293" s="390"/>
      <c r="X293" s="368"/>
      <c r="Y293" s="390"/>
      <c r="Z293" s="367"/>
      <c r="AA293" s="367"/>
      <c r="AB293" s="367"/>
      <c r="AC293" s="390"/>
      <c r="AD293" s="390"/>
      <c r="AE293" s="391"/>
      <c r="AF293" s="368"/>
      <c r="AG293" s="390"/>
      <c r="AH293" s="389"/>
    </row>
    <row r="294" spans="1:34">
      <c r="A294" s="581" t="s">
        <v>48</v>
      </c>
      <c r="B294" s="582" t="s">
        <v>634</v>
      </c>
      <c r="C294" s="572"/>
      <c r="D294" s="573">
        <v>199087</v>
      </c>
      <c r="E294" s="424">
        <v>9</v>
      </c>
      <c r="F294" s="217">
        <f t="shared" si="23"/>
        <v>68509</v>
      </c>
      <c r="G294" s="216">
        <f t="shared" si="24"/>
        <v>69991</v>
      </c>
      <c r="H294" s="368">
        <v>45900</v>
      </c>
      <c r="I294" s="390">
        <v>44674</v>
      </c>
      <c r="J294" s="368">
        <v>1777</v>
      </c>
      <c r="K294" s="390">
        <v>1792</v>
      </c>
      <c r="L294" s="367">
        <v>20718</v>
      </c>
      <c r="M294" s="367">
        <v>114</v>
      </c>
      <c r="N294" s="367">
        <v>0</v>
      </c>
      <c r="O294" s="390">
        <v>23356</v>
      </c>
      <c r="P294" s="390">
        <v>169</v>
      </c>
      <c r="Q294" s="391">
        <v>0</v>
      </c>
      <c r="R294" s="368"/>
      <c r="S294" s="390"/>
      <c r="T294" s="218">
        <f t="shared" si="25"/>
        <v>0</v>
      </c>
      <c r="U294" s="219">
        <f t="shared" si="26"/>
        <v>0</v>
      </c>
      <c r="V294" s="368"/>
      <c r="W294" s="390"/>
      <c r="X294" s="368"/>
      <c r="Y294" s="390"/>
      <c r="Z294" s="367"/>
      <c r="AA294" s="367"/>
      <c r="AB294" s="367"/>
      <c r="AC294" s="390"/>
      <c r="AD294" s="390"/>
      <c r="AE294" s="391"/>
      <c r="AF294" s="368"/>
      <c r="AG294" s="390"/>
      <c r="AH294" s="389"/>
    </row>
    <row r="295" spans="1:34">
      <c r="A295" s="581" t="s">
        <v>48</v>
      </c>
      <c r="B295" s="582" t="s">
        <v>635</v>
      </c>
      <c r="C295" s="572"/>
      <c r="D295" s="573">
        <v>199421</v>
      </c>
      <c r="E295" s="424">
        <v>9</v>
      </c>
      <c r="F295" s="217">
        <f t="shared" si="23"/>
        <v>62891</v>
      </c>
      <c r="G295" s="216">
        <f t="shared" si="24"/>
        <v>64161</v>
      </c>
      <c r="H295" s="368">
        <v>38365</v>
      </c>
      <c r="I295" s="390">
        <v>37449</v>
      </c>
      <c r="J295" s="368">
        <v>1775</v>
      </c>
      <c r="K295" s="390">
        <v>1896</v>
      </c>
      <c r="L295" s="367">
        <v>22481</v>
      </c>
      <c r="M295" s="367">
        <v>207</v>
      </c>
      <c r="N295" s="367">
        <v>63</v>
      </c>
      <c r="O295" s="390">
        <v>24687</v>
      </c>
      <c r="P295" s="390">
        <v>129</v>
      </c>
      <c r="Q295" s="391">
        <v>0</v>
      </c>
      <c r="R295" s="368"/>
      <c r="S295" s="390"/>
      <c r="T295" s="218">
        <f t="shared" si="25"/>
        <v>0</v>
      </c>
      <c r="U295" s="219">
        <f t="shared" si="26"/>
        <v>0</v>
      </c>
      <c r="V295" s="368"/>
      <c r="W295" s="390"/>
      <c r="X295" s="368"/>
      <c r="Y295" s="390"/>
      <c r="Z295" s="367"/>
      <c r="AA295" s="367"/>
      <c r="AB295" s="367"/>
      <c r="AC295" s="390"/>
      <c r="AD295" s="390"/>
      <c r="AE295" s="391"/>
      <c r="AF295" s="368"/>
      <c r="AG295" s="390"/>
      <c r="AH295" s="389"/>
    </row>
    <row r="296" spans="1:34">
      <c r="A296" s="581" t="s">
        <v>48</v>
      </c>
      <c r="B296" s="582" t="s">
        <v>636</v>
      </c>
      <c r="C296" s="572"/>
      <c r="D296" s="573">
        <v>199476</v>
      </c>
      <c r="E296" s="424">
        <v>9</v>
      </c>
      <c r="F296" s="217">
        <f t="shared" si="23"/>
        <v>63548</v>
      </c>
      <c r="G296" s="216">
        <f t="shared" si="24"/>
        <v>46144</v>
      </c>
      <c r="H296" s="368">
        <v>36418</v>
      </c>
      <c r="I296" s="390">
        <v>24092</v>
      </c>
      <c r="J296" s="368">
        <v>471</v>
      </c>
      <c r="K296" s="390">
        <v>399</v>
      </c>
      <c r="L296" s="367">
        <v>26659</v>
      </c>
      <c r="M296" s="367">
        <v>0</v>
      </c>
      <c r="N296" s="367">
        <v>0</v>
      </c>
      <c r="O296" s="390">
        <v>21653</v>
      </c>
      <c r="P296" s="390">
        <v>0</v>
      </c>
      <c r="Q296" s="391">
        <v>0</v>
      </c>
      <c r="R296" s="368"/>
      <c r="S296" s="390"/>
      <c r="T296" s="218">
        <f t="shared" si="25"/>
        <v>0</v>
      </c>
      <c r="U296" s="219">
        <f t="shared" si="26"/>
        <v>0</v>
      </c>
      <c r="V296" s="368"/>
      <c r="W296" s="390"/>
      <c r="X296" s="368"/>
      <c r="Y296" s="390"/>
      <c r="Z296" s="367"/>
      <c r="AA296" s="367"/>
      <c r="AB296" s="367"/>
      <c r="AC296" s="390"/>
      <c r="AD296" s="390"/>
      <c r="AE296" s="391"/>
      <c r="AF296" s="368"/>
      <c r="AG296" s="390"/>
      <c r="AH296" s="389"/>
    </row>
    <row r="297" spans="1:34">
      <c r="A297" s="581" t="s">
        <v>48</v>
      </c>
      <c r="B297" s="582" t="s">
        <v>637</v>
      </c>
      <c r="C297" s="572"/>
      <c r="D297" s="573">
        <v>199634</v>
      </c>
      <c r="E297" s="424">
        <v>9</v>
      </c>
      <c r="F297" s="217">
        <f t="shared" si="23"/>
        <v>88889</v>
      </c>
      <c r="G297" s="216">
        <f t="shared" si="24"/>
        <v>87471</v>
      </c>
      <c r="H297" s="368">
        <v>54488</v>
      </c>
      <c r="I297" s="390">
        <v>51311</v>
      </c>
      <c r="J297" s="368">
        <v>1862</v>
      </c>
      <c r="K297" s="390">
        <v>1782</v>
      </c>
      <c r="L297" s="367">
        <v>32539</v>
      </c>
      <c r="M297" s="367">
        <v>0</v>
      </c>
      <c r="N297" s="367">
        <v>0</v>
      </c>
      <c r="O297" s="390">
        <v>34378</v>
      </c>
      <c r="P297" s="390">
        <v>0</v>
      </c>
      <c r="Q297" s="391">
        <v>0</v>
      </c>
      <c r="R297" s="368"/>
      <c r="S297" s="390"/>
      <c r="T297" s="218">
        <f t="shared" si="25"/>
        <v>0</v>
      </c>
      <c r="U297" s="219">
        <f t="shared" si="26"/>
        <v>0</v>
      </c>
      <c r="V297" s="368"/>
      <c r="W297" s="390"/>
      <c r="X297" s="368"/>
      <c r="Y297" s="390"/>
      <c r="Z297" s="367"/>
      <c r="AA297" s="367"/>
      <c r="AB297" s="367"/>
      <c r="AC297" s="390"/>
      <c r="AD297" s="390"/>
      <c r="AE297" s="391"/>
      <c r="AF297" s="368"/>
      <c r="AG297" s="390"/>
      <c r="AH297" s="389"/>
    </row>
    <row r="298" spans="1:34">
      <c r="A298" s="581" t="s">
        <v>48</v>
      </c>
      <c r="B298" s="582" t="s">
        <v>638</v>
      </c>
      <c r="C298" s="572"/>
      <c r="D298" s="573">
        <v>199740</v>
      </c>
      <c r="E298" s="424">
        <v>9</v>
      </c>
      <c r="F298" s="217">
        <f t="shared" si="23"/>
        <v>60211</v>
      </c>
      <c r="G298" s="216">
        <f t="shared" si="24"/>
        <v>58634</v>
      </c>
      <c r="H298" s="370">
        <v>17097</v>
      </c>
      <c r="I298" s="445">
        <v>18303</v>
      </c>
      <c r="J298" s="370">
        <v>2566</v>
      </c>
      <c r="K298" s="445">
        <v>2483</v>
      </c>
      <c r="L298" s="367">
        <v>39397</v>
      </c>
      <c r="M298" s="369">
        <v>1151</v>
      </c>
      <c r="N298" s="369">
        <v>0</v>
      </c>
      <c r="O298" s="445">
        <v>37797</v>
      </c>
      <c r="P298" s="445">
        <v>51</v>
      </c>
      <c r="Q298" s="446">
        <v>0</v>
      </c>
      <c r="R298" s="370"/>
      <c r="S298" s="445"/>
      <c r="T298" s="218">
        <f t="shared" si="25"/>
        <v>0</v>
      </c>
      <c r="U298" s="219">
        <f t="shared" si="26"/>
        <v>0</v>
      </c>
      <c r="V298" s="370"/>
      <c r="W298" s="445"/>
      <c r="X298" s="370"/>
      <c r="Y298" s="445"/>
      <c r="Z298" s="367"/>
      <c r="AA298" s="369"/>
      <c r="AB298" s="369"/>
      <c r="AC298" s="445"/>
      <c r="AD298" s="445"/>
      <c r="AE298" s="446"/>
      <c r="AF298" s="370"/>
      <c r="AG298" s="445"/>
      <c r="AH298" s="389"/>
    </row>
    <row r="299" spans="1:34">
      <c r="A299" s="581" t="s">
        <v>48</v>
      </c>
      <c r="B299" s="582" t="s">
        <v>639</v>
      </c>
      <c r="C299" s="572"/>
      <c r="D299" s="573">
        <v>199768</v>
      </c>
      <c r="E299" s="424">
        <v>9</v>
      </c>
      <c r="F299" s="217">
        <f t="shared" si="23"/>
        <v>63842</v>
      </c>
      <c r="G299" s="216">
        <f t="shared" si="24"/>
        <v>70192</v>
      </c>
      <c r="H299" s="368">
        <v>41894</v>
      </c>
      <c r="I299" s="390">
        <v>46224</v>
      </c>
      <c r="J299" s="368">
        <v>427</v>
      </c>
      <c r="K299" s="390">
        <v>84</v>
      </c>
      <c r="L299" s="367">
        <v>20546</v>
      </c>
      <c r="M299" s="367">
        <v>975</v>
      </c>
      <c r="N299" s="367">
        <v>0</v>
      </c>
      <c r="O299" s="390">
        <v>22577</v>
      </c>
      <c r="P299" s="390">
        <v>1307</v>
      </c>
      <c r="Q299" s="391">
        <v>0</v>
      </c>
      <c r="R299" s="368"/>
      <c r="S299" s="390"/>
      <c r="T299" s="218">
        <f t="shared" si="25"/>
        <v>0</v>
      </c>
      <c r="U299" s="219">
        <f t="shared" si="26"/>
        <v>0</v>
      </c>
      <c r="V299" s="368"/>
      <c r="W299" s="390"/>
      <c r="X299" s="368"/>
      <c r="Y299" s="390"/>
      <c r="Z299" s="367"/>
      <c r="AA299" s="367"/>
      <c r="AB299" s="367"/>
      <c r="AC299" s="390"/>
      <c r="AD299" s="390"/>
      <c r="AE299" s="391"/>
      <c r="AF299" s="368"/>
      <c r="AG299" s="390"/>
      <c r="AH299" s="389"/>
    </row>
    <row r="300" spans="1:34">
      <c r="A300" s="581" t="s">
        <v>48</v>
      </c>
      <c r="B300" s="582" t="s">
        <v>640</v>
      </c>
      <c r="C300" s="572"/>
      <c r="D300" s="573">
        <v>199838</v>
      </c>
      <c r="E300" s="424">
        <v>9</v>
      </c>
      <c r="F300" s="217">
        <f t="shared" si="23"/>
        <v>77713</v>
      </c>
      <c r="G300" s="216">
        <f t="shared" si="24"/>
        <v>74269</v>
      </c>
      <c r="H300" s="368">
        <v>47699</v>
      </c>
      <c r="I300" s="390">
        <v>42042</v>
      </c>
      <c r="J300" s="368">
        <v>909</v>
      </c>
      <c r="K300" s="390">
        <v>1429</v>
      </c>
      <c r="L300" s="367">
        <v>27515</v>
      </c>
      <c r="M300" s="367">
        <v>1590</v>
      </c>
      <c r="N300" s="367">
        <v>0</v>
      </c>
      <c r="O300" s="390">
        <v>29236</v>
      </c>
      <c r="P300" s="390">
        <v>1562</v>
      </c>
      <c r="Q300" s="391">
        <v>0</v>
      </c>
      <c r="R300" s="368"/>
      <c r="S300" s="390"/>
      <c r="T300" s="218">
        <f t="shared" si="25"/>
        <v>0</v>
      </c>
      <c r="U300" s="219">
        <f t="shared" si="26"/>
        <v>0</v>
      </c>
      <c r="V300" s="368"/>
      <c r="W300" s="390"/>
      <c r="X300" s="368"/>
      <c r="Y300" s="390"/>
      <c r="Z300" s="367"/>
      <c r="AA300" s="367"/>
      <c r="AB300" s="367"/>
      <c r="AC300" s="390"/>
      <c r="AD300" s="390"/>
      <c r="AE300" s="391"/>
      <c r="AF300" s="368"/>
      <c r="AG300" s="390"/>
      <c r="AH300" s="389"/>
    </row>
    <row r="301" spans="1:34">
      <c r="A301" s="581" t="s">
        <v>48</v>
      </c>
      <c r="B301" s="582" t="s">
        <v>641</v>
      </c>
      <c r="C301" s="572"/>
      <c r="D301" s="573">
        <v>199892</v>
      </c>
      <c r="E301" s="424">
        <v>9</v>
      </c>
      <c r="F301" s="217">
        <f t="shared" si="23"/>
        <v>85655</v>
      </c>
      <c r="G301" s="216">
        <f t="shared" si="24"/>
        <v>87957</v>
      </c>
      <c r="H301" s="368">
        <v>48757</v>
      </c>
      <c r="I301" s="390">
        <v>47126</v>
      </c>
      <c r="J301" s="368">
        <v>1448</v>
      </c>
      <c r="K301" s="390">
        <v>1317</v>
      </c>
      <c r="L301" s="367">
        <v>35243</v>
      </c>
      <c r="M301" s="367">
        <v>0</v>
      </c>
      <c r="N301" s="367">
        <v>207</v>
      </c>
      <c r="O301" s="390">
        <v>39370</v>
      </c>
      <c r="P301" s="390">
        <v>0</v>
      </c>
      <c r="Q301" s="391">
        <v>144</v>
      </c>
      <c r="R301" s="368"/>
      <c r="S301" s="390"/>
      <c r="T301" s="218">
        <f t="shared" si="25"/>
        <v>0</v>
      </c>
      <c r="U301" s="219">
        <f t="shared" si="26"/>
        <v>0</v>
      </c>
      <c r="V301" s="368"/>
      <c r="W301" s="390"/>
      <c r="X301" s="368"/>
      <c r="Y301" s="390"/>
      <c r="Z301" s="367"/>
      <c r="AA301" s="367"/>
      <c r="AB301" s="367"/>
      <c r="AC301" s="390"/>
      <c r="AD301" s="390"/>
      <c r="AE301" s="391"/>
      <c r="AF301" s="368"/>
      <c r="AG301" s="390"/>
      <c r="AH301" s="389"/>
    </row>
    <row r="302" spans="1:34">
      <c r="A302" s="581" t="s">
        <v>48</v>
      </c>
      <c r="B302" s="582" t="s">
        <v>642</v>
      </c>
      <c r="C302" s="572"/>
      <c r="D302" s="573">
        <v>199908</v>
      </c>
      <c r="E302" s="424">
        <v>9</v>
      </c>
      <c r="F302" s="217">
        <f t="shared" si="23"/>
        <v>57664</v>
      </c>
      <c r="G302" s="216">
        <f t="shared" si="24"/>
        <v>52328</v>
      </c>
      <c r="H302" s="368">
        <v>30048</v>
      </c>
      <c r="I302" s="390">
        <v>25515</v>
      </c>
      <c r="J302" s="368">
        <v>202</v>
      </c>
      <c r="K302" s="390">
        <v>227</v>
      </c>
      <c r="L302" s="367">
        <v>27414</v>
      </c>
      <c r="M302" s="367">
        <v>0</v>
      </c>
      <c r="N302" s="367">
        <v>0</v>
      </c>
      <c r="O302" s="390">
        <v>26586</v>
      </c>
      <c r="P302" s="390">
        <v>0</v>
      </c>
      <c r="Q302" s="391">
        <v>0</v>
      </c>
      <c r="R302" s="368"/>
      <c r="S302" s="390"/>
      <c r="T302" s="218">
        <f t="shared" si="25"/>
        <v>0</v>
      </c>
      <c r="U302" s="219">
        <f t="shared" si="26"/>
        <v>0</v>
      </c>
      <c r="V302" s="368"/>
      <c r="W302" s="390"/>
      <c r="X302" s="368"/>
      <c r="Y302" s="390"/>
      <c r="Z302" s="367"/>
      <c r="AA302" s="367"/>
      <c r="AB302" s="367"/>
      <c r="AC302" s="390"/>
      <c r="AD302" s="390"/>
      <c r="AE302" s="391"/>
      <c r="AF302" s="368"/>
      <c r="AG302" s="390"/>
      <c r="AH302" s="389"/>
    </row>
    <row r="303" spans="1:34">
      <c r="A303" s="581" t="s">
        <v>48</v>
      </c>
      <c r="B303" s="582" t="s">
        <v>643</v>
      </c>
      <c r="C303" s="572"/>
      <c r="D303" s="573">
        <v>199926</v>
      </c>
      <c r="E303" s="424">
        <v>9</v>
      </c>
      <c r="F303" s="217">
        <f t="shared" si="23"/>
        <v>61315</v>
      </c>
      <c r="G303" s="216">
        <f t="shared" si="24"/>
        <v>63489</v>
      </c>
      <c r="H303" s="368">
        <v>43264</v>
      </c>
      <c r="I303" s="390">
        <v>43948</v>
      </c>
      <c r="J303" s="368">
        <v>430</v>
      </c>
      <c r="K303" s="390">
        <v>765</v>
      </c>
      <c r="L303" s="367">
        <v>14329</v>
      </c>
      <c r="M303" s="367">
        <v>3292</v>
      </c>
      <c r="N303" s="367">
        <v>0</v>
      </c>
      <c r="O303" s="390">
        <v>15417</v>
      </c>
      <c r="P303" s="390">
        <v>3359</v>
      </c>
      <c r="Q303" s="391">
        <v>0</v>
      </c>
      <c r="R303" s="368"/>
      <c r="S303" s="390"/>
      <c r="T303" s="218">
        <f t="shared" si="25"/>
        <v>0</v>
      </c>
      <c r="U303" s="219">
        <f t="shared" si="26"/>
        <v>0</v>
      </c>
      <c r="V303" s="368"/>
      <c r="W303" s="390"/>
      <c r="X303" s="368"/>
      <c r="Y303" s="390"/>
      <c r="Z303" s="367"/>
      <c r="AA303" s="367"/>
      <c r="AB303" s="367"/>
      <c r="AC303" s="390"/>
      <c r="AD303" s="390"/>
      <c r="AE303" s="391"/>
      <c r="AF303" s="368"/>
      <c r="AG303" s="390"/>
      <c r="AH303" s="389"/>
    </row>
    <row r="304" spans="1:34">
      <c r="A304" s="426" t="s">
        <v>48</v>
      </c>
      <c r="B304" s="571" t="s">
        <v>644</v>
      </c>
      <c r="C304" s="576"/>
      <c r="D304" s="573">
        <v>197966</v>
      </c>
      <c r="E304" s="424">
        <v>10</v>
      </c>
      <c r="F304" s="217">
        <f t="shared" si="23"/>
        <v>41591</v>
      </c>
      <c r="G304" s="216">
        <f t="shared" si="24"/>
        <v>41145</v>
      </c>
      <c r="H304" s="368">
        <v>22521</v>
      </c>
      <c r="I304" s="390">
        <v>19045</v>
      </c>
      <c r="J304" s="368">
        <v>221</v>
      </c>
      <c r="K304" s="390">
        <v>355</v>
      </c>
      <c r="L304" s="367">
        <v>17918</v>
      </c>
      <c r="M304" s="367">
        <v>0</v>
      </c>
      <c r="N304" s="367">
        <v>931</v>
      </c>
      <c r="O304" s="390">
        <v>20877</v>
      </c>
      <c r="P304" s="390">
        <v>0</v>
      </c>
      <c r="Q304" s="391">
        <v>868</v>
      </c>
      <c r="R304" s="368"/>
      <c r="S304" s="390"/>
      <c r="T304" s="218">
        <f t="shared" si="25"/>
        <v>0</v>
      </c>
      <c r="U304" s="219">
        <f t="shared" si="26"/>
        <v>0</v>
      </c>
      <c r="V304" s="368"/>
      <c r="W304" s="390"/>
      <c r="X304" s="368"/>
      <c r="Y304" s="390"/>
      <c r="Z304" s="367"/>
      <c r="AA304" s="367"/>
      <c r="AB304" s="367"/>
      <c r="AC304" s="390"/>
      <c r="AD304" s="390"/>
      <c r="AE304" s="391"/>
      <c r="AF304" s="368"/>
      <c r="AG304" s="390"/>
      <c r="AH304" s="389"/>
    </row>
    <row r="305" spans="1:34">
      <c r="A305" s="581" t="s">
        <v>48</v>
      </c>
      <c r="B305" s="571" t="s">
        <v>645</v>
      </c>
      <c r="C305" s="576"/>
      <c r="D305" s="573">
        <v>198011</v>
      </c>
      <c r="E305" s="424">
        <v>10</v>
      </c>
      <c r="F305" s="217">
        <f t="shared" si="23"/>
        <v>31984</v>
      </c>
      <c r="G305" s="216">
        <f t="shared" si="24"/>
        <v>30060</v>
      </c>
      <c r="H305" s="368">
        <v>14480</v>
      </c>
      <c r="I305" s="390">
        <v>12759</v>
      </c>
      <c r="J305" s="368">
        <v>9</v>
      </c>
      <c r="K305" s="390">
        <v>16</v>
      </c>
      <c r="L305" s="367">
        <v>15960</v>
      </c>
      <c r="M305" s="367">
        <v>1535</v>
      </c>
      <c r="N305" s="367">
        <v>0</v>
      </c>
      <c r="O305" s="390">
        <v>15987</v>
      </c>
      <c r="P305" s="390">
        <v>1281</v>
      </c>
      <c r="Q305" s="391">
        <v>17</v>
      </c>
      <c r="R305" s="368"/>
      <c r="S305" s="390"/>
      <c r="T305" s="218">
        <f t="shared" si="25"/>
        <v>0</v>
      </c>
      <c r="U305" s="219">
        <f t="shared" si="26"/>
        <v>0</v>
      </c>
      <c r="V305" s="368"/>
      <c r="W305" s="390"/>
      <c r="X305" s="368"/>
      <c r="Y305" s="390"/>
      <c r="Z305" s="367"/>
      <c r="AA305" s="367"/>
      <c r="AB305" s="367"/>
      <c r="AC305" s="390"/>
      <c r="AD305" s="390"/>
      <c r="AE305" s="391"/>
      <c r="AF305" s="368"/>
      <c r="AG305" s="390"/>
      <c r="AH305" s="389"/>
    </row>
    <row r="306" spans="1:34">
      <c r="A306" s="581" t="s">
        <v>48</v>
      </c>
      <c r="B306" s="571" t="s">
        <v>646</v>
      </c>
      <c r="C306" s="576"/>
      <c r="D306" s="577">
        <v>198039</v>
      </c>
      <c r="E306" s="413">
        <v>10</v>
      </c>
      <c r="F306" s="217">
        <f t="shared" si="23"/>
        <v>44267</v>
      </c>
      <c r="G306" s="216">
        <f t="shared" si="24"/>
        <v>45379</v>
      </c>
      <c r="H306" s="368">
        <v>27827</v>
      </c>
      <c r="I306" s="390">
        <v>26758</v>
      </c>
      <c r="J306" s="368">
        <v>696</v>
      </c>
      <c r="K306" s="390">
        <v>767</v>
      </c>
      <c r="L306" s="367">
        <v>15608</v>
      </c>
      <c r="M306" s="367">
        <v>136</v>
      </c>
      <c r="N306" s="367">
        <v>0</v>
      </c>
      <c r="O306" s="390">
        <v>17806</v>
      </c>
      <c r="P306" s="390">
        <v>48</v>
      </c>
      <c r="Q306" s="391">
        <v>0</v>
      </c>
      <c r="R306" s="368"/>
      <c r="S306" s="390"/>
      <c r="T306" s="218">
        <f t="shared" si="25"/>
        <v>0</v>
      </c>
      <c r="U306" s="219">
        <f t="shared" si="26"/>
        <v>0</v>
      </c>
      <c r="V306" s="368"/>
      <c r="W306" s="390"/>
      <c r="X306" s="368"/>
      <c r="Y306" s="390"/>
      <c r="Z306" s="367"/>
      <c r="AA306" s="367"/>
      <c r="AB306" s="367"/>
      <c r="AC306" s="390"/>
      <c r="AD306" s="390"/>
      <c r="AE306" s="391"/>
      <c r="AF306" s="368"/>
      <c r="AG306" s="390"/>
      <c r="AH306" s="389"/>
    </row>
    <row r="307" spans="1:34">
      <c r="A307" s="581" t="s">
        <v>48</v>
      </c>
      <c r="B307" s="571" t="s">
        <v>647</v>
      </c>
      <c r="C307" s="576"/>
      <c r="D307" s="573">
        <v>198084</v>
      </c>
      <c r="E307" s="424">
        <v>10</v>
      </c>
      <c r="F307" s="217">
        <f t="shared" si="23"/>
        <v>33472</v>
      </c>
      <c r="G307" s="216">
        <f t="shared" si="24"/>
        <v>34811</v>
      </c>
      <c r="H307" s="368">
        <v>19516</v>
      </c>
      <c r="I307" s="390">
        <v>20254</v>
      </c>
      <c r="J307" s="368">
        <v>288</v>
      </c>
      <c r="K307" s="390">
        <v>139</v>
      </c>
      <c r="L307" s="367">
        <v>13570</v>
      </c>
      <c r="M307" s="367">
        <v>98</v>
      </c>
      <c r="N307" s="367">
        <v>0</v>
      </c>
      <c r="O307" s="390">
        <v>14260</v>
      </c>
      <c r="P307" s="390">
        <v>158</v>
      </c>
      <c r="Q307" s="391">
        <v>0</v>
      </c>
      <c r="R307" s="368"/>
      <c r="S307" s="390"/>
      <c r="T307" s="218">
        <f t="shared" si="25"/>
        <v>0</v>
      </c>
      <c r="U307" s="219">
        <f t="shared" si="26"/>
        <v>0</v>
      </c>
      <c r="V307" s="368"/>
      <c r="W307" s="390"/>
      <c r="X307" s="368"/>
      <c r="Y307" s="390"/>
      <c r="Z307" s="367"/>
      <c r="AA307" s="367"/>
      <c r="AB307" s="367"/>
      <c r="AC307" s="390"/>
      <c r="AD307" s="390"/>
      <c r="AE307" s="391"/>
      <c r="AF307" s="368"/>
      <c r="AG307" s="390"/>
      <c r="AH307" s="389"/>
    </row>
    <row r="308" spans="1:34">
      <c r="A308" s="581" t="s">
        <v>48</v>
      </c>
      <c r="B308" s="571" t="s">
        <v>648</v>
      </c>
      <c r="C308" s="576"/>
      <c r="D308" s="573">
        <v>198206</v>
      </c>
      <c r="E308" s="424">
        <v>10</v>
      </c>
      <c r="F308" s="217">
        <f t="shared" si="23"/>
        <v>35618</v>
      </c>
      <c r="G308" s="216">
        <f t="shared" si="24"/>
        <v>31866</v>
      </c>
      <c r="H308" s="368">
        <v>20492</v>
      </c>
      <c r="I308" s="390">
        <v>18235</v>
      </c>
      <c r="J308" s="368">
        <v>1215</v>
      </c>
      <c r="K308" s="390">
        <v>1093</v>
      </c>
      <c r="L308" s="367">
        <v>13911</v>
      </c>
      <c r="M308" s="367">
        <v>0</v>
      </c>
      <c r="N308" s="367">
        <v>0</v>
      </c>
      <c r="O308" s="390">
        <v>12538</v>
      </c>
      <c r="P308" s="390">
        <v>0</v>
      </c>
      <c r="Q308" s="391">
        <v>0</v>
      </c>
      <c r="R308" s="368"/>
      <c r="S308" s="390"/>
      <c r="T308" s="218">
        <f t="shared" si="25"/>
        <v>0</v>
      </c>
      <c r="U308" s="219">
        <f t="shared" si="26"/>
        <v>0</v>
      </c>
      <c r="V308" s="368"/>
      <c r="W308" s="390"/>
      <c r="X308" s="368"/>
      <c r="Y308" s="390"/>
      <c r="Z308" s="367"/>
      <c r="AA308" s="367"/>
      <c r="AB308" s="367"/>
      <c r="AC308" s="390"/>
      <c r="AD308" s="390"/>
      <c r="AE308" s="391"/>
      <c r="AF308" s="368"/>
      <c r="AG308" s="390"/>
      <c r="AH308" s="389"/>
    </row>
    <row r="309" spans="1:34">
      <c r="A309" s="581" t="s">
        <v>48</v>
      </c>
      <c r="B309" s="571" t="s">
        <v>649</v>
      </c>
      <c r="C309" s="576"/>
      <c r="D309" s="577">
        <v>197814</v>
      </c>
      <c r="E309" s="413">
        <v>10</v>
      </c>
      <c r="F309" s="217">
        <f t="shared" si="23"/>
        <v>51903</v>
      </c>
      <c r="G309" s="216">
        <f t="shared" si="24"/>
        <v>51637</v>
      </c>
      <c r="H309" s="368">
        <v>25375</v>
      </c>
      <c r="I309" s="390">
        <v>26034</v>
      </c>
      <c r="J309" s="368">
        <v>1594</v>
      </c>
      <c r="K309" s="390">
        <v>521</v>
      </c>
      <c r="L309" s="367">
        <v>24934</v>
      </c>
      <c r="M309" s="367">
        <v>0</v>
      </c>
      <c r="N309" s="367">
        <v>0</v>
      </c>
      <c r="O309" s="390">
        <v>25082</v>
      </c>
      <c r="P309" s="390">
        <v>0</v>
      </c>
      <c r="Q309" s="391">
        <v>0</v>
      </c>
      <c r="R309" s="368"/>
      <c r="S309" s="390"/>
      <c r="T309" s="218">
        <f t="shared" si="25"/>
        <v>0</v>
      </c>
      <c r="U309" s="219">
        <f t="shared" si="26"/>
        <v>0</v>
      </c>
      <c r="V309" s="368"/>
      <c r="W309" s="390"/>
      <c r="X309" s="368"/>
      <c r="Y309" s="390"/>
      <c r="Z309" s="367"/>
      <c r="AA309" s="367"/>
      <c r="AB309" s="367"/>
      <c r="AC309" s="390"/>
      <c r="AD309" s="390"/>
      <c r="AE309" s="391"/>
      <c r="AF309" s="368"/>
      <c r="AG309" s="390"/>
      <c r="AH309" s="389"/>
    </row>
    <row r="310" spans="1:34">
      <c r="A310" s="581" t="s">
        <v>48</v>
      </c>
      <c r="B310" s="582" t="s">
        <v>650</v>
      </c>
      <c r="C310" s="572"/>
      <c r="D310" s="573">
        <v>198640</v>
      </c>
      <c r="E310" s="424">
        <v>10</v>
      </c>
      <c r="F310" s="217">
        <f t="shared" si="23"/>
        <v>34655</v>
      </c>
      <c r="G310" s="216">
        <f t="shared" si="24"/>
        <v>29989</v>
      </c>
      <c r="H310" s="368">
        <v>21187</v>
      </c>
      <c r="I310" s="390">
        <v>15130</v>
      </c>
      <c r="J310" s="368">
        <v>2616</v>
      </c>
      <c r="K310" s="390">
        <v>2642</v>
      </c>
      <c r="L310" s="367">
        <v>10342</v>
      </c>
      <c r="M310" s="367">
        <v>510</v>
      </c>
      <c r="N310" s="367">
        <v>0</v>
      </c>
      <c r="O310" s="390">
        <v>11830</v>
      </c>
      <c r="P310" s="390">
        <v>387</v>
      </c>
      <c r="Q310" s="391">
        <v>0</v>
      </c>
      <c r="R310" s="368"/>
      <c r="S310" s="390"/>
      <c r="T310" s="218">
        <f t="shared" si="25"/>
        <v>0</v>
      </c>
      <c r="U310" s="219">
        <f t="shared" si="26"/>
        <v>0</v>
      </c>
      <c r="V310" s="368"/>
      <c r="W310" s="390"/>
      <c r="X310" s="368"/>
      <c r="Y310" s="390"/>
      <c r="Z310" s="367"/>
      <c r="AA310" s="367"/>
      <c r="AB310" s="367"/>
      <c r="AC310" s="390"/>
      <c r="AD310" s="390"/>
      <c r="AE310" s="391"/>
      <c r="AF310" s="368"/>
      <c r="AG310" s="390"/>
      <c r="AH310" s="389"/>
    </row>
    <row r="311" spans="1:34">
      <c r="A311" s="581" t="s">
        <v>48</v>
      </c>
      <c r="B311" s="582" t="s">
        <v>651</v>
      </c>
      <c r="C311" s="579"/>
      <c r="D311" s="573">
        <v>198668</v>
      </c>
      <c r="E311" s="433">
        <v>10</v>
      </c>
      <c r="F311" s="217">
        <f t="shared" si="23"/>
        <v>46161</v>
      </c>
      <c r="G311" s="216">
        <f t="shared" si="24"/>
        <v>42500</v>
      </c>
      <c r="H311" s="368">
        <v>25144</v>
      </c>
      <c r="I311" s="390">
        <v>22598</v>
      </c>
      <c r="J311" s="368">
        <v>706</v>
      </c>
      <c r="K311" s="390">
        <v>738</v>
      </c>
      <c r="L311" s="367">
        <v>20291</v>
      </c>
      <c r="M311" s="367">
        <v>20</v>
      </c>
      <c r="N311" s="367">
        <v>0</v>
      </c>
      <c r="O311" s="390">
        <v>19164</v>
      </c>
      <c r="P311" s="390">
        <v>0</v>
      </c>
      <c r="Q311" s="391">
        <v>0</v>
      </c>
      <c r="R311" s="368"/>
      <c r="S311" s="390"/>
      <c r="T311" s="218">
        <f t="shared" si="25"/>
        <v>0</v>
      </c>
      <c r="U311" s="219">
        <f t="shared" si="26"/>
        <v>0</v>
      </c>
      <c r="V311" s="368"/>
      <c r="W311" s="390"/>
      <c r="X311" s="368"/>
      <c r="Y311" s="390"/>
      <c r="Z311" s="367"/>
      <c r="AA311" s="367"/>
      <c r="AB311" s="367"/>
      <c r="AC311" s="390"/>
      <c r="AD311" s="390"/>
      <c r="AE311" s="391"/>
      <c r="AF311" s="368"/>
      <c r="AG311" s="390"/>
      <c r="AH311" s="389"/>
    </row>
    <row r="312" spans="1:34">
      <c r="A312" s="581" t="s">
        <v>48</v>
      </c>
      <c r="B312" s="582" t="s">
        <v>652</v>
      </c>
      <c r="C312" s="572"/>
      <c r="D312" s="573">
        <v>198729</v>
      </c>
      <c r="E312" s="424">
        <v>10</v>
      </c>
      <c r="F312" s="217">
        <f t="shared" si="23"/>
        <v>33775</v>
      </c>
      <c r="G312" s="216">
        <f t="shared" si="24"/>
        <v>27878</v>
      </c>
      <c r="H312" s="368">
        <v>22375</v>
      </c>
      <c r="I312" s="390">
        <v>16782</v>
      </c>
      <c r="J312" s="368">
        <v>222</v>
      </c>
      <c r="K312" s="390">
        <v>16</v>
      </c>
      <c r="L312" s="367">
        <v>10343</v>
      </c>
      <c r="M312" s="367">
        <v>835</v>
      </c>
      <c r="N312" s="367">
        <v>0</v>
      </c>
      <c r="O312" s="390">
        <v>10294</v>
      </c>
      <c r="P312" s="390">
        <v>786</v>
      </c>
      <c r="Q312" s="391">
        <v>0</v>
      </c>
      <c r="R312" s="368"/>
      <c r="S312" s="390"/>
      <c r="T312" s="218">
        <f t="shared" si="25"/>
        <v>0</v>
      </c>
      <c r="U312" s="219">
        <f t="shared" si="26"/>
        <v>0</v>
      </c>
      <c r="V312" s="368"/>
      <c r="W312" s="390"/>
      <c r="X312" s="368"/>
      <c r="Y312" s="390"/>
      <c r="Z312" s="367"/>
      <c r="AA312" s="367"/>
      <c r="AB312" s="367"/>
      <c r="AC312" s="390"/>
      <c r="AD312" s="390"/>
      <c r="AE312" s="391"/>
      <c r="AF312" s="368"/>
      <c r="AG312" s="390"/>
      <c r="AH312" s="389"/>
    </row>
    <row r="313" spans="1:34">
      <c r="A313" s="581" t="s">
        <v>48</v>
      </c>
      <c r="B313" s="582" t="s">
        <v>653</v>
      </c>
      <c r="C313" s="572"/>
      <c r="D313" s="573">
        <v>198905</v>
      </c>
      <c r="E313" s="424">
        <v>10</v>
      </c>
      <c r="F313" s="217">
        <f t="shared" si="23"/>
        <v>16094</v>
      </c>
      <c r="G313" s="216">
        <f t="shared" si="24"/>
        <v>15250</v>
      </c>
      <c r="H313" s="368">
        <v>10878</v>
      </c>
      <c r="I313" s="390">
        <v>9273</v>
      </c>
      <c r="J313" s="368">
        <v>301</v>
      </c>
      <c r="K313" s="390">
        <v>400</v>
      </c>
      <c r="L313" s="367">
        <v>4576</v>
      </c>
      <c r="M313" s="367">
        <v>324</v>
      </c>
      <c r="N313" s="367">
        <v>15</v>
      </c>
      <c r="O313" s="390">
        <v>5234</v>
      </c>
      <c r="P313" s="390">
        <v>343</v>
      </c>
      <c r="Q313" s="391">
        <v>0</v>
      </c>
      <c r="R313" s="368"/>
      <c r="S313" s="390"/>
      <c r="T313" s="218">
        <f t="shared" si="25"/>
        <v>0</v>
      </c>
      <c r="U313" s="219">
        <f t="shared" si="26"/>
        <v>0</v>
      </c>
      <c r="V313" s="368"/>
      <c r="W313" s="390"/>
      <c r="X313" s="368"/>
      <c r="Y313" s="390"/>
      <c r="Z313" s="367"/>
      <c r="AA313" s="367"/>
      <c r="AB313" s="367"/>
      <c r="AC313" s="390"/>
      <c r="AD313" s="390"/>
      <c r="AE313" s="391"/>
      <c r="AF313" s="368"/>
      <c r="AG313" s="390"/>
      <c r="AH313" s="389"/>
    </row>
    <row r="314" spans="1:34">
      <c r="A314" s="426" t="s">
        <v>48</v>
      </c>
      <c r="B314" s="571" t="s">
        <v>654</v>
      </c>
      <c r="C314" s="576"/>
      <c r="D314" s="577">
        <v>198914</v>
      </c>
      <c r="E314" s="413">
        <v>10</v>
      </c>
      <c r="F314" s="217">
        <f t="shared" si="23"/>
        <v>24012</v>
      </c>
      <c r="G314" s="216">
        <f t="shared" si="24"/>
        <v>22390</v>
      </c>
      <c r="H314" s="368">
        <v>17378</v>
      </c>
      <c r="I314" s="390">
        <v>15548</v>
      </c>
      <c r="J314" s="368">
        <v>2362</v>
      </c>
      <c r="K314" s="390">
        <v>1952</v>
      </c>
      <c r="L314" s="367">
        <v>4272</v>
      </c>
      <c r="M314" s="367">
        <v>0</v>
      </c>
      <c r="N314" s="367">
        <v>0</v>
      </c>
      <c r="O314" s="390">
        <v>4890</v>
      </c>
      <c r="P314" s="390">
        <v>0</v>
      </c>
      <c r="Q314" s="391">
        <v>0</v>
      </c>
      <c r="R314" s="368"/>
      <c r="S314" s="390"/>
      <c r="T314" s="218">
        <f t="shared" si="25"/>
        <v>0</v>
      </c>
      <c r="U314" s="219">
        <f t="shared" si="26"/>
        <v>0</v>
      </c>
      <c r="V314" s="368"/>
      <c r="W314" s="390"/>
      <c r="X314" s="368"/>
      <c r="Y314" s="390"/>
      <c r="Z314" s="367"/>
      <c r="AA314" s="367"/>
      <c r="AB314" s="367"/>
      <c r="AC314" s="390"/>
      <c r="AD314" s="390"/>
      <c r="AE314" s="391"/>
      <c r="AF314" s="368"/>
      <c r="AG314" s="390"/>
      <c r="AH314" s="389"/>
    </row>
    <row r="315" spans="1:34">
      <c r="A315" s="581" t="s">
        <v>48</v>
      </c>
      <c r="B315" s="582" t="s">
        <v>655</v>
      </c>
      <c r="C315" s="572"/>
      <c r="D315" s="573">
        <v>198923</v>
      </c>
      <c r="E315" s="424">
        <v>10</v>
      </c>
      <c r="F315" s="217">
        <f t="shared" si="23"/>
        <v>27620</v>
      </c>
      <c r="G315" s="216">
        <f t="shared" si="24"/>
        <v>25171</v>
      </c>
      <c r="H315" s="368">
        <v>19918</v>
      </c>
      <c r="I315" s="390">
        <v>16523</v>
      </c>
      <c r="J315" s="368">
        <v>0</v>
      </c>
      <c r="K315" s="390">
        <v>1</v>
      </c>
      <c r="L315" s="367">
        <v>7443</v>
      </c>
      <c r="M315" s="367">
        <v>259</v>
      </c>
      <c r="N315" s="367">
        <v>0</v>
      </c>
      <c r="O315" s="390">
        <v>8575</v>
      </c>
      <c r="P315" s="390">
        <v>0</v>
      </c>
      <c r="Q315" s="391">
        <v>72</v>
      </c>
      <c r="R315" s="368"/>
      <c r="S315" s="390"/>
      <c r="T315" s="218">
        <f t="shared" si="25"/>
        <v>0</v>
      </c>
      <c r="U315" s="219">
        <f t="shared" si="26"/>
        <v>0</v>
      </c>
      <c r="V315" s="368"/>
      <c r="W315" s="390"/>
      <c r="X315" s="368"/>
      <c r="Y315" s="390"/>
      <c r="Z315" s="367"/>
      <c r="AA315" s="367"/>
      <c r="AB315" s="367"/>
      <c r="AC315" s="390"/>
      <c r="AD315" s="390"/>
      <c r="AE315" s="391"/>
      <c r="AF315" s="368"/>
      <c r="AG315" s="390"/>
      <c r="AH315" s="389"/>
    </row>
    <row r="316" spans="1:34">
      <c r="A316" s="581" t="s">
        <v>48</v>
      </c>
      <c r="B316" s="582" t="s">
        <v>656</v>
      </c>
      <c r="C316" s="572"/>
      <c r="D316" s="573">
        <v>199023</v>
      </c>
      <c r="E316" s="424">
        <v>10</v>
      </c>
      <c r="F316" s="217">
        <f t="shared" si="23"/>
        <v>16582</v>
      </c>
      <c r="G316" s="216">
        <f t="shared" si="24"/>
        <v>17482</v>
      </c>
      <c r="H316" s="368">
        <v>8159</v>
      </c>
      <c r="I316" s="390">
        <v>7906</v>
      </c>
      <c r="J316" s="368">
        <v>373</v>
      </c>
      <c r="K316" s="390">
        <v>627</v>
      </c>
      <c r="L316" s="367">
        <v>7984</v>
      </c>
      <c r="M316" s="367">
        <v>66</v>
      </c>
      <c r="N316" s="367">
        <v>0</v>
      </c>
      <c r="O316" s="390">
        <v>8940</v>
      </c>
      <c r="P316" s="390">
        <v>9</v>
      </c>
      <c r="Q316" s="391">
        <v>0</v>
      </c>
      <c r="R316" s="368"/>
      <c r="S316" s="390"/>
      <c r="T316" s="218">
        <f t="shared" si="25"/>
        <v>0</v>
      </c>
      <c r="U316" s="219">
        <f t="shared" si="26"/>
        <v>0</v>
      </c>
      <c r="V316" s="368"/>
      <c r="W316" s="390"/>
      <c r="X316" s="368"/>
      <c r="Y316" s="390"/>
      <c r="Z316" s="367"/>
      <c r="AA316" s="367"/>
      <c r="AB316" s="367"/>
      <c r="AC316" s="390"/>
      <c r="AD316" s="390"/>
      <c r="AE316" s="391"/>
      <c r="AF316" s="368"/>
      <c r="AG316" s="390"/>
      <c r="AH316" s="389"/>
    </row>
    <row r="317" spans="1:34">
      <c r="A317" s="581" t="s">
        <v>48</v>
      </c>
      <c r="B317" s="582" t="s">
        <v>657</v>
      </c>
      <c r="C317" s="572"/>
      <c r="D317" s="573">
        <v>199263</v>
      </c>
      <c r="E317" s="424">
        <v>10</v>
      </c>
      <c r="F317" s="217">
        <f t="shared" si="23"/>
        <v>12086</v>
      </c>
      <c r="G317" s="216">
        <f t="shared" si="24"/>
        <v>11677</v>
      </c>
      <c r="H317" s="368">
        <v>2085</v>
      </c>
      <c r="I317" s="390">
        <v>2332</v>
      </c>
      <c r="J317" s="368">
        <v>2616</v>
      </c>
      <c r="K317" s="390">
        <v>3216</v>
      </c>
      <c r="L317" s="367">
        <v>7358</v>
      </c>
      <c r="M317" s="367">
        <v>27</v>
      </c>
      <c r="N317" s="367">
        <v>0</v>
      </c>
      <c r="O317" s="390">
        <v>6108</v>
      </c>
      <c r="P317" s="390">
        <v>21</v>
      </c>
      <c r="Q317" s="391">
        <v>0</v>
      </c>
      <c r="R317" s="368"/>
      <c r="S317" s="390"/>
      <c r="T317" s="218">
        <f t="shared" si="25"/>
        <v>0</v>
      </c>
      <c r="U317" s="219">
        <f t="shared" si="26"/>
        <v>0</v>
      </c>
      <c r="V317" s="368"/>
      <c r="W317" s="390"/>
      <c r="X317" s="368"/>
      <c r="Y317" s="390"/>
      <c r="Z317" s="367"/>
      <c r="AA317" s="367"/>
      <c r="AB317" s="367"/>
      <c r="AC317" s="390"/>
      <c r="AD317" s="390"/>
      <c r="AE317" s="391"/>
      <c r="AF317" s="368"/>
      <c r="AG317" s="390"/>
      <c r="AH317" s="389"/>
    </row>
    <row r="318" spans="1:34">
      <c r="A318" s="581" t="s">
        <v>48</v>
      </c>
      <c r="B318" s="571" t="s">
        <v>658</v>
      </c>
      <c r="C318" s="576"/>
      <c r="D318" s="577">
        <v>199324</v>
      </c>
      <c r="E318" s="413">
        <v>10</v>
      </c>
      <c r="F318" s="217">
        <f t="shared" si="23"/>
        <v>36244</v>
      </c>
      <c r="G318" s="216">
        <f t="shared" si="24"/>
        <v>31169</v>
      </c>
      <c r="H318" s="368">
        <v>23153</v>
      </c>
      <c r="I318" s="390">
        <v>19978</v>
      </c>
      <c r="J318" s="368">
        <v>923</v>
      </c>
      <c r="K318" s="390">
        <v>964</v>
      </c>
      <c r="L318" s="367">
        <v>10257</v>
      </c>
      <c r="M318" s="367">
        <v>1911</v>
      </c>
      <c r="N318" s="367">
        <v>0</v>
      </c>
      <c r="O318" s="390">
        <v>8467</v>
      </c>
      <c r="P318" s="390">
        <v>1718</v>
      </c>
      <c r="Q318" s="391">
        <v>42</v>
      </c>
      <c r="R318" s="368"/>
      <c r="S318" s="390"/>
      <c r="T318" s="218">
        <f t="shared" si="25"/>
        <v>0</v>
      </c>
      <c r="U318" s="219">
        <f t="shared" si="26"/>
        <v>0</v>
      </c>
      <c r="V318" s="368"/>
      <c r="W318" s="390"/>
      <c r="X318" s="368"/>
      <c r="Y318" s="390"/>
      <c r="Z318" s="367"/>
      <c r="AA318" s="367"/>
      <c r="AB318" s="367"/>
      <c r="AC318" s="390"/>
      <c r="AD318" s="390"/>
      <c r="AE318" s="391"/>
      <c r="AF318" s="368"/>
      <c r="AG318" s="390"/>
      <c r="AH318" s="389"/>
    </row>
    <row r="319" spans="1:34">
      <c r="A319" s="581" t="s">
        <v>48</v>
      </c>
      <c r="B319" s="571" t="s">
        <v>659</v>
      </c>
      <c r="C319" s="583" t="s">
        <v>533</v>
      </c>
      <c r="D319" s="577">
        <v>199449</v>
      </c>
      <c r="E319" s="418">
        <v>9</v>
      </c>
      <c r="F319" s="217">
        <f t="shared" si="23"/>
        <v>54140</v>
      </c>
      <c r="G319" s="216">
        <f t="shared" si="24"/>
        <v>54020</v>
      </c>
      <c r="H319" s="368">
        <v>37930</v>
      </c>
      <c r="I319" s="390">
        <v>36113</v>
      </c>
      <c r="J319" s="368">
        <v>271</v>
      </c>
      <c r="K319" s="390">
        <v>354</v>
      </c>
      <c r="L319" s="367">
        <v>15714</v>
      </c>
      <c r="M319" s="367">
        <v>225</v>
      </c>
      <c r="N319" s="367">
        <v>0</v>
      </c>
      <c r="O319" s="390">
        <v>17223</v>
      </c>
      <c r="P319" s="390">
        <v>330</v>
      </c>
      <c r="Q319" s="391">
        <v>0</v>
      </c>
      <c r="R319" s="368"/>
      <c r="S319" s="390"/>
      <c r="T319" s="218">
        <f t="shared" si="25"/>
        <v>0</v>
      </c>
      <c r="U319" s="219">
        <f t="shared" si="26"/>
        <v>0</v>
      </c>
      <c r="V319" s="368"/>
      <c r="W319" s="390"/>
      <c r="X319" s="368"/>
      <c r="Y319" s="390"/>
      <c r="Z319" s="367"/>
      <c r="AA319" s="367"/>
      <c r="AB319" s="367"/>
      <c r="AC319" s="390"/>
      <c r="AD319" s="390"/>
      <c r="AE319" s="391"/>
      <c r="AF319" s="368"/>
      <c r="AG319" s="390"/>
      <c r="AH319" s="389"/>
    </row>
    <row r="320" spans="1:34">
      <c r="A320" s="581" t="s">
        <v>48</v>
      </c>
      <c r="B320" s="582" t="s">
        <v>660</v>
      </c>
      <c r="C320" s="572"/>
      <c r="D320" s="573">
        <v>199467</v>
      </c>
      <c r="E320" s="424">
        <v>10</v>
      </c>
      <c r="F320" s="217">
        <f t="shared" si="23"/>
        <v>18004</v>
      </c>
      <c r="G320" s="216">
        <f t="shared" si="24"/>
        <v>16962</v>
      </c>
      <c r="H320" s="368">
        <v>12670</v>
      </c>
      <c r="I320" s="390">
        <v>11473</v>
      </c>
      <c r="J320" s="368">
        <v>42</v>
      </c>
      <c r="K320" s="390">
        <v>190</v>
      </c>
      <c r="L320" s="367">
        <v>5103</v>
      </c>
      <c r="M320" s="367">
        <v>189</v>
      </c>
      <c r="N320" s="367">
        <v>0</v>
      </c>
      <c r="O320" s="390">
        <v>5033</v>
      </c>
      <c r="P320" s="390">
        <v>266</v>
      </c>
      <c r="Q320" s="391">
        <v>0</v>
      </c>
      <c r="R320" s="368"/>
      <c r="S320" s="390"/>
      <c r="T320" s="218">
        <f t="shared" si="25"/>
        <v>0</v>
      </c>
      <c r="U320" s="219">
        <f t="shared" si="26"/>
        <v>0</v>
      </c>
      <c r="V320" s="368"/>
      <c r="W320" s="390"/>
      <c r="X320" s="368"/>
      <c r="Y320" s="390"/>
      <c r="Z320" s="367"/>
      <c r="AA320" s="367"/>
      <c r="AB320" s="367"/>
      <c r="AC320" s="390"/>
      <c r="AD320" s="390"/>
      <c r="AE320" s="391"/>
      <c r="AF320" s="368"/>
      <c r="AG320" s="390"/>
      <c r="AH320" s="389"/>
    </row>
    <row r="321" spans="1:34">
      <c r="A321" s="581" t="s">
        <v>48</v>
      </c>
      <c r="B321" s="571" t="s">
        <v>661</v>
      </c>
      <c r="C321" s="576"/>
      <c r="D321" s="577">
        <v>199485</v>
      </c>
      <c r="E321" s="413">
        <v>10</v>
      </c>
      <c r="F321" s="217">
        <f t="shared" si="23"/>
        <v>42765</v>
      </c>
      <c r="G321" s="216">
        <f t="shared" si="24"/>
        <v>39473</v>
      </c>
      <c r="H321" s="368">
        <v>37640</v>
      </c>
      <c r="I321" s="390">
        <v>34086</v>
      </c>
      <c r="J321" s="368">
        <v>289</v>
      </c>
      <c r="K321" s="390">
        <v>0</v>
      </c>
      <c r="L321" s="367">
        <v>4683</v>
      </c>
      <c r="M321" s="367">
        <v>153</v>
      </c>
      <c r="N321" s="367">
        <v>0</v>
      </c>
      <c r="O321" s="390">
        <v>5359</v>
      </c>
      <c r="P321" s="390">
        <v>28</v>
      </c>
      <c r="Q321" s="391">
        <v>0</v>
      </c>
      <c r="R321" s="368"/>
      <c r="S321" s="390"/>
      <c r="T321" s="218">
        <f t="shared" si="25"/>
        <v>0</v>
      </c>
      <c r="U321" s="219">
        <f t="shared" si="26"/>
        <v>0</v>
      </c>
      <c r="V321" s="368"/>
      <c r="W321" s="390"/>
      <c r="X321" s="368"/>
      <c r="Y321" s="390"/>
      <c r="Z321" s="367"/>
      <c r="AA321" s="367"/>
      <c r="AB321" s="367"/>
      <c r="AC321" s="390"/>
      <c r="AD321" s="390"/>
      <c r="AE321" s="391"/>
      <c r="AF321" s="368"/>
      <c r="AG321" s="390"/>
      <c r="AH321" s="389"/>
    </row>
    <row r="322" spans="1:34">
      <c r="A322" s="581" t="s">
        <v>48</v>
      </c>
      <c r="B322" s="571" t="s">
        <v>662</v>
      </c>
      <c r="C322" s="576"/>
      <c r="D322" s="573">
        <v>199625</v>
      </c>
      <c r="E322" s="424">
        <v>10</v>
      </c>
      <c r="F322" s="217">
        <f t="shared" si="23"/>
        <v>30397</v>
      </c>
      <c r="G322" s="216">
        <f t="shared" si="24"/>
        <v>29917</v>
      </c>
      <c r="H322" s="368">
        <v>22379</v>
      </c>
      <c r="I322" s="390">
        <v>21696</v>
      </c>
      <c r="J322" s="368">
        <v>83</v>
      </c>
      <c r="K322" s="390">
        <v>125</v>
      </c>
      <c r="L322" s="367">
        <v>7507</v>
      </c>
      <c r="M322" s="367">
        <v>428</v>
      </c>
      <c r="N322" s="367">
        <v>0</v>
      </c>
      <c r="O322" s="390">
        <v>7607</v>
      </c>
      <c r="P322" s="390">
        <v>489</v>
      </c>
      <c r="Q322" s="391">
        <v>0</v>
      </c>
      <c r="R322" s="368"/>
      <c r="S322" s="390"/>
      <c r="T322" s="218">
        <f t="shared" si="25"/>
        <v>0</v>
      </c>
      <c r="U322" s="219">
        <f t="shared" si="26"/>
        <v>0</v>
      </c>
      <c r="V322" s="368"/>
      <c r="W322" s="390"/>
      <c r="X322" s="368"/>
      <c r="Y322" s="390"/>
      <c r="Z322" s="367"/>
      <c r="AA322" s="367"/>
      <c r="AB322" s="367"/>
      <c r="AC322" s="390"/>
      <c r="AD322" s="390"/>
      <c r="AE322" s="391"/>
      <c r="AF322" s="368"/>
      <c r="AG322" s="390"/>
      <c r="AH322" s="389"/>
    </row>
    <row r="323" spans="1:34">
      <c r="A323" s="581" t="s">
        <v>48</v>
      </c>
      <c r="B323" s="571" t="s">
        <v>663</v>
      </c>
      <c r="C323" s="576"/>
      <c r="D323" s="577">
        <v>197850</v>
      </c>
      <c r="E323" s="413">
        <v>10</v>
      </c>
      <c r="F323" s="217">
        <f t="shared" si="23"/>
        <v>48300</v>
      </c>
      <c r="G323" s="216">
        <f t="shared" si="24"/>
        <v>47537</v>
      </c>
      <c r="H323" s="368">
        <v>18068</v>
      </c>
      <c r="I323" s="390">
        <v>16483</v>
      </c>
      <c r="J323" s="368">
        <v>2023</v>
      </c>
      <c r="K323" s="390">
        <v>817</v>
      </c>
      <c r="L323" s="367">
        <v>27703</v>
      </c>
      <c r="M323" s="367">
        <v>506</v>
      </c>
      <c r="N323" s="367">
        <v>0</v>
      </c>
      <c r="O323" s="390">
        <v>29885</v>
      </c>
      <c r="P323" s="390">
        <v>352</v>
      </c>
      <c r="Q323" s="391">
        <v>0</v>
      </c>
      <c r="R323" s="368"/>
      <c r="S323" s="390"/>
      <c r="T323" s="218">
        <f t="shared" si="25"/>
        <v>0</v>
      </c>
      <c r="U323" s="219">
        <f t="shared" si="26"/>
        <v>0</v>
      </c>
      <c r="V323" s="368"/>
      <c r="W323" s="390"/>
      <c r="X323" s="368"/>
      <c r="Y323" s="390"/>
      <c r="Z323" s="367"/>
      <c r="AA323" s="367"/>
      <c r="AB323" s="367"/>
      <c r="AC323" s="390"/>
      <c r="AD323" s="390"/>
      <c r="AE323" s="391"/>
      <c r="AF323" s="368"/>
      <c r="AG323" s="390"/>
      <c r="AH323" s="389"/>
    </row>
    <row r="324" spans="1:34">
      <c r="A324" s="581" t="s">
        <v>48</v>
      </c>
      <c r="B324" s="571" t="s">
        <v>664</v>
      </c>
      <c r="C324" s="576"/>
      <c r="D324" s="577">
        <v>199722</v>
      </c>
      <c r="E324" s="413">
        <v>10</v>
      </c>
      <c r="F324" s="217">
        <f t="shared" si="23"/>
        <v>37357</v>
      </c>
      <c r="G324" s="216">
        <f t="shared" si="24"/>
        <v>30074</v>
      </c>
      <c r="H324" s="368">
        <v>24443</v>
      </c>
      <c r="I324" s="390">
        <v>20315</v>
      </c>
      <c r="J324" s="368">
        <v>381</v>
      </c>
      <c r="K324" s="390">
        <v>571</v>
      </c>
      <c r="L324" s="367">
        <v>12169</v>
      </c>
      <c r="M324" s="367">
        <v>364</v>
      </c>
      <c r="N324" s="367">
        <v>0</v>
      </c>
      <c r="O324" s="390">
        <v>8947</v>
      </c>
      <c r="P324" s="390">
        <v>241</v>
      </c>
      <c r="Q324" s="391">
        <v>0</v>
      </c>
      <c r="R324" s="368"/>
      <c r="S324" s="390"/>
      <c r="T324" s="218">
        <f t="shared" si="25"/>
        <v>0</v>
      </c>
      <c r="U324" s="219">
        <f t="shared" si="26"/>
        <v>0</v>
      </c>
      <c r="V324" s="368"/>
      <c r="W324" s="390"/>
      <c r="X324" s="368"/>
      <c r="Y324" s="390"/>
      <c r="Z324" s="367"/>
      <c r="AA324" s="367"/>
      <c r="AB324" s="367"/>
      <c r="AC324" s="390"/>
      <c r="AD324" s="390"/>
      <c r="AE324" s="391"/>
      <c r="AF324" s="368"/>
      <c r="AG324" s="390"/>
      <c r="AH324" s="389"/>
    </row>
    <row r="325" spans="1:34">
      <c r="A325" s="581" t="s">
        <v>48</v>
      </c>
      <c r="B325" s="571" t="s">
        <v>665</v>
      </c>
      <c r="C325" s="576"/>
      <c r="D325" s="577">
        <v>199731</v>
      </c>
      <c r="E325" s="413">
        <v>10</v>
      </c>
      <c r="F325" s="217">
        <f t="shared" si="23"/>
        <v>56226</v>
      </c>
      <c r="G325" s="216">
        <f t="shared" si="24"/>
        <v>52273</v>
      </c>
      <c r="H325" s="368">
        <v>28628</v>
      </c>
      <c r="I325" s="390">
        <v>26023</v>
      </c>
      <c r="J325" s="368">
        <v>2298</v>
      </c>
      <c r="K325" s="390">
        <v>1892</v>
      </c>
      <c r="L325" s="367">
        <v>24712</v>
      </c>
      <c r="M325" s="367">
        <v>588</v>
      </c>
      <c r="N325" s="367">
        <v>0</v>
      </c>
      <c r="O325" s="390">
        <v>23753</v>
      </c>
      <c r="P325" s="390">
        <v>458</v>
      </c>
      <c r="Q325" s="391">
        <v>147</v>
      </c>
      <c r="R325" s="368"/>
      <c r="S325" s="390"/>
      <c r="T325" s="218">
        <f t="shared" si="25"/>
        <v>0</v>
      </c>
      <c r="U325" s="219">
        <f t="shared" si="26"/>
        <v>0</v>
      </c>
      <c r="V325" s="368"/>
      <c r="W325" s="390"/>
      <c r="X325" s="368"/>
      <c r="Y325" s="390"/>
      <c r="Z325" s="367"/>
      <c r="AA325" s="367"/>
      <c r="AB325" s="367"/>
      <c r="AC325" s="390"/>
      <c r="AD325" s="390"/>
      <c r="AE325" s="391"/>
      <c r="AF325" s="368"/>
      <c r="AG325" s="390"/>
      <c r="AH325" s="389"/>
    </row>
    <row r="326" spans="1:34">
      <c r="A326" s="581" t="s">
        <v>48</v>
      </c>
      <c r="B326" s="582" t="s">
        <v>666</v>
      </c>
      <c r="C326" s="572"/>
      <c r="D326" s="573">
        <v>199795</v>
      </c>
      <c r="E326" s="424">
        <v>10</v>
      </c>
      <c r="F326" s="217">
        <f t="shared" si="23"/>
        <v>31068</v>
      </c>
      <c r="G326" s="216">
        <f t="shared" si="24"/>
        <v>30411</v>
      </c>
      <c r="H326" s="368">
        <v>10999</v>
      </c>
      <c r="I326" s="390">
        <v>10866</v>
      </c>
      <c r="J326" s="368">
        <v>143</v>
      </c>
      <c r="K326" s="390">
        <v>606</v>
      </c>
      <c r="L326" s="367">
        <v>19406</v>
      </c>
      <c r="M326" s="367">
        <v>520</v>
      </c>
      <c r="N326" s="367">
        <v>0</v>
      </c>
      <c r="O326" s="390">
        <v>18824</v>
      </c>
      <c r="P326" s="390">
        <v>115</v>
      </c>
      <c r="Q326" s="391">
        <v>0</v>
      </c>
      <c r="R326" s="368"/>
      <c r="S326" s="390"/>
      <c r="T326" s="218">
        <f t="shared" si="25"/>
        <v>0</v>
      </c>
      <c r="U326" s="219">
        <f t="shared" si="26"/>
        <v>0</v>
      </c>
      <c r="V326" s="368"/>
      <c r="W326" s="390"/>
      <c r="X326" s="368"/>
      <c r="Y326" s="390"/>
      <c r="Z326" s="367"/>
      <c r="AA326" s="367"/>
      <c r="AB326" s="367"/>
      <c r="AC326" s="390"/>
      <c r="AD326" s="390"/>
      <c r="AE326" s="391"/>
      <c r="AF326" s="368"/>
      <c r="AG326" s="390"/>
      <c r="AH326" s="389"/>
    </row>
    <row r="327" spans="1:34">
      <c r="A327" s="581" t="s">
        <v>48</v>
      </c>
      <c r="B327" s="571" t="s">
        <v>667</v>
      </c>
      <c r="C327" s="576"/>
      <c r="D327" s="577">
        <v>199953</v>
      </c>
      <c r="E327" s="413">
        <v>10</v>
      </c>
      <c r="F327" s="217">
        <f t="shared" si="23"/>
        <v>43537</v>
      </c>
      <c r="G327" s="216">
        <f t="shared" si="24"/>
        <v>43230</v>
      </c>
      <c r="H327" s="368">
        <v>21493</v>
      </c>
      <c r="I327" s="390">
        <v>19912</v>
      </c>
      <c r="J327" s="368">
        <v>890</v>
      </c>
      <c r="K327" s="390">
        <v>942</v>
      </c>
      <c r="L327" s="367">
        <v>19656</v>
      </c>
      <c r="M327" s="367">
        <v>0</v>
      </c>
      <c r="N327" s="367">
        <v>1498</v>
      </c>
      <c r="O327" s="390">
        <v>21867</v>
      </c>
      <c r="P327" s="390">
        <v>0</v>
      </c>
      <c r="Q327" s="391">
        <v>509</v>
      </c>
      <c r="R327" s="368"/>
      <c r="S327" s="390"/>
      <c r="T327" s="218">
        <f t="shared" si="25"/>
        <v>0</v>
      </c>
      <c r="U327" s="219">
        <f t="shared" si="26"/>
        <v>0</v>
      </c>
      <c r="V327" s="368"/>
      <c r="W327" s="390"/>
      <c r="X327" s="368"/>
      <c r="Y327" s="390"/>
      <c r="Z327" s="367"/>
      <c r="AA327" s="367"/>
      <c r="AB327" s="367"/>
      <c r="AC327" s="390"/>
      <c r="AD327" s="390"/>
      <c r="AE327" s="391"/>
      <c r="AF327" s="368"/>
      <c r="AG327" s="390"/>
      <c r="AH327" s="389"/>
    </row>
    <row r="328" spans="1:34">
      <c r="A328" s="547" t="s">
        <v>49</v>
      </c>
      <c r="B328" s="492" t="s">
        <v>576</v>
      </c>
      <c r="C328" s="548"/>
      <c r="D328" s="483">
        <v>207388</v>
      </c>
      <c r="E328" s="484">
        <v>1</v>
      </c>
      <c r="F328" s="217">
        <f t="shared" ref="F328:F391" si="27">SUM(H328,J328,L328,M328,N328,R328)</f>
        <v>608686</v>
      </c>
      <c r="G328" s="216">
        <f t="shared" ref="G328:G391" si="28">SUM(I328,K328,O328,P328,Q328,S328)</f>
        <v>623576</v>
      </c>
      <c r="H328" s="485">
        <v>552488</v>
      </c>
      <c r="I328" s="390">
        <v>558918</v>
      </c>
      <c r="J328" s="485">
        <v>5254</v>
      </c>
      <c r="K328" s="390">
        <v>6069</v>
      </c>
      <c r="L328" s="367">
        <v>49117</v>
      </c>
      <c r="M328" s="367">
        <v>0</v>
      </c>
      <c r="N328" s="367">
        <v>0</v>
      </c>
      <c r="O328" s="390">
        <v>56687</v>
      </c>
      <c r="P328" s="390">
        <v>0</v>
      </c>
      <c r="Q328" s="391">
        <v>0</v>
      </c>
      <c r="R328" s="485">
        <v>1827</v>
      </c>
      <c r="S328" s="390">
        <v>1902</v>
      </c>
      <c r="T328" s="218">
        <f t="shared" ref="T328:T391" si="29">SUM(V328,X328,Z328,AA328,AB328,AF328)</f>
        <v>155564</v>
      </c>
      <c r="U328" s="219">
        <f t="shared" ref="U328:U391" si="30">SUM(W328,Y328,AC328,AD328,AE328,AG328)</f>
        <v>61100</v>
      </c>
      <c r="V328" s="485">
        <v>130683</v>
      </c>
      <c r="W328" s="390">
        <v>43238</v>
      </c>
      <c r="X328" s="485">
        <v>2329</v>
      </c>
      <c r="Y328" s="390">
        <v>599</v>
      </c>
      <c r="Z328" s="367">
        <v>21069</v>
      </c>
      <c r="AA328" s="367">
        <v>0</v>
      </c>
      <c r="AB328" s="367"/>
      <c r="AC328" s="390">
        <v>16911</v>
      </c>
      <c r="AD328" s="390"/>
      <c r="AE328" s="391"/>
      <c r="AF328" s="485">
        <v>1483</v>
      </c>
      <c r="AG328" s="390">
        <v>352</v>
      </c>
      <c r="AH328" s="389"/>
    </row>
    <row r="329" spans="1:34">
      <c r="A329" s="547" t="s">
        <v>49</v>
      </c>
      <c r="B329" s="492" t="s">
        <v>577</v>
      </c>
      <c r="C329" s="548"/>
      <c r="D329" s="483">
        <v>207500</v>
      </c>
      <c r="E329" s="484">
        <v>1</v>
      </c>
      <c r="F329" s="217">
        <f t="shared" si="27"/>
        <v>707819</v>
      </c>
      <c r="G329" s="216">
        <f t="shared" si="28"/>
        <v>712179</v>
      </c>
      <c r="H329" s="485">
        <v>591841</v>
      </c>
      <c r="I329" s="390">
        <v>598538</v>
      </c>
      <c r="J329" s="485">
        <v>7330</v>
      </c>
      <c r="K329" s="390">
        <v>9749</v>
      </c>
      <c r="L329" s="367">
        <v>83620</v>
      </c>
      <c r="M329" s="367">
        <v>21854</v>
      </c>
      <c r="N329" s="367">
        <v>3174</v>
      </c>
      <c r="O329" s="390">
        <v>80616</v>
      </c>
      <c r="P329" s="390">
        <v>20382</v>
      </c>
      <c r="Q329" s="391">
        <v>2894</v>
      </c>
      <c r="R329" s="485"/>
      <c r="S329" s="390"/>
      <c r="T329" s="218">
        <f t="shared" si="29"/>
        <v>223803</v>
      </c>
      <c r="U329" s="219">
        <f t="shared" si="30"/>
        <v>87331</v>
      </c>
      <c r="V329" s="485">
        <v>159248</v>
      </c>
      <c r="W329" s="390">
        <v>47477</v>
      </c>
      <c r="X329" s="485">
        <v>19637</v>
      </c>
      <c r="Y329" s="390">
        <v>15533</v>
      </c>
      <c r="Z329" s="367">
        <v>22097</v>
      </c>
      <c r="AA329" s="367">
        <v>18907</v>
      </c>
      <c r="AB329" s="367">
        <v>3914</v>
      </c>
      <c r="AC329" s="390">
        <v>20998</v>
      </c>
      <c r="AD329" s="390">
        <v>620</v>
      </c>
      <c r="AE329" s="391">
        <v>2703</v>
      </c>
      <c r="AF329" s="485"/>
      <c r="AG329" s="390"/>
      <c r="AH329" s="389"/>
    </row>
    <row r="330" spans="1:34">
      <c r="A330" s="547" t="s">
        <v>49</v>
      </c>
      <c r="B330" s="492" t="s">
        <v>578</v>
      </c>
      <c r="C330" s="548"/>
      <c r="D330" s="483">
        <v>207263</v>
      </c>
      <c r="E330" s="484">
        <v>3</v>
      </c>
      <c r="F330" s="217">
        <f t="shared" si="27"/>
        <v>187656</v>
      </c>
      <c r="G330" s="216">
        <f t="shared" si="28"/>
        <v>179145</v>
      </c>
      <c r="H330" s="485">
        <v>147026</v>
      </c>
      <c r="I330" s="390">
        <v>134141</v>
      </c>
      <c r="J330" s="485">
        <v>555</v>
      </c>
      <c r="K330" s="390">
        <v>158</v>
      </c>
      <c r="L330" s="367">
        <v>39323</v>
      </c>
      <c r="M330" s="367">
        <v>752</v>
      </c>
      <c r="N330" s="367">
        <v>0</v>
      </c>
      <c r="O330" s="390">
        <v>44217</v>
      </c>
      <c r="P330" s="390">
        <v>629</v>
      </c>
      <c r="Q330" s="391"/>
      <c r="R330" s="485"/>
      <c r="S330" s="390"/>
      <c r="T330" s="218">
        <f t="shared" si="29"/>
        <v>19356</v>
      </c>
      <c r="U330" s="219">
        <f t="shared" si="30"/>
        <v>18206</v>
      </c>
      <c r="V330" s="485">
        <v>16189</v>
      </c>
      <c r="W330" s="390">
        <v>14426</v>
      </c>
      <c r="X330" s="485">
        <v>0</v>
      </c>
      <c r="Y330" s="390">
        <v>0</v>
      </c>
      <c r="Z330" s="367">
        <v>2524</v>
      </c>
      <c r="AA330" s="367">
        <v>643</v>
      </c>
      <c r="AB330" s="367">
        <v>0</v>
      </c>
      <c r="AC330" s="390">
        <v>3188</v>
      </c>
      <c r="AD330" s="390">
        <v>592</v>
      </c>
      <c r="AE330" s="391"/>
      <c r="AF330" s="485"/>
      <c r="AG330" s="390"/>
      <c r="AH330" s="389"/>
    </row>
    <row r="331" spans="1:34">
      <c r="A331" s="547" t="s">
        <v>49</v>
      </c>
      <c r="B331" s="492" t="s">
        <v>579</v>
      </c>
      <c r="C331" s="548"/>
      <c r="D331" s="483">
        <v>206941</v>
      </c>
      <c r="E331" s="484">
        <v>3</v>
      </c>
      <c r="F331" s="217">
        <f t="shared" si="27"/>
        <v>374005</v>
      </c>
      <c r="G331" s="216">
        <f t="shared" si="28"/>
        <v>369667</v>
      </c>
      <c r="H331" s="485">
        <v>321683</v>
      </c>
      <c r="I331" s="390">
        <v>309166</v>
      </c>
      <c r="J331" s="485">
        <v>3739</v>
      </c>
      <c r="K331" s="390">
        <v>2767</v>
      </c>
      <c r="L331" s="367">
        <v>43636</v>
      </c>
      <c r="M331" s="367">
        <v>1328</v>
      </c>
      <c r="N331" s="367">
        <v>3619</v>
      </c>
      <c r="O331" s="390">
        <v>52924</v>
      </c>
      <c r="P331" s="390">
        <v>403</v>
      </c>
      <c r="Q331" s="391">
        <v>4407</v>
      </c>
      <c r="R331" s="485"/>
      <c r="S331" s="390"/>
      <c r="T331" s="218">
        <f t="shared" si="29"/>
        <v>26765</v>
      </c>
      <c r="U331" s="219">
        <f t="shared" si="30"/>
        <v>26969</v>
      </c>
      <c r="V331" s="485">
        <v>23085</v>
      </c>
      <c r="W331" s="390">
        <v>23589</v>
      </c>
      <c r="X331" s="485">
        <v>260</v>
      </c>
      <c r="Y331" s="390">
        <v>55</v>
      </c>
      <c r="Z331" s="367">
        <v>1705</v>
      </c>
      <c r="AA331" s="367">
        <v>38</v>
      </c>
      <c r="AB331" s="367">
        <v>1677</v>
      </c>
      <c r="AC331" s="390">
        <v>1733</v>
      </c>
      <c r="AD331" s="390">
        <v>42</v>
      </c>
      <c r="AE331" s="391">
        <v>1550</v>
      </c>
      <c r="AF331" s="485"/>
      <c r="AG331" s="390"/>
      <c r="AH331" s="389"/>
    </row>
    <row r="332" spans="1:34">
      <c r="A332" s="547" t="s">
        <v>49</v>
      </c>
      <c r="B332" s="492" t="s">
        <v>580</v>
      </c>
      <c r="C332" s="549"/>
      <c r="D332" s="483">
        <v>207847</v>
      </c>
      <c r="E332" s="484">
        <v>4</v>
      </c>
      <c r="F332" s="217">
        <f t="shared" si="27"/>
        <v>89767</v>
      </c>
      <c r="G332" s="216">
        <f t="shared" si="28"/>
        <v>89245</v>
      </c>
      <c r="H332" s="485">
        <v>60018</v>
      </c>
      <c r="I332" s="390">
        <v>58369</v>
      </c>
      <c r="J332" s="485">
        <v>268</v>
      </c>
      <c r="K332" s="390">
        <v>569</v>
      </c>
      <c r="L332" s="367">
        <v>25765</v>
      </c>
      <c r="M332" s="367">
        <v>3716</v>
      </c>
      <c r="N332" s="367">
        <v>0</v>
      </c>
      <c r="O332" s="390">
        <v>26692</v>
      </c>
      <c r="P332" s="390">
        <v>2357</v>
      </c>
      <c r="Q332" s="391">
        <v>1258</v>
      </c>
      <c r="R332" s="485"/>
      <c r="S332" s="390"/>
      <c r="T332" s="218">
        <f t="shared" si="29"/>
        <v>5486</v>
      </c>
      <c r="U332" s="219">
        <f t="shared" si="30"/>
        <v>5818</v>
      </c>
      <c r="V332" s="485">
        <v>2587</v>
      </c>
      <c r="W332" s="390">
        <v>2534</v>
      </c>
      <c r="X332" s="485">
        <v>132</v>
      </c>
      <c r="Y332" s="390">
        <v>441</v>
      </c>
      <c r="Z332" s="367">
        <v>2653</v>
      </c>
      <c r="AA332" s="367">
        <v>114</v>
      </c>
      <c r="AB332" s="367">
        <v>0</v>
      </c>
      <c r="AC332" s="390">
        <v>2774</v>
      </c>
      <c r="AD332" s="390">
        <v>42</v>
      </c>
      <c r="AE332" s="391">
        <v>27</v>
      </c>
      <c r="AF332" s="485"/>
      <c r="AG332" s="390"/>
      <c r="AH332" s="389"/>
    </row>
    <row r="333" spans="1:34">
      <c r="A333" s="547" t="s">
        <v>49</v>
      </c>
      <c r="B333" s="492" t="s">
        <v>581</v>
      </c>
      <c r="C333" s="548"/>
      <c r="D333" s="483">
        <v>206914</v>
      </c>
      <c r="E333" s="484">
        <v>5</v>
      </c>
      <c r="F333" s="217">
        <f t="shared" si="27"/>
        <v>127516</v>
      </c>
      <c r="G333" s="216">
        <f t="shared" si="28"/>
        <v>120596</v>
      </c>
      <c r="H333" s="485">
        <v>96414</v>
      </c>
      <c r="I333" s="390">
        <v>92669</v>
      </c>
      <c r="J333" s="485">
        <v>1810</v>
      </c>
      <c r="K333" s="390">
        <v>974</v>
      </c>
      <c r="L333" s="367">
        <v>19967</v>
      </c>
      <c r="M333" s="367">
        <v>9325</v>
      </c>
      <c r="N333" s="367">
        <v>0</v>
      </c>
      <c r="O333" s="390">
        <v>18738</v>
      </c>
      <c r="P333" s="390">
        <v>8215</v>
      </c>
      <c r="Q333" s="391"/>
      <c r="R333" s="485"/>
      <c r="S333" s="390"/>
      <c r="T333" s="218">
        <f t="shared" si="29"/>
        <v>7751</v>
      </c>
      <c r="U333" s="219">
        <f t="shared" si="30"/>
        <v>7029</v>
      </c>
      <c r="V333" s="485">
        <v>3716</v>
      </c>
      <c r="W333" s="390">
        <v>3057</v>
      </c>
      <c r="X333" s="485">
        <v>3</v>
      </c>
      <c r="Y333" s="390"/>
      <c r="Z333" s="367">
        <v>3285</v>
      </c>
      <c r="AA333" s="367">
        <v>747</v>
      </c>
      <c r="AB333" s="367">
        <v>0</v>
      </c>
      <c r="AC333" s="390">
        <v>3141</v>
      </c>
      <c r="AD333" s="390">
        <v>831</v>
      </c>
      <c r="AE333" s="391"/>
      <c r="AF333" s="485"/>
      <c r="AG333" s="390"/>
      <c r="AH333" s="389"/>
    </row>
    <row r="334" spans="1:34">
      <c r="A334" s="547" t="s">
        <v>49</v>
      </c>
      <c r="B334" s="492" t="s">
        <v>582</v>
      </c>
      <c r="C334" s="548"/>
      <c r="D334" s="483">
        <v>207041</v>
      </c>
      <c r="E334" s="484">
        <v>5</v>
      </c>
      <c r="F334" s="217">
        <f t="shared" si="27"/>
        <v>101014</v>
      </c>
      <c r="G334" s="216">
        <f t="shared" si="28"/>
        <v>99391</v>
      </c>
      <c r="H334" s="485">
        <v>85184</v>
      </c>
      <c r="I334" s="390">
        <v>84156</v>
      </c>
      <c r="J334" s="485">
        <v>399</v>
      </c>
      <c r="K334" s="390">
        <v>209</v>
      </c>
      <c r="L334" s="367">
        <v>7732</v>
      </c>
      <c r="M334" s="367">
        <v>3697</v>
      </c>
      <c r="N334" s="367">
        <v>4002</v>
      </c>
      <c r="O334" s="390">
        <v>7965</v>
      </c>
      <c r="P334" s="390">
        <v>3512</v>
      </c>
      <c r="Q334" s="391">
        <v>3549</v>
      </c>
      <c r="R334" s="485"/>
      <c r="S334" s="390"/>
      <c r="T334" s="218">
        <f t="shared" si="29"/>
        <v>14494</v>
      </c>
      <c r="U334" s="219">
        <f t="shared" si="30"/>
        <v>13650</v>
      </c>
      <c r="V334" s="485">
        <v>4586</v>
      </c>
      <c r="W334" s="390">
        <v>3926</v>
      </c>
      <c r="X334" s="485">
        <v>413</v>
      </c>
      <c r="Y334" s="390">
        <v>316</v>
      </c>
      <c r="Z334" s="367">
        <v>7160</v>
      </c>
      <c r="AA334" s="367">
        <v>1578</v>
      </c>
      <c r="AB334" s="367">
        <v>757</v>
      </c>
      <c r="AC334" s="390">
        <v>7242</v>
      </c>
      <c r="AD334" s="390">
        <v>1356</v>
      </c>
      <c r="AE334" s="391">
        <v>810</v>
      </c>
      <c r="AF334" s="485"/>
      <c r="AG334" s="390"/>
      <c r="AH334" s="389"/>
    </row>
    <row r="335" spans="1:34">
      <c r="A335" s="550" t="s">
        <v>49</v>
      </c>
      <c r="B335" s="492" t="s">
        <v>583</v>
      </c>
      <c r="C335" s="548"/>
      <c r="D335" s="483">
        <v>207209</v>
      </c>
      <c r="E335" s="484">
        <v>5</v>
      </c>
      <c r="F335" s="217">
        <f t="shared" si="27"/>
        <v>54515</v>
      </c>
      <c r="G335" s="216">
        <f t="shared" si="28"/>
        <v>55277</v>
      </c>
      <c r="H335" s="485">
        <v>53437</v>
      </c>
      <c r="I335" s="390">
        <v>53687</v>
      </c>
      <c r="J335" s="485">
        <v>0</v>
      </c>
      <c r="K335" s="390">
        <v>0</v>
      </c>
      <c r="L335" s="367">
        <v>384</v>
      </c>
      <c r="M335" s="367">
        <v>694</v>
      </c>
      <c r="N335" s="367">
        <v>0</v>
      </c>
      <c r="O335" s="390">
        <v>990</v>
      </c>
      <c r="P335" s="390">
        <v>600</v>
      </c>
      <c r="Q335" s="391"/>
      <c r="R335" s="485"/>
      <c r="S335" s="390"/>
      <c r="T335" s="218">
        <f t="shared" si="29"/>
        <v>7968</v>
      </c>
      <c r="U335" s="219">
        <f t="shared" si="30"/>
        <v>5946</v>
      </c>
      <c r="V335" s="485">
        <v>6138</v>
      </c>
      <c r="W335" s="390">
        <v>4080</v>
      </c>
      <c r="X335" s="485">
        <v>0</v>
      </c>
      <c r="Y335" s="390"/>
      <c r="Z335" s="367">
        <v>1548</v>
      </c>
      <c r="AA335" s="367">
        <v>282</v>
      </c>
      <c r="AB335" s="367">
        <v>0</v>
      </c>
      <c r="AC335" s="390">
        <v>1461</v>
      </c>
      <c r="AD335" s="390">
        <v>405</v>
      </c>
      <c r="AE335" s="391"/>
      <c r="AF335" s="485"/>
      <c r="AG335" s="390"/>
      <c r="AH335" s="389"/>
    </row>
    <row r="336" spans="1:34">
      <c r="A336" s="547" t="s">
        <v>49</v>
      </c>
      <c r="B336" s="492" t="s">
        <v>584</v>
      </c>
      <c r="C336" s="548"/>
      <c r="D336" s="483">
        <v>207306</v>
      </c>
      <c r="E336" s="484">
        <v>5</v>
      </c>
      <c r="F336" s="217">
        <f t="shared" si="27"/>
        <v>52149</v>
      </c>
      <c r="G336" s="216">
        <f t="shared" si="28"/>
        <v>48658</v>
      </c>
      <c r="H336" s="485">
        <v>37625</v>
      </c>
      <c r="I336" s="390">
        <v>35393</v>
      </c>
      <c r="J336" s="485">
        <v>6</v>
      </c>
      <c r="K336" s="390">
        <v>57</v>
      </c>
      <c r="L336" s="367">
        <v>5983</v>
      </c>
      <c r="M336" s="367">
        <v>8412</v>
      </c>
      <c r="N336" s="367">
        <v>123</v>
      </c>
      <c r="O336" s="390">
        <v>5212</v>
      </c>
      <c r="P336" s="390">
        <v>7684</v>
      </c>
      <c r="Q336" s="391">
        <v>312</v>
      </c>
      <c r="R336" s="485"/>
      <c r="S336" s="390"/>
      <c r="T336" s="218">
        <f t="shared" si="29"/>
        <v>3370</v>
      </c>
      <c r="U336" s="219">
        <f t="shared" si="30"/>
        <v>2403</v>
      </c>
      <c r="V336" s="485">
        <v>1184</v>
      </c>
      <c r="W336" s="390">
        <v>1032</v>
      </c>
      <c r="X336" s="485">
        <v>16</v>
      </c>
      <c r="Y336" s="390">
        <v>5</v>
      </c>
      <c r="Z336" s="367">
        <v>407</v>
      </c>
      <c r="AA336" s="367">
        <v>1763</v>
      </c>
      <c r="AB336" s="367">
        <v>0</v>
      </c>
      <c r="AC336" s="390">
        <v>302</v>
      </c>
      <c r="AD336" s="390">
        <v>1064</v>
      </c>
      <c r="AE336" s="391"/>
      <c r="AF336" s="485"/>
      <c r="AG336" s="390"/>
      <c r="AH336" s="389"/>
    </row>
    <row r="337" spans="1:34">
      <c r="A337" s="547" t="s">
        <v>49</v>
      </c>
      <c r="B337" s="492" t="s">
        <v>585</v>
      </c>
      <c r="C337" s="548"/>
      <c r="D337" s="483">
        <v>207865</v>
      </c>
      <c r="E337" s="484">
        <v>5</v>
      </c>
      <c r="F337" s="217">
        <f t="shared" si="27"/>
        <v>117267</v>
      </c>
      <c r="G337" s="216">
        <f t="shared" si="28"/>
        <v>117069</v>
      </c>
      <c r="H337" s="485">
        <v>97806</v>
      </c>
      <c r="I337" s="390">
        <v>94060</v>
      </c>
      <c r="J337" s="485">
        <v>1460</v>
      </c>
      <c r="K337" s="390">
        <v>1404</v>
      </c>
      <c r="L337" s="367">
        <v>16791</v>
      </c>
      <c r="M337" s="367">
        <v>1210</v>
      </c>
      <c r="N337" s="367">
        <v>0</v>
      </c>
      <c r="O337" s="390">
        <v>20393</v>
      </c>
      <c r="P337" s="390">
        <v>1209</v>
      </c>
      <c r="Q337" s="391">
        <v>3</v>
      </c>
      <c r="R337" s="485"/>
      <c r="S337" s="390"/>
      <c r="T337" s="218">
        <f t="shared" si="29"/>
        <v>12396</v>
      </c>
      <c r="U337" s="219">
        <f t="shared" si="30"/>
        <v>12050</v>
      </c>
      <c r="V337" s="485">
        <v>7669</v>
      </c>
      <c r="W337" s="390">
        <v>7239</v>
      </c>
      <c r="X337" s="485">
        <v>2</v>
      </c>
      <c r="Y337" s="390"/>
      <c r="Z337" s="367">
        <v>3986</v>
      </c>
      <c r="AA337" s="367">
        <v>739</v>
      </c>
      <c r="AB337" s="367">
        <v>0</v>
      </c>
      <c r="AC337" s="390">
        <v>4205</v>
      </c>
      <c r="AD337" s="390">
        <v>606</v>
      </c>
      <c r="AE337" s="391"/>
      <c r="AF337" s="485"/>
      <c r="AG337" s="390"/>
      <c r="AH337" s="389"/>
    </row>
    <row r="338" spans="1:34">
      <c r="A338" s="550" t="s">
        <v>49</v>
      </c>
      <c r="B338" s="492" t="s">
        <v>586</v>
      </c>
      <c r="C338" s="548"/>
      <c r="D338" s="483">
        <v>207351</v>
      </c>
      <c r="E338" s="484">
        <v>6</v>
      </c>
      <c r="F338" s="217">
        <f t="shared" si="27"/>
        <v>37560</v>
      </c>
      <c r="G338" s="216">
        <f t="shared" si="28"/>
        <v>33689</v>
      </c>
      <c r="H338" s="485">
        <v>30393</v>
      </c>
      <c r="I338" s="390">
        <v>26645</v>
      </c>
      <c r="J338" s="485">
        <v>0</v>
      </c>
      <c r="K338" s="390">
        <v>0</v>
      </c>
      <c r="L338" s="367">
        <v>6858</v>
      </c>
      <c r="M338" s="367">
        <v>309</v>
      </c>
      <c r="N338" s="367">
        <v>0</v>
      </c>
      <c r="O338" s="390">
        <v>6834</v>
      </c>
      <c r="P338" s="390">
        <v>210</v>
      </c>
      <c r="Q338" s="391"/>
      <c r="R338" s="485"/>
      <c r="S338" s="390"/>
      <c r="T338" s="218">
        <f t="shared" si="29"/>
        <v>0</v>
      </c>
      <c r="U338" s="219">
        <f t="shared" si="30"/>
        <v>0</v>
      </c>
      <c r="V338" s="485"/>
      <c r="W338" s="390"/>
      <c r="X338" s="485"/>
      <c r="Y338" s="390"/>
      <c r="Z338" s="367"/>
      <c r="AA338" s="367"/>
      <c r="AB338" s="367"/>
      <c r="AC338" s="390"/>
      <c r="AD338" s="390"/>
      <c r="AE338" s="391"/>
      <c r="AF338" s="485"/>
      <c r="AG338" s="390"/>
      <c r="AH338" s="389"/>
    </row>
    <row r="339" spans="1:34">
      <c r="A339" s="494" t="s">
        <v>49</v>
      </c>
      <c r="B339" s="551" t="s">
        <v>587</v>
      </c>
      <c r="C339" s="552"/>
      <c r="D339" s="553">
        <v>207661</v>
      </c>
      <c r="E339" s="554">
        <v>6</v>
      </c>
      <c r="F339" s="217">
        <f t="shared" si="27"/>
        <v>99325</v>
      </c>
      <c r="G339" s="216">
        <f t="shared" si="28"/>
        <v>89911</v>
      </c>
      <c r="H339" s="485">
        <v>68098</v>
      </c>
      <c r="I339" s="390">
        <v>62644</v>
      </c>
      <c r="J339" s="485">
        <v>3119</v>
      </c>
      <c r="K339" s="390">
        <v>1087</v>
      </c>
      <c r="L339" s="367">
        <v>26107</v>
      </c>
      <c r="M339" s="367">
        <v>2001</v>
      </c>
      <c r="N339" s="367">
        <v>0</v>
      </c>
      <c r="O339" s="390">
        <v>24179</v>
      </c>
      <c r="P339" s="390">
        <v>2001</v>
      </c>
      <c r="Q339" s="391"/>
      <c r="R339" s="485"/>
      <c r="S339" s="390"/>
      <c r="T339" s="218">
        <f t="shared" si="29"/>
        <v>0</v>
      </c>
      <c r="U339" s="219">
        <f t="shared" si="30"/>
        <v>75</v>
      </c>
      <c r="V339" s="485"/>
      <c r="W339" s="390">
        <v>75</v>
      </c>
      <c r="X339" s="485"/>
      <c r="Y339" s="390"/>
      <c r="Z339" s="367"/>
      <c r="AA339" s="367"/>
      <c r="AB339" s="367"/>
      <c r="AC339" s="390"/>
      <c r="AD339" s="390"/>
      <c r="AE339" s="391"/>
      <c r="AF339" s="485"/>
      <c r="AG339" s="390"/>
      <c r="AH339" s="389"/>
    </row>
    <row r="340" spans="1:34">
      <c r="A340" s="550" t="s">
        <v>49</v>
      </c>
      <c r="B340" s="492" t="s">
        <v>588</v>
      </c>
      <c r="C340" s="548"/>
      <c r="D340" s="483">
        <v>207722</v>
      </c>
      <c r="E340" s="484">
        <v>6</v>
      </c>
      <c r="F340" s="217">
        <f t="shared" si="27"/>
        <v>26670</v>
      </c>
      <c r="G340" s="216">
        <f t="shared" si="28"/>
        <v>27027</v>
      </c>
      <c r="H340" s="485">
        <v>26637</v>
      </c>
      <c r="I340" s="390">
        <v>26965</v>
      </c>
      <c r="J340" s="485">
        <v>33</v>
      </c>
      <c r="K340" s="390">
        <v>62</v>
      </c>
      <c r="L340" s="367">
        <v>0</v>
      </c>
      <c r="M340" s="367">
        <v>0</v>
      </c>
      <c r="N340" s="367">
        <v>0</v>
      </c>
      <c r="O340" s="390">
        <v>0</v>
      </c>
      <c r="P340" s="390"/>
      <c r="Q340" s="391"/>
      <c r="R340" s="485"/>
      <c r="S340" s="390"/>
      <c r="T340" s="218">
        <f t="shared" si="29"/>
        <v>0</v>
      </c>
      <c r="U340" s="219">
        <f t="shared" si="30"/>
        <v>0</v>
      </c>
      <c r="V340" s="485"/>
      <c r="W340" s="390"/>
      <c r="X340" s="485"/>
      <c r="Y340" s="390"/>
      <c r="Z340" s="367"/>
      <c r="AA340" s="367"/>
      <c r="AB340" s="367"/>
      <c r="AC340" s="390"/>
      <c r="AD340" s="390"/>
      <c r="AE340" s="391"/>
      <c r="AF340" s="485"/>
      <c r="AG340" s="390"/>
      <c r="AH340" s="389"/>
    </row>
    <row r="341" spans="1:34">
      <c r="A341" s="550" t="s">
        <v>49</v>
      </c>
      <c r="B341" s="492" t="s">
        <v>589</v>
      </c>
      <c r="C341" s="548"/>
      <c r="D341" s="483">
        <v>207564</v>
      </c>
      <c r="E341" s="484">
        <v>7</v>
      </c>
      <c r="F341" s="217">
        <f t="shared" si="27"/>
        <v>99284</v>
      </c>
      <c r="G341" s="216">
        <f t="shared" si="28"/>
        <v>93399</v>
      </c>
      <c r="H341" s="485">
        <v>72091</v>
      </c>
      <c r="I341" s="390">
        <v>70059</v>
      </c>
      <c r="J341" s="485">
        <v>14605</v>
      </c>
      <c r="K341" s="390">
        <v>11708</v>
      </c>
      <c r="L341" s="367">
        <v>12588</v>
      </c>
      <c r="M341" s="367">
        <v>0</v>
      </c>
      <c r="N341" s="367">
        <v>0</v>
      </c>
      <c r="O341" s="390">
        <v>11632</v>
      </c>
      <c r="P341" s="390"/>
      <c r="Q341" s="391"/>
      <c r="R341" s="485"/>
      <c r="S341" s="390"/>
      <c r="T341" s="218">
        <f t="shared" si="29"/>
        <v>0</v>
      </c>
      <c r="U341" s="219">
        <f t="shared" si="30"/>
        <v>0</v>
      </c>
      <c r="V341" s="485"/>
      <c r="W341" s="390"/>
      <c r="X341" s="485"/>
      <c r="Y341" s="390"/>
      <c r="Z341" s="367"/>
      <c r="AA341" s="367"/>
      <c r="AB341" s="367"/>
      <c r="AC341" s="390"/>
      <c r="AD341" s="390"/>
      <c r="AE341" s="391"/>
      <c r="AF341" s="485"/>
      <c r="AG341" s="390"/>
      <c r="AH341" s="389"/>
    </row>
    <row r="342" spans="1:34">
      <c r="A342" s="494" t="s">
        <v>49</v>
      </c>
      <c r="B342" s="492" t="s">
        <v>590</v>
      </c>
      <c r="C342" s="548"/>
      <c r="D342" s="483">
        <v>207397</v>
      </c>
      <c r="E342" s="484">
        <v>7</v>
      </c>
      <c r="F342" s="217">
        <f t="shared" si="27"/>
        <v>149992</v>
      </c>
      <c r="G342" s="216">
        <f t="shared" si="28"/>
        <v>130772</v>
      </c>
      <c r="H342" s="485">
        <v>92774</v>
      </c>
      <c r="I342" s="390">
        <v>74743</v>
      </c>
      <c r="J342" s="485">
        <v>4773</v>
      </c>
      <c r="K342" s="390">
        <v>4199</v>
      </c>
      <c r="L342" s="367">
        <v>49742</v>
      </c>
      <c r="M342" s="367">
        <v>2571</v>
      </c>
      <c r="N342" s="367">
        <v>0</v>
      </c>
      <c r="O342" s="390">
        <v>49910</v>
      </c>
      <c r="P342" s="390">
        <v>1920</v>
      </c>
      <c r="Q342" s="391"/>
      <c r="R342" s="485">
        <v>132</v>
      </c>
      <c r="S342" s="390"/>
      <c r="T342" s="218">
        <f t="shared" si="29"/>
        <v>0</v>
      </c>
      <c r="U342" s="219">
        <f t="shared" si="30"/>
        <v>0</v>
      </c>
      <c r="V342" s="485"/>
      <c r="W342" s="390"/>
      <c r="X342" s="485"/>
      <c r="Y342" s="390"/>
      <c r="Z342" s="367"/>
      <c r="AA342" s="367"/>
      <c r="AB342" s="367"/>
      <c r="AC342" s="390"/>
      <c r="AD342" s="390"/>
      <c r="AE342" s="391"/>
      <c r="AF342" s="485"/>
      <c r="AG342" s="390"/>
      <c r="AH342" s="389"/>
    </row>
    <row r="343" spans="1:34">
      <c r="A343" s="550" t="s">
        <v>49</v>
      </c>
      <c r="B343" s="522" t="s">
        <v>591</v>
      </c>
      <c r="C343" s="548"/>
      <c r="D343" s="483">
        <v>207449</v>
      </c>
      <c r="E343" s="484">
        <v>8</v>
      </c>
      <c r="F343" s="217">
        <f t="shared" si="27"/>
        <v>258189</v>
      </c>
      <c r="G343" s="216">
        <f t="shared" si="28"/>
        <v>254888</v>
      </c>
      <c r="H343" s="485">
        <v>178223</v>
      </c>
      <c r="I343" s="390">
        <v>173094</v>
      </c>
      <c r="J343" s="485">
        <v>17152</v>
      </c>
      <c r="K343" s="390">
        <v>15905</v>
      </c>
      <c r="L343" s="367">
        <v>62389</v>
      </c>
      <c r="M343" s="367">
        <v>0</v>
      </c>
      <c r="N343" s="367">
        <v>165</v>
      </c>
      <c r="O343" s="390">
        <v>65462</v>
      </c>
      <c r="P343" s="390"/>
      <c r="Q343" s="391">
        <v>427</v>
      </c>
      <c r="R343" s="485">
        <v>260</v>
      </c>
      <c r="S343" s="390"/>
      <c r="T343" s="218">
        <f t="shared" si="29"/>
        <v>0</v>
      </c>
      <c r="U343" s="219">
        <f t="shared" si="30"/>
        <v>0</v>
      </c>
      <c r="V343" s="485"/>
      <c r="W343" s="390"/>
      <c r="X343" s="485"/>
      <c r="Y343" s="390"/>
      <c r="Z343" s="367"/>
      <c r="AA343" s="367"/>
      <c r="AB343" s="367"/>
      <c r="AC343" s="390"/>
      <c r="AD343" s="390"/>
      <c r="AE343" s="391"/>
      <c r="AF343" s="485"/>
      <c r="AG343" s="390"/>
      <c r="AH343" s="389"/>
    </row>
    <row r="344" spans="1:34">
      <c r="A344" s="550" t="s">
        <v>49</v>
      </c>
      <c r="B344" s="492" t="s">
        <v>592</v>
      </c>
      <c r="C344" s="548" t="s">
        <v>603</v>
      </c>
      <c r="D344" s="483">
        <v>207670</v>
      </c>
      <c r="E344" s="484">
        <v>8</v>
      </c>
      <c r="F344" s="217">
        <f t="shared" si="27"/>
        <v>138582</v>
      </c>
      <c r="G344" s="216">
        <f t="shared" si="28"/>
        <v>130720</v>
      </c>
      <c r="H344" s="485">
        <v>98942</v>
      </c>
      <c r="I344" s="390">
        <v>91256</v>
      </c>
      <c r="J344" s="485">
        <v>3210</v>
      </c>
      <c r="K344" s="390">
        <v>3465</v>
      </c>
      <c r="L344" s="367">
        <v>34420</v>
      </c>
      <c r="M344" s="367">
        <v>405</v>
      </c>
      <c r="N344" s="367">
        <v>1605</v>
      </c>
      <c r="O344" s="390">
        <v>34035</v>
      </c>
      <c r="P344" s="390">
        <v>516</v>
      </c>
      <c r="Q344" s="391">
        <v>1448</v>
      </c>
      <c r="R344" s="485"/>
      <c r="S344" s="390"/>
      <c r="T344" s="218">
        <f t="shared" si="29"/>
        <v>0</v>
      </c>
      <c r="U344" s="219">
        <f t="shared" si="30"/>
        <v>0</v>
      </c>
      <c r="V344" s="485"/>
      <c r="W344" s="390"/>
      <c r="X344" s="485"/>
      <c r="Y344" s="390"/>
      <c r="Z344" s="367"/>
      <c r="AA344" s="367"/>
      <c r="AB344" s="367"/>
      <c r="AC344" s="390"/>
      <c r="AD344" s="390"/>
      <c r="AE344" s="391"/>
      <c r="AF344" s="485"/>
      <c r="AG344" s="390"/>
      <c r="AH344" s="389"/>
    </row>
    <row r="345" spans="1:34">
      <c r="A345" s="550" t="s">
        <v>49</v>
      </c>
      <c r="B345" s="492" t="s">
        <v>593</v>
      </c>
      <c r="C345" s="548"/>
      <c r="D345" s="483">
        <v>207935</v>
      </c>
      <c r="E345" s="484">
        <v>8</v>
      </c>
      <c r="F345" s="217">
        <f t="shared" si="27"/>
        <v>358496</v>
      </c>
      <c r="G345" s="216">
        <f t="shared" si="28"/>
        <v>336810</v>
      </c>
      <c r="H345" s="485">
        <v>253668</v>
      </c>
      <c r="I345" s="390">
        <v>225160</v>
      </c>
      <c r="J345" s="485">
        <v>18974</v>
      </c>
      <c r="K345" s="390">
        <v>24331</v>
      </c>
      <c r="L345" s="367">
        <v>85854</v>
      </c>
      <c r="M345" s="367">
        <v>0</v>
      </c>
      <c r="N345" s="367">
        <v>0</v>
      </c>
      <c r="O345" s="390">
        <v>87319</v>
      </c>
      <c r="P345" s="390"/>
      <c r="Q345" s="391"/>
      <c r="R345" s="485"/>
      <c r="S345" s="390"/>
      <c r="T345" s="218">
        <f t="shared" si="29"/>
        <v>0</v>
      </c>
      <c r="U345" s="219">
        <f t="shared" si="30"/>
        <v>0</v>
      </c>
      <c r="V345" s="485"/>
      <c r="W345" s="390"/>
      <c r="X345" s="485"/>
      <c r="Y345" s="390"/>
      <c r="Z345" s="367"/>
      <c r="AA345" s="367"/>
      <c r="AB345" s="367"/>
      <c r="AC345" s="390"/>
      <c r="AD345" s="390"/>
      <c r="AE345" s="391"/>
      <c r="AF345" s="485"/>
      <c r="AG345" s="390"/>
      <c r="AH345" s="389"/>
    </row>
    <row r="346" spans="1:34">
      <c r="A346" s="550" t="s">
        <v>49</v>
      </c>
      <c r="B346" s="492" t="s">
        <v>594</v>
      </c>
      <c r="C346" s="548" t="s">
        <v>604</v>
      </c>
      <c r="D346" s="483">
        <v>206923</v>
      </c>
      <c r="E346" s="484">
        <v>9</v>
      </c>
      <c r="F346" s="217">
        <f t="shared" si="27"/>
        <v>59455</v>
      </c>
      <c r="G346" s="216">
        <f t="shared" si="28"/>
        <v>54021</v>
      </c>
      <c r="H346" s="485">
        <v>51817</v>
      </c>
      <c r="I346" s="390">
        <v>52411</v>
      </c>
      <c r="J346" s="485">
        <v>0</v>
      </c>
      <c r="K346" s="390">
        <v>0</v>
      </c>
      <c r="L346" s="367">
        <v>5998</v>
      </c>
      <c r="M346" s="367">
        <v>1640</v>
      </c>
      <c r="N346" s="367">
        <v>0</v>
      </c>
      <c r="O346" s="390">
        <v>0</v>
      </c>
      <c r="P346" s="390">
        <v>1610</v>
      </c>
      <c r="Q346" s="391"/>
      <c r="R346" s="485"/>
      <c r="S346" s="390"/>
      <c r="T346" s="218">
        <f t="shared" si="29"/>
        <v>0</v>
      </c>
      <c r="U346" s="219">
        <f t="shared" si="30"/>
        <v>0</v>
      </c>
      <c r="V346" s="485"/>
      <c r="W346" s="390"/>
      <c r="X346" s="485"/>
      <c r="Y346" s="390"/>
      <c r="Z346" s="367"/>
      <c r="AA346" s="367"/>
      <c r="AB346" s="367"/>
      <c r="AC346" s="390"/>
      <c r="AD346" s="390"/>
      <c r="AE346" s="391"/>
      <c r="AF346" s="485"/>
      <c r="AG346" s="390"/>
      <c r="AH346" s="389"/>
    </row>
    <row r="347" spans="1:34">
      <c r="A347" s="550" t="s">
        <v>49</v>
      </c>
      <c r="B347" s="522" t="s">
        <v>595</v>
      </c>
      <c r="C347" s="548"/>
      <c r="D347" s="483">
        <v>207281</v>
      </c>
      <c r="E347" s="484">
        <v>9</v>
      </c>
      <c r="F347" s="217">
        <f t="shared" si="27"/>
        <v>99176</v>
      </c>
      <c r="G347" s="216">
        <f t="shared" si="28"/>
        <v>93431</v>
      </c>
      <c r="H347" s="485">
        <v>68803</v>
      </c>
      <c r="I347" s="390">
        <v>64397</v>
      </c>
      <c r="J347" s="485">
        <v>6841</v>
      </c>
      <c r="K347" s="390">
        <v>5995</v>
      </c>
      <c r="L347" s="367">
        <v>9453</v>
      </c>
      <c r="M347" s="367">
        <v>14071</v>
      </c>
      <c r="N347" s="367">
        <v>8</v>
      </c>
      <c r="O347" s="390">
        <v>10206</v>
      </c>
      <c r="P347" s="390">
        <v>12833</v>
      </c>
      <c r="Q347" s="391"/>
      <c r="R347" s="485"/>
      <c r="S347" s="390"/>
      <c r="T347" s="218">
        <f t="shared" si="29"/>
        <v>0</v>
      </c>
      <c r="U347" s="219">
        <f t="shared" si="30"/>
        <v>0</v>
      </c>
      <c r="V347" s="485"/>
      <c r="W347" s="390"/>
      <c r="X347" s="485"/>
      <c r="Y347" s="390"/>
      <c r="Z347" s="367"/>
      <c r="AA347" s="367"/>
      <c r="AB347" s="367"/>
      <c r="AC347" s="390"/>
      <c r="AD347" s="390"/>
      <c r="AE347" s="391"/>
      <c r="AF347" s="485"/>
      <c r="AG347" s="390"/>
      <c r="AH347" s="389"/>
    </row>
    <row r="348" spans="1:34">
      <c r="A348" s="550" t="s">
        <v>49</v>
      </c>
      <c r="B348" s="492" t="s">
        <v>596</v>
      </c>
      <c r="C348" s="548"/>
      <c r="D348" s="483">
        <v>206996</v>
      </c>
      <c r="E348" s="484">
        <v>10</v>
      </c>
      <c r="F348" s="217">
        <f t="shared" si="27"/>
        <v>53900</v>
      </c>
      <c r="G348" s="216">
        <f t="shared" si="28"/>
        <v>52005</v>
      </c>
      <c r="H348" s="485">
        <v>37529</v>
      </c>
      <c r="I348" s="390">
        <v>33925</v>
      </c>
      <c r="J348" s="485">
        <v>8076</v>
      </c>
      <c r="K348" s="390">
        <v>6727</v>
      </c>
      <c r="L348" s="367">
        <v>8295</v>
      </c>
      <c r="M348" s="367">
        <v>0</v>
      </c>
      <c r="N348" s="367">
        <v>0</v>
      </c>
      <c r="O348" s="390">
        <v>11353</v>
      </c>
      <c r="P348" s="390"/>
      <c r="Q348" s="391"/>
      <c r="R348" s="485"/>
      <c r="S348" s="390"/>
      <c r="T348" s="218">
        <f t="shared" si="29"/>
        <v>0</v>
      </c>
      <c r="U348" s="219">
        <f t="shared" si="30"/>
        <v>0</v>
      </c>
      <c r="V348" s="485"/>
      <c r="W348" s="390"/>
      <c r="X348" s="485"/>
      <c r="Y348" s="390"/>
      <c r="Z348" s="367"/>
      <c r="AA348" s="367"/>
      <c r="AB348" s="367"/>
      <c r="AC348" s="390"/>
      <c r="AD348" s="390"/>
      <c r="AE348" s="391"/>
      <c r="AF348" s="485"/>
      <c r="AG348" s="390"/>
      <c r="AH348" s="389"/>
    </row>
    <row r="349" spans="1:34">
      <c r="A349" s="550" t="s">
        <v>49</v>
      </c>
      <c r="B349" s="492" t="s">
        <v>597</v>
      </c>
      <c r="C349" s="548"/>
      <c r="D349" s="483">
        <v>207050</v>
      </c>
      <c r="E349" s="484">
        <v>10</v>
      </c>
      <c r="F349" s="217">
        <f t="shared" si="27"/>
        <v>40653</v>
      </c>
      <c r="G349" s="216">
        <f t="shared" si="28"/>
        <v>36204</v>
      </c>
      <c r="H349" s="485">
        <v>28312</v>
      </c>
      <c r="I349" s="390">
        <v>25370</v>
      </c>
      <c r="J349" s="485">
        <v>1907</v>
      </c>
      <c r="K349" s="390">
        <v>1036</v>
      </c>
      <c r="L349" s="367">
        <v>7251</v>
      </c>
      <c r="M349" s="367">
        <v>3183</v>
      </c>
      <c r="N349" s="367">
        <v>0</v>
      </c>
      <c r="O349" s="390">
        <v>7287</v>
      </c>
      <c r="P349" s="390">
        <v>2511</v>
      </c>
      <c r="Q349" s="391"/>
      <c r="R349" s="485"/>
      <c r="S349" s="390"/>
      <c r="T349" s="218">
        <f t="shared" si="29"/>
        <v>0</v>
      </c>
      <c r="U349" s="219">
        <f t="shared" si="30"/>
        <v>0</v>
      </c>
      <c r="V349" s="485"/>
      <c r="W349" s="390"/>
      <c r="X349" s="485"/>
      <c r="Y349" s="390"/>
      <c r="Z349" s="367"/>
      <c r="AA349" s="367"/>
      <c r="AB349" s="367"/>
      <c r="AC349" s="390"/>
      <c r="AD349" s="390"/>
      <c r="AE349" s="391"/>
      <c r="AF349" s="485"/>
      <c r="AG349" s="390"/>
      <c r="AH349" s="389"/>
    </row>
    <row r="350" spans="1:34">
      <c r="A350" s="550" t="s">
        <v>49</v>
      </c>
      <c r="B350" s="492" t="s">
        <v>598</v>
      </c>
      <c r="C350" s="548"/>
      <c r="D350" s="483">
        <v>207236</v>
      </c>
      <c r="E350" s="484">
        <v>10</v>
      </c>
      <c r="F350" s="217">
        <f t="shared" si="27"/>
        <v>49881</v>
      </c>
      <c r="G350" s="216">
        <f t="shared" si="28"/>
        <v>49034</v>
      </c>
      <c r="H350" s="485">
        <v>30484</v>
      </c>
      <c r="I350" s="390">
        <v>28007</v>
      </c>
      <c r="J350" s="485">
        <v>2131</v>
      </c>
      <c r="K350" s="390">
        <v>3295</v>
      </c>
      <c r="L350" s="367">
        <v>12934</v>
      </c>
      <c r="M350" s="367">
        <v>4288</v>
      </c>
      <c r="N350" s="367">
        <v>44</v>
      </c>
      <c r="O350" s="390">
        <v>12888</v>
      </c>
      <c r="P350" s="390">
        <v>4734</v>
      </c>
      <c r="Q350" s="391">
        <v>110</v>
      </c>
      <c r="R350" s="485"/>
      <c r="S350" s="390"/>
      <c r="T350" s="218">
        <f t="shared" si="29"/>
        <v>0</v>
      </c>
      <c r="U350" s="219">
        <f t="shared" si="30"/>
        <v>0</v>
      </c>
      <c r="V350" s="485"/>
      <c r="W350" s="390"/>
      <c r="X350" s="485"/>
      <c r="Y350" s="390"/>
      <c r="Z350" s="367"/>
      <c r="AA350" s="367"/>
      <c r="AB350" s="367"/>
      <c r="AC350" s="390"/>
      <c r="AD350" s="390"/>
      <c r="AE350" s="391"/>
      <c r="AF350" s="485"/>
      <c r="AG350" s="390"/>
      <c r="AH350" s="389"/>
    </row>
    <row r="351" spans="1:34">
      <c r="A351" s="550" t="s">
        <v>49</v>
      </c>
      <c r="B351" s="492" t="s">
        <v>599</v>
      </c>
      <c r="C351" s="548"/>
      <c r="D351" s="483">
        <v>207290</v>
      </c>
      <c r="E351" s="484">
        <v>10</v>
      </c>
      <c r="F351" s="217">
        <f t="shared" si="27"/>
        <v>59858</v>
      </c>
      <c r="G351" s="216">
        <f t="shared" si="28"/>
        <v>57813</v>
      </c>
      <c r="H351" s="485">
        <v>47012</v>
      </c>
      <c r="I351" s="390">
        <v>44966</v>
      </c>
      <c r="J351" s="485">
        <v>1036</v>
      </c>
      <c r="K351" s="390">
        <v>1302</v>
      </c>
      <c r="L351" s="367">
        <v>10502</v>
      </c>
      <c r="M351" s="367">
        <v>1308</v>
      </c>
      <c r="N351" s="367"/>
      <c r="O351" s="390">
        <v>10402</v>
      </c>
      <c r="P351" s="390">
        <v>1143</v>
      </c>
      <c r="Q351" s="391"/>
      <c r="R351" s="485"/>
      <c r="S351" s="390"/>
      <c r="T351" s="218">
        <f t="shared" si="29"/>
        <v>0</v>
      </c>
      <c r="U351" s="219">
        <f t="shared" si="30"/>
        <v>0</v>
      </c>
      <c r="V351" s="485"/>
      <c r="W351" s="390"/>
      <c r="X351" s="485"/>
      <c r="Y351" s="390"/>
      <c r="Z351" s="367"/>
      <c r="AA351" s="367"/>
      <c r="AB351" s="367"/>
      <c r="AC351" s="390"/>
      <c r="AD351" s="390"/>
      <c r="AE351" s="391"/>
      <c r="AF351" s="485"/>
      <c r="AG351" s="390"/>
      <c r="AH351" s="389"/>
    </row>
    <row r="352" spans="1:34">
      <c r="A352" s="550" t="s">
        <v>49</v>
      </c>
      <c r="B352" s="492" t="s">
        <v>600</v>
      </c>
      <c r="C352" s="548"/>
      <c r="D352" s="483">
        <v>207069</v>
      </c>
      <c r="E352" s="484">
        <v>10</v>
      </c>
      <c r="F352" s="217">
        <f t="shared" si="27"/>
        <v>43784</v>
      </c>
      <c r="G352" s="216">
        <f t="shared" si="28"/>
        <v>40502</v>
      </c>
      <c r="H352" s="485">
        <v>22737</v>
      </c>
      <c r="I352" s="390">
        <v>22053</v>
      </c>
      <c r="J352" s="485">
        <v>6508</v>
      </c>
      <c r="K352" s="390">
        <v>6065</v>
      </c>
      <c r="L352" s="367">
        <v>12946</v>
      </c>
      <c r="M352" s="367">
        <v>1593</v>
      </c>
      <c r="N352" s="367">
        <v>0</v>
      </c>
      <c r="O352" s="390">
        <v>10641</v>
      </c>
      <c r="P352" s="390">
        <v>1743</v>
      </c>
      <c r="Q352" s="391"/>
      <c r="R352" s="485"/>
      <c r="S352" s="390"/>
      <c r="T352" s="218">
        <f t="shared" si="29"/>
        <v>0</v>
      </c>
      <c r="U352" s="219">
        <f t="shared" si="30"/>
        <v>0</v>
      </c>
      <c r="V352" s="485"/>
      <c r="W352" s="390"/>
      <c r="X352" s="485"/>
      <c r="Y352" s="390"/>
      <c r="Z352" s="367"/>
      <c r="AA352" s="367"/>
      <c r="AB352" s="367"/>
      <c r="AC352" s="390"/>
      <c r="AD352" s="390"/>
      <c r="AE352" s="391"/>
      <c r="AF352" s="485"/>
      <c r="AG352" s="390"/>
      <c r="AH352" s="389"/>
    </row>
    <row r="353" spans="1:34">
      <c r="A353" s="550" t="s">
        <v>49</v>
      </c>
      <c r="B353" s="492" t="s">
        <v>601</v>
      </c>
      <c r="C353" s="548"/>
      <c r="D353" s="483">
        <v>207740</v>
      </c>
      <c r="E353" s="484">
        <v>10</v>
      </c>
      <c r="F353" s="217">
        <f t="shared" si="27"/>
        <v>40992</v>
      </c>
      <c r="G353" s="216">
        <f t="shared" si="28"/>
        <v>38178</v>
      </c>
      <c r="H353" s="485">
        <v>26445</v>
      </c>
      <c r="I353" s="390">
        <v>24232</v>
      </c>
      <c r="J353" s="485">
        <v>6010</v>
      </c>
      <c r="K353" s="390">
        <v>5977</v>
      </c>
      <c r="L353" s="367">
        <v>8489</v>
      </c>
      <c r="M353" s="367">
        <v>48</v>
      </c>
      <c r="N353" s="367">
        <v>0</v>
      </c>
      <c r="O353" s="390">
        <v>7906</v>
      </c>
      <c r="P353" s="390">
        <v>33</v>
      </c>
      <c r="Q353" s="391">
        <v>30</v>
      </c>
      <c r="R353" s="485"/>
      <c r="S353" s="390"/>
      <c r="T353" s="218">
        <f t="shared" si="29"/>
        <v>0</v>
      </c>
      <c r="U353" s="219">
        <f t="shared" si="30"/>
        <v>0</v>
      </c>
      <c r="V353" s="485"/>
      <c r="W353" s="390"/>
      <c r="X353" s="485"/>
      <c r="Y353" s="390"/>
      <c r="Z353" s="367"/>
      <c r="AA353" s="367"/>
      <c r="AB353" s="367"/>
      <c r="AC353" s="390"/>
      <c r="AD353" s="390"/>
      <c r="AE353" s="391"/>
      <c r="AF353" s="485"/>
      <c r="AG353" s="390"/>
      <c r="AH353" s="389"/>
    </row>
    <row r="354" spans="1:34">
      <c r="A354" s="550" t="s">
        <v>49</v>
      </c>
      <c r="B354" s="492" t="s">
        <v>602</v>
      </c>
      <c r="C354" s="548"/>
      <c r="D354" s="483">
        <v>208035</v>
      </c>
      <c r="E354" s="484">
        <v>10</v>
      </c>
      <c r="F354" s="217">
        <f t="shared" si="27"/>
        <v>34640</v>
      </c>
      <c r="G354" s="216">
        <f t="shared" si="28"/>
        <v>29530</v>
      </c>
      <c r="H354" s="485">
        <v>18462</v>
      </c>
      <c r="I354" s="390">
        <v>15711</v>
      </c>
      <c r="J354" s="485">
        <v>4446</v>
      </c>
      <c r="K354" s="390">
        <v>3556</v>
      </c>
      <c r="L354" s="367">
        <v>10035</v>
      </c>
      <c r="M354" s="367">
        <v>1559</v>
      </c>
      <c r="N354" s="367">
        <v>138</v>
      </c>
      <c r="O354" s="390">
        <v>8618</v>
      </c>
      <c r="P354" s="390">
        <v>1645</v>
      </c>
      <c r="Q354" s="391"/>
      <c r="R354" s="485"/>
      <c r="S354" s="390"/>
      <c r="T354" s="218">
        <f t="shared" si="29"/>
        <v>0</v>
      </c>
      <c r="U354" s="219">
        <f t="shared" si="30"/>
        <v>0</v>
      </c>
      <c r="V354" s="485"/>
      <c r="W354" s="390"/>
      <c r="X354" s="485"/>
      <c r="Y354" s="390"/>
      <c r="Z354" s="367"/>
      <c r="AA354" s="367"/>
      <c r="AB354" s="367"/>
      <c r="AC354" s="390"/>
      <c r="AD354" s="390"/>
      <c r="AE354" s="391"/>
      <c r="AF354" s="485"/>
      <c r="AG354" s="390"/>
      <c r="AH354" s="389"/>
    </row>
    <row r="355" spans="1:34">
      <c r="A355" s="600" t="s">
        <v>50</v>
      </c>
      <c r="B355" s="601" t="s">
        <v>713</v>
      </c>
      <c r="C355" s="602"/>
      <c r="D355" s="603">
        <v>217882</v>
      </c>
      <c r="E355" s="604">
        <v>1</v>
      </c>
      <c r="F355" s="217">
        <f t="shared" si="27"/>
        <v>520661</v>
      </c>
      <c r="G355" s="216">
        <f t="shared" si="28"/>
        <v>606707</v>
      </c>
      <c r="H355" s="368">
        <v>475117</v>
      </c>
      <c r="I355" s="605">
        <v>528139</v>
      </c>
      <c r="J355" s="368">
        <v>10754</v>
      </c>
      <c r="K355" s="605">
        <v>34839</v>
      </c>
      <c r="L355" s="367">
        <v>34790</v>
      </c>
      <c r="M355" s="367"/>
      <c r="N355" s="367"/>
      <c r="O355" s="390">
        <v>43729</v>
      </c>
      <c r="P355" s="390"/>
      <c r="Q355" s="391"/>
      <c r="R355" s="368"/>
      <c r="S355" s="605"/>
      <c r="T355" s="218">
        <f t="shared" si="29"/>
        <v>82470</v>
      </c>
      <c r="U355" s="219">
        <f t="shared" si="30"/>
        <v>89736</v>
      </c>
      <c r="V355" s="368">
        <v>59356</v>
      </c>
      <c r="W355" s="605">
        <v>53579</v>
      </c>
      <c r="X355" s="368">
        <v>16963</v>
      </c>
      <c r="Y355" s="605">
        <v>24934</v>
      </c>
      <c r="Z355" s="367">
        <v>6151</v>
      </c>
      <c r="AA355" s="367"/>
      <c r="AB355" s="367"/>
      <c r="AC355" s="390">
        <v>11223</v>
      </c>
      <c r="AD355" s="390"/>
      <c r="AE355" s="391"/>
      <c r="AF355" s="368"/>
      <c r="AG355" s="605"/>
      <c r="AH355" s="389"/>
    </row>
    <row r="356" spans="1:34">
      <c r="A356" s="600" t="s">
        <v>50</v>
      </c>
      <c r="B356" s="601" t="s">
        <v>714</v>
      </c>
      <c r="C356" s="602"/>
      <c r="D356" s="603">
        <v>218663</v>
      </c>
      <c r="E356" s="604">
        <v>1</v>
      </c>
      <c r="F356" s="217">
        <f t="shared" si="27"/>
        <v>723850</v>
      </c>
      <c r="G356" s="216">
        <f t="shared" si="28"/>
        <v>903508</v>
      </c>
      <c r="H356" s="368">
        <v>676701</v>
      </c>
      <c r="I356" s="605">
        <v>798024</v>
      </c>
      <c r="J356" s="368">
        <v>15897</v>
      </c>
      <c r="K356" s="605">
        <v>27300</v>
      </c>
      <c r="L356" s="367">
        <v>28721</v>
      </c>
      <c r="M356" s="367">
        <v>1589</v>
      </c>
      <c r="N356" s="367">
        <v>942</v>
      </c>
      <c r="O356" s="390">
        <v>60623</v>
      </c>
      <c r="P356" s="390">
        <v>12951</v>
      </c>
      <c r="Q356" s="391">
        <v>4610</v>
      </c>
      <c r="R356" s="368"/>
      <c r="S356" s="605"/>
      <c r="T356" s="218">
        <f t="shared" si="29"/>
        <v>109807</v>
      </c>
      <c r="U356" s="219">
        <f t="shared" si="30"/>
        <v>167884</v>
      </c>
      <c r="V356" s="368">
        <v>72065</v>
      </c>
      <c r="W356" s="605">
        <v>126366</v>
      </c>
      <c r="X356" s="368">
        <v>6888</v>
      </c>
      <c r="Y356" s="605">
        <v>6034</v>
      </c>
      <c r="Z356" s="367">
        <v>25460</v>
      </c>
      <c r="AA356" s="367">
        <v>1899</v>
      </c>
      <c r="AB356" s="367">
        <v>3495</v>
      </c>
      <c r="AC356" s="390">
        <v>28115</v>
      </c>
      <c r="AD356" s="390">
        <v>3403</v>
      </c>
      <c r="AE356" s="391">
        <v>3966</v>
      </c>
      <c r="AF356" s="368"/>
      <c r="AG356" s="605"/>
      <c r="AH356" s="389"/>
    </row>
    <row r="357" spans="1:34">
      <c r="A357" s="600" t="s">
        <v>50</v>
      </c>
      <c r="B357" s="601" t="s">
        <v>715</v>
      </c>
      <c r="C357" s="602"/>
      <c r="D357" s="603">
        <v>217819</v>
      </c>
      <c r="E357" s="604">
        <v>3</v>
      </c>
      <c r="F357" s="217">
        <f t="shared" si="27"/>
        <v>311013</v>
      </c>
      <c r="G357" s="216">
        <f t="shared" si="28"/>
        <v>321172</v>
      </c>
      <c r="H357" s="368">
        <v>304235</v>
      </c>
      <c r="I357" s="605">
        <v>306076</v>
      </c>
      <c r="J357" s="368">
        <v>3037</v>
      </c>
      <c r="K357" s="605">
        <v>7497</v>
      </c>
      <c r="L357" s="367">
        <v>3741</v>
      </c>
      <c r="M357" s="367"/>
      <c r="N357" s="367"/>
      <c r="O357" s="390">
        <v>7599</v>
      </c>
      <c r="P357" s="390"/>
      <c r="Q357" s="391"/>
      <c r="R357" s="368"/>
      <c r="S357" s="605"/>
      <c r="T357" s="218">
        <f t="shared" si="29"/>
        <v>17140</v>
      </c>
      <c r="U357" s="219">
        <f t="shared" si="30"/>
        <v>15588</v>
      </c>
      <c r="V357" s="368">
        <v>9528</v>
      </c>
      <c r="W357" s="605">
        <v>8949</v>
      </c>
      <c r="X357" s="368">
        <v>5968</v>
      </c>
      <c r="Y357" s="605">
        <v>4593</v>
      </c>
      <c r="Z357" s="367">
        <v>1644</v>
      </c>
      <c r="AA357" s="367"/>
      <c r="AB357" s="367"/>
      <c r="AC357" s="390">
        <v>2046</v>
      </c>
      <c r="AD357" s="390"/>
      <c r="AE357" s="391"/>
      <c r="AF357" s="368"/>
      <c r="AG357" s="605"/>
      <c r="AH357" s="389"/>
    </row>
    <row r="358" spans="1:34">
      <c r="A358" s="600" t="s">
        <v>50</v>
      </c>
      <c r="B358" s="601" t="s">
        <v>716</v>
      </c>
      <c r="C358" s="606"/>
      <c r="D358" s="603">
        <v>217864</v>
      </c>
      <c r="E358" s="611">
        <v>3</v>
      </c>
      <c r="F358" s="217">
        <f t="shared" si="27"/>
        <v>94726</v>
      </c>
      <c r="G358" s="216">
        <f t="shared" si="28"/>
        <v>110783</v>
      </c>
      <c r="H358" s="368">
        <v>93223</v>
      </c>
      <c r="I358" s="605">
        <v>104967</v>
      </c>
      <c r="J358" s="368">
        <v>171</v>
      </c>
      <c r="K358" s="605">
        <v>1659</v>
      </c>
      <c r="L358" s="367">
        <v>1233</v>
      </c>
      <c r="M358" s="367">
        <v>99</v>
      </c>
      <c r="N358" s="367"/>
      <c r="O358" s="390">
        <v>4106</v>
      </c>
      <c r="P358" s="390">
        <v>51</v>
      </c>
      <c r="Q358" s="391"/>
      <c r="R358" s="368"/>
      <c r="S358" s="605"/>
      <c r="T358" s="218">
        <f t="shared" si="29"/>
        <v>13889</v>
      </c>
      <c r="U358" s="219">
        <f t="shared" si="30"/>
        <v>13901</v>
      </c>
      <c r="V358" s="368">
        <v>10475</v>
      </c>
      <c r="W358" s="605">
        <v>9922</v>
      </c>
      <c r="X358" s="368">
        <v>1752</v>
      </c>
      <c r="Y358" s="605">
        <v>1476</v>
      </c>
      <c r="Z358" s="367">
        <v>1662</v>
      </c>
      <c r="AA358" s="367"/>
      <c r="AB358" s="367"/>
      <c r="AC358" s="390">
        <v>2503</v>
      </c>
      <c r="AD358" s="390"/>
      <c r="AE358" s="391"/>
      <c r="AF358" s="368"/>
      <c r="AG358" s="605"/>
      <c r="AH358" s="389"/>
    </row>
    <row r="359" spans="1:34">
      <c r="A359" s="600" t="s">
        <v>50</v>
      </c>
      <c r="B359" s="601" t="s">
        <v>717</v>
      </c>
      <c r="C359" s="602"/>
      <c r="D359" s="603">
        <v>218964</v>
      </c>
      <c r="E359" s="604">
        <v>3</v>
      </c>
      <c r="F359" s="217">
        <f t="shared" si="27"/>
        <v>144803</v>
      </c>
      <c r="G359" s="216">
        <f t="shared" si="28"/>
        <v>158851</v>
      </c>
      <c r="H359" s="368">
        <v>138634</v>
      </c>
      <c r="I359" s="605">
        <v>149195</v>
      </c>
      <c r="J359" s="368">
        <v>1679</v>
      </c>
      <c r="K359" s="605">
        <v>3706</v>
      </c>
      <c r="L359" s="367">
        <v>4490</v>
      </c>
      <c r="M359" s="367"/>
      <c r="N359" s="367"/>
      <c r="O359" s="390">
        <v>5950</v>
      </c>
      <c r="P359" s="390"/>
      <c r="Q359" s="391"/>
      <c r="R359" s="368"/>
      <c r="S359" s="605"/>
      <c r="T359" s="218">
        <f t="shared" si="29"/>
        <v>17905</v>
      </c>
      <c r="U359" s="219">
        <f t="shared" si="30"/>
        <v>24493</v>
      </c>
      <c r="V359" s="368">
        <v>13556</v>
      </c>
      <c r="W359" s="605">
        <v>21568</v>
      </c>
      <c r="X359" s="368">
        <v>2576</v>
      </c>
      <c r="Y359" s="605">
        <v>2108</v>
      </c>
      <c r="Z359" s="367">
        <v>1773</v>
      </c>
      <c r="AA359" s="367"/>
      <c r="AB359" s="367"/>
      <c r="AC359" s="390">
        <v>817</v>
      </c>
      <c r="AD359" s="390"/>
      <c r="AE359" s="391"/>
      <c r="AF359" s="368"/>
      <c r="AG359" s="605"/>
      <c r="AH359" s="389"/>
    </row>
    <row r="360" spans="1:34">
      <c r="A360" s="600" t="s">
        <v>50</v>
      </c>
      <c r="B360" s="601" t="s">
        <v>718</v>
      </c>
      <c r="C360" s="602" t="s">
        <v>354</v>
      </c>
      <c r="D360" s="603">
        <v>218724</v>
      </c>
      <c r="E360" s="604">
        <v>5</v>
      </c>
      <c r="F360" s="217">
        <f t="shared" si="27"/>
        <v>254805</v>
      </c>
      <c r="G360" s="216">
        <f t="shared" si="28"/>
        <v>275731</v>
      </c>
      <c r="H360" s="368">
        <v>234185</v>
      </c>
      <c r="I360" s="605">
        <v>243704</v>
      </c>
      <c r="J360" s="368">
        <v>1814</v>
      </c>
      <c r="K360" s="605">
        <v>3150</v>
      </c>
      <c r="L360" s="367">
        <v>18806</v>
      </c>
      <c r="M360" s="367"/>
      <c r="N360" s="367"/>
      <c r="O360" s="390">
        <v>28877</v>
      </c>
      <c r="P360" s="390"/>
      <c r="Q360" s="391"/>
      <c r="R360" s="368"/>
      <c r="S360" s="605"/>
      <c r="T360" s="218">
        <f t="shared" si="29"/>
        <v>11154</v>
      </c>
      <c r="U360" s="219">
        <f t="shared" si="30"/>
        <v>11639</v>
      </c>
      <c r="V360" s="368">
        <v>4685</v>
      </c>
      <c r="W360" s="605">
        <v>5691</v>
      </c>
      <c r="X360" s="368">
        <v>2172</v>
      </c>
      <c r="Y360" s="605">
        <v>1311</v>
      </c>
      <c r="Z360" s="367">
        <v>4297</v>
      </c>
      <c r="AA360" s="367"/>
      <c r="AB360" s="367"/>
      <c r="AC360" s="390">
        <v>4637</v>
      </c>
      <c r="AD360" s="390"/>
      <c r="AE360" s="391"/>
      <c r="AF360" s="368"/>
      <c r="AG360" s="605"/>
      <c r="AH360" s="389"/>
    </row>
    <row r="361" spans="1:34">
      <c r="A361" s="600" t="s">
        <v>50</v>
      </c>
      <c r="B361" s="601" t="s">
        <v>719</v>
      </c>
      <c r="C361" s="602"/>
      <c r="D361" s="603">
        <v>218061</v>
      </c>
      <c r="E361" s="604">
        <v>5</v>
      </c>
      <c r="F361" s="217">
        <f t="shared" si="27"/>
        <v>101112</v>
      </c>
      <c r="G361" s="216">
        <f t="shared" si="28"/>
        <v>103758</v>
      </c>
      <c r="H361" s="368">
        <v>99627</v>
      </c>
      <c r="I361" s="605">
        <v>99759</v>
      </c>
      <c r="J361" s="368">
        <v>304</v>
      </c>
      <c r="K361" s="605">
        <v>1373</v>
      </c>
      <c r="L361" s="367">
        <v>1181</v>
      </c>
      <c r="M361" s="367"/>
      <c r="N361" s="367"/>
      <c r="O361" s="390">
        <v>2626</v>
      </c>
      <c r="P361" s="390"/>
      <c r="Q361" s="391"/>
      <c r="R361" s="368"/>
      <c r="S361" s="605"/>
      <c r="T361" s="218">
        <f t="shared" si="29"/>
        <v>5912</v>
      </c>
      <c r="U361" s="219">
        <f t="shared" si="30"/>
        <v>6570</v>
      </c>
      <c r="V361" s="368">
        <v>3746</v>
      </c>
      <c r="W361" s="605">
        <v>4155</v>
      </c>
      <c r="X361" s="368">
        <v>1113</v>
      </c>
      <c r="Y361" s="605">
        <v>885</v>
      </c>
      <c r="Z361" s="367">
        <v>1053</v>
      </c>
      <c r="AA361" s="367"/>
      <c r="AB361" s="367"/>
      <c r="AC361" s="390">
        <v>1530</v>
      </c>
      <c r="AD361" s="390"/>
      <c r="AE361" s="391"/>
      <c r="AF361" s="368"/>
      <c r="AG361" s="605"/>
      <c r="AH361" s="389"/>
    </row>
    <row r="362" spans="1:34">
      <c r="A362" s="600" t="s">
        <v>50</v>
      </c>
      <c r="B362" s="601" t="s">
        <v>720</v>
      </c>
      <c r="C362" s="602"/>
      <c r="D362" s="603">
        <v>218733</v>
      </c>
      <c r="E362" s="604">
        <v>5</v>
      </c>
      <c r="F362" s="217">
        <f t="shared" si="27"/>
        <v>88130</v>
      </c>
      <c r="G362" s="216">
        <f t="shared" si="28"/>
        <v>91612</v>
      </c>
      <c r="H362" s="368">
        <v>84953</v>
      </c>
      <c r="I362" s="605">
        <v>87787</v>
      </c>
      <c r="J362" s="368"/>
      <c r="K362" s="605"/>
      <c r="L362" s="367">
        <v>3177</v>
      </c>
      <c r="M362" s="367"/>
      <c r="N362" s="367"/>
      <c r="O362" s="390">
        <v>3825</v>
      </c>
      <c r="P362" s="390"/>
      <c r="Q362" s="391"/>
      <c r="R362" s="368"/>
      <c r="S362" s="605"/>
      <c r="T362" s="218">
        <f t="shared" si="29"/>
        <v>9387</v>
      </c>
      <c r="U362" s="219">
        <f t="shared" si="30"/>
        <v>8874</v>
      </c>
      <c r="V362" s="368">
        <v>8358</v>
      </c>
      <c r="W362" s="605">
        <v>7929</v>
      </c>
      <c r="X362" s="368"/>
      <c r="Y362" s="605"/>
      <c r="Z362" s="367">
        <v>1029</v>
      </c>
      <c r="AA362" s="367"/>
      <c r="AB362" s="367"/>
      <c r="AC362" s="390">
        <v>945</v>
      </c>
      <c r="AD362" s="390"/>
      <c r="AE362" s="391"/>
      <c r="AF362" s="368"/>
      <c r="AG362" s="605"/>
      <c r="AH362" s="389"/>
    </row>
    <row r="363" spans="1:34">
      <c r="A363" s="600" t="s">
        <v>50</v>
      </c>
      <c r="B363" s="601" t="s">
        <v>721</v>
      </c>
      <c r="C363" s="602"/>
      <c r="D363" s="603">
        <v>218229</v>
      </c>
      <c r="E363" s="604">
        <v>6</v>
      </c>
      <c r="F363" s="217">
        <f t="shared" si="27"/>
        <v>81922</v>
      </c>
      <c r="G363" s="216">
        <f t="shared" si="28"/>
        <v>79605</v>
      </c>
      <c r="H363" s="368">
        <v>75040</v>
      </c>
      <c r="I363" s="605">
        <v>73019</v>
      </c>
      <c r="J363" s="368">
        <v>24</v>
      </c>
      <c r="K363" s="605">
        <v>30</v>
      </c>
      <c r="L363" s="367">
        <v>6858</v>
      </c>
      <c r="M363" s="367"/>
      <c r="N363" s="367"/>
      <c r="O363" s="390">
        <v>6556</v>
      </c>
      <c r="P363" s="390"/>
      <c r="Q363" s="391"/>
      <c r="R363" s="368"/>
      <c r="S363" s="605"/>
      <c r="T363" s="218">
        <f t="shared" si="29"/>
        <v>1791</v>
      </c>
      <c r="U363" s="219">
        <f t="shared" si="30"/>
        <v>1575</v>
      </c>
      <c r="V363" s="368">
        <v>1233</v>
      </c>
      <c r="W363" s="605">
        <v>927</v>
      </c>
      <c r="X363" s="368">
        <v>39</v>
      </c>
      <c r="Y363" s="605">
        <v>15</v>
      </c>
      <c r="Z363" s="367">
        <v>519</v>
      </c>
      <c r="AA363" s="367"/>
      <c r="AB363" s="367"/>
      <c r="AC363" s="390">
        <v>633</v>
      </c>
      <c r="AD363" s="390"/>
      <c r="AE363" s="391"/>
      <c r="AF363" s="368"/>
      <c r="AG363" s="605"/>
      <c r="AH363" s="389"/>
    </row>
    <row r="364" spans="1:34">
      <c r="A364" s="600" t="s">
        <v>50</v>
      </c>
      <c r="B364" s="601" t="s">
        <v>722</v>
      </c>
      <c r="C364" s="602"/>
      <c r="D364" s="603">
        <v>218645</v>
      </c>
      <c r="E364" s="604">
        <v>6</v>
      </c>
      <c r="F364" s="217">
        <f t="shared" si="27"/>
        <v>86857</v>
      </c>
      <c r="G364" s="216">
        <f t="shared" si="28"/>
        <v>89448</v>
      </c>
      <c r="H364" s="368">
        <v>78274</v>
      </c>
      <c r="I364" s="605">
        <v>77065</v>
      </c>
      <c r="J364" s="368">
        <v>3871</v>
      </c>
      <c r="K364" s="605">
        <v>4979</v>
      </c>
      <c r="L364" s="367">
        <v>4424</v>
      </c>
      <c r="M364" s="367"/>
      <c r="N364" s="367">
        <v>288</v>
      </c>
      <c r="O364" s="390">
        <v>7404</v>
      </c>
      <c r="P364" s="390"/>
      <c r="Q364" s="391"/>
      <c r="R364" s="368"/>
      <c r="S364" s="605"/>
      <c r="T364" s="218">
        <f t="shared" si="29"/>
        <v>1767</v>
      </c>
      <c r="U364" s="219">
        <f t="shared" si="30"/>
        <v>4520</v>
      </c>
      <c r="V364" s="368">
        <v>880</v>
      </c>
      <c r="W364" s="605">
        <v>2875</v>
      </c>
      <c r="X364" s="368">
        <v>164</v>
      </c>
      <c r="Y364" s="605">
        <v>61</v>
      </c>
      <c r="Z364" s="367">
        <v>723</v>
      </c>
      <c r="AA364" s="367"/>
      <c r="AB364" s="367"/>
      <c r="AC364" s="390">
        <v>1584</v>
      </c>
      <c r="AD364" s="390"/>
      <c r="AE364" s="391"/>
      <c r="AF364" s="368"/>
      <c r="AG364" s="605"/>
      <c r="AH364" s="389"/>
    </row>
    <row r="365" spans="1:34">
      <c r="A365" s="600" t="s">
        <v>50</v>
      </c>
      <c r="B365" s="607" t="s">
        <v>723</v>
      </c>
      <c r="C365" s="608"/>
      <c r="D365" s="603">
        <v>218654</v>
      </c>
      <c r="E365" s="604">
        <v>6</v>
      </c>
      <c r="F365" s="217">
        <f t="shared" si="27"/>
        <v>50914</v>
      </c>
      <c r="G365" s="216">
        <f t="shared" si="28"/>
        <v>46512</v>
      </c>
      <c r="H365" s="368">
        <v>44907</v>
      </c>
      <c r="I365" s="605">
        <v>39597</v>
      </c>
      <c r="J365" s="368">
        <v>4360</v>
      </c>
      <c r="K365" s="605">
        <v>1165</v>
      </c>
      <c r="L365" s="367">
        <v>1647</v>
      </c>
      <c r="M365" s="367"/>
      <c r="N365" s="367"/>
      <c r="O365" s="390">
        <v>5630</v>
      </c>
      <c r="P365" s="390"/>
      <c r="Q365" s="391">
        <v>120</v>
      </c>
      <c r="R365" s="368"/>
      <c r="S365" s="605"/>
      <c r="T365" s="218">
        <f t="shared" si="29"/>
        <v>0</v>
      </c>
      <c r="U365" s="219">
        <f t="shared" si="30"/>
        <v>0</v>
      </c>
      <c r="V365" s="368">
        <v>0</v>
      </c>
      <c r="W365" s="605"/>
      <c r="X365" s="368"/>
      <c r="Y365" s="605"/>
      <c r="Z365" s="367"/>
      <c r="AA365" s="367"/>
      <c r="AB365" s="367"/>
      <c r="AC365" s="390"/>
      <c r="AD365" s="390"/>
      <c r="AE365" s="391"/>
      <c r="AF365" s="368"/>
      <c r="AG365" s="605"/>
      <c r="AH365" s="389"/>
    </row>
    <row r="366" spans="1:34">
      <c r="A366" s="600" t="s">
        <v>50</v>
      </c>
      <c r="B366" s="601" t="s">
        <v>724</v>
      </c>
      <c r="C366" s="602"/>
      <c r="D366" s="603">
        <v>218742</v>
      </c>
      <c r="E366" s="604">
        <v>6</v>
      </c>
      <c r="F366" s="217">
        <f t="shared" si="27"/>
        <v>158792</v>
      </c>
      <c r="G366" s="216">
        <f t="shared" si="28"/>
        <v>150269</v>
      </c>
      <c r="H366" s="368">
        <v>132468</v>
      </c>
      <c r="I366" s="605">
        <v>123267</v>
      </c>
      <c r="J366" s="368">
        <v>9715</v>
      </c>
      <c r="K366" s="605">
        <v>9664</v>
      </c>
      <c r="L366" s="367">
        <v>15607</v>
      </c>
      <c r="M366" s="367">
        <v>978</v>
      </c>
      <c r="N366" s="367">
        <v>24</v>
      </c>
      <c r="O366" s="390">
        <v>16774</v>
      </c>
      <c r="P366" s="390">
        <v>564</v>
      </c>
      <c r="Q366" s="391"/>
      <c r="R366" s="368"/>
      <c r="S366" s="605"/>
      <c r="T366" s="218">
        <f t="shared" si="29"/>
        <v>1638</v>
      </c>
      <c r="U366" s="219">
        <f t="shared" si="30"/>
        <v>4668</v>
      </c>
      <c r="V366" s="368">
        <v>552</v>
      </c>
      <c r="W366" s="605">
        <v>3351</v>
      </c>
      <c r="X366" s="368">
        <v>90</v>
      </c>
      <c r="Y366" s="605"/>
      <c r="Z366" s="367">
        <v>996</v>
      </c>
      <c r="AA366" s="367"/>
      <c r="AB366" s="367"/>
      <c r="AC366" s="390">
        <v>1257</v>
      </c>
      <c r="AD366" s="390">
        <v>60</v>
      </c>
      <c r="AE366" s="391"/>
      <c r="AF366" s="368"/>
      <c r="AG366" s="605"/>
      <c r="AH366" s="389"/>
    </row>
    <row r="367" spans="1:34">
      <c r="A367" s="600" t="s">
        <v>50</v>
      </c>
      <c r="B367" s="609" t="s">
        <v>725</v>
      </c>
      <c r="C367" s="610"/>
      <c r="D367" s="603">
        <v>218025</v>
      </c>
      <c r="E367" s="604">
        <v>8</v>
      </c>
      <c r="F367" s="217">
        <f t="shared" si="27"/>
        <v>152536</v>
      </c>
      <c r="G367" s="216">
        <f t="shared" si="28"/>
        <v>137560</v>
      </c>
      <c r="H367" s="368">
        <v>105158</v>
      </c>
      <c r="I367" s="605">
        <v>89294</v>
      </c>
      <c r="J367" s="368">
        <v>9226</v>
      </c>
      <c r="K367" s="605">
        <v>9605</v>
      </c>
      <c r="L367" s="367">
        <v>32086</v>
      </c>
      <c r="M367" s="367">
        <v>6066</v>
      </c>
      <c r="N367" s="367"/>
      <c r="O367" s="390">
        <v>32775</v>
      </c>
      <c r="P367" s="390">
        <v>5886</v>
      </c>
      <c r="Q367" s="391"/>
      <c r="R367" s="368"/>
      <c r="S367" s="605"/>
      <c r="T367" s="218">
        <f t="shared" si="29"/>
        <v>0</v>
      </c>
      <c r="U367" s="219">
        <f t="shared" si="30"/>
        <v>0</v>
      </c>
      <c r="V367" s="368"/>
      <c r="W367" s="605"/>
      <c r="X367" s="368"/>
      <c r="Y367" s="605"/>
      <c r="Z367" s="367"/>
      <c r="AA367" s="367"/>
      <c r="AB367" s="367"/>
      <c r="AC367" s="390"/>
      <c r="AD367" s="390"/>
      <c r="AE367" s="391"/>
      <c r="AF367" s="368"/>
      <c r="AG367" s="605"/>
      <c r="AH367" s="389"/>
    </row>
    <row r="368" spans="1:34">
      <c r="A368" s="600" t="s">
        <v>50</v>
      </c>
      <c r="B368" s="601" t="s">
        <v>726</v>
      </c>
      <c r="C368" s="612"/>
      <c r="D368" s="603">
        <v>218113</v>
      </c>
      <c r="E368" s="604">
        <v>8</v>
      </c>
      <c r="F368" s="217">
        <f t="shared" si="27"/>
        <v>327708</v>
      </c>
      <c r="G368" s="216">
        <f t="shared" si="28"/>
        <v>266598</v>
      </c>
      <c r="H368" s="368">
        <v>247854</v>
      </c>
      <c r="I368" s="605">
        <v>187176</v>
      </c>
      <c r="J368" s="368">
        <v>15213</v>
      </c>
      <c r="K368" s="605">
        <v>15662</v>
      </c>
      <c r="L368" s="367">
        <v>64641</v>
      </c>
      <c r="M368" s="367"/>
      <c r="N368" s="367"/>
      <c r="O368" s="390">
        <v>63760</v>
      </c>
      <c r="P368" s="390"/>
      <c r="Q368" s="391"/>
      <c r="R368" s="368"/>
      <c r="S368" s="605"/>
      <c r="T368" s="218">
        <f t="shared" si="29"/>
        <v>0</v>
      </c>
      <c r="U368" s="219">
        <f t="shared" si="30"/>
        <v>0</v>
      </c>
      <c r="V368" s="368"/>
      <c r="W368" s="605"/>
      <c r="X368" s="368"/>
      <c r="Y368" s="605"/>
      <c r="Z368" s="367"/>
      <c r="AA368" s="367"/>
      <c r="AB368" s="367"/>
      <c r="AC368" s="390"/>
      <c r="AD368" s="390"/>
      <c r="AE368" s="391"/>
      <c r="AF368" s="368"/>
      <c r="AG368" s="605"/>
      <c r="AH368" s="389"/>
    </row>
    <row r="369" spans="1:34">
      <c r="A369" s="600" t="s">
        <v>50</v>
      </c>
      <c r="B369" s="609" t="s">
        <v>727</v>
      </c>
      <c r="C369" s="613"/>
      <c r="D369" s="603">
        <v>218140</v>
      </c>
      <c r="E369" s="604">
        <v>8</v>
      </c>
      <c r="F369" s="217">
        <f t="shared" si="27"/>
        <v>183463</v>
      </c>
      <c r="G369" s="216">
        <f t="shared" si="28"/>
        <v>166199</v>
      </c>
      <c r="H369" s="368">
        <v>138861</v>
      </c>
      <c r="I369" s="605">
        <v>111778</v>
      </c>
      <c r="J369" s="368">
        <v>7420</v>
      </c>
      <c r="K369" s="605">
        <v>9146</v>
      </c>
      <c r="L369" s="367">
        <v>37182</v>
      </c>
      <c r="M369" s="367"/>
      <c r="N369" s="367"/>
      <c r="O369" s="390">
        <v>45275</v>
      </c>
      <c r="P369" s="390"/>
      <c r="Q369" s="391"/>
      <c r="R369" s="368"/>
      <c r="S369" s="605"/>
      <c r="T369" s="218">
        <f t="shared" si="29"/>
        <v>0</v>
      </c>
      <c r="U369" s="219">
        <f t="shared" si="30"/>
        <v>0</v>
      </c>
      <c r="V369" s="368"/>
      <c r="W369" s="605"/>
      <c r="X369" s="368"/>
      <c r="Y369" s="605"/>
      <c r="Z369" s="367"/>
      <c r="AA369" s="367"/>
      <c r="AB369" s="367"/>
      <c r="AC369" s="390"/>
      <c r="AD369" s="390"/>
      <c r="AE369" s="391"/>
      <c r="AF369" s="368"/>
      <c r="AG369" s="605"/>
      <c r="AH369" s="389"/>
    </row>
    <row r="370" spans="1:34">
      <c r="A370" s="600" t="s">
        <v>50</v>
      </c>
      <c r="B370" s="601" t="s">
        <v>728</v>
      </c>
      <c r="C370" s="612"/>
      <c r="D370" s="603">
        <v>218353</v>
      </c>
      <c r="E370" s="604">
        <v>8</v>
      </c>
      <c r="F370" s="217">
        <f t="shared" si="27"/>
        <v>302425</v>
      </c>
      <c r="G370" s="216">
        <f t="shared" si="28"/>
        <v>256118</v>
      </c>
      <c r="H370" s="368">
        <v>239031</v>
      </c>
      <c r="I370" s="605">
        <v>193510</v>
      </c>
      <c r="J370" s="368">
        <v>15100</v>
      </c>
      <c r="K370" s="605">
        <v>13701</v>
      </c>
      <c r="L370" s="367">
        <v>48294</v>
      </c>
      <c r="M370" s="367"/>
      <c r="N370" s="367"/>
      <c r="O370" s="390">
        <v>48907</v>
      </c>
      <c r="P370" s="390"/>
      <c r="Q370" s="391"/>
      <c r="R370" s="368"/>
      <c r="S370" s="605"/>
      <c r="T370" s="218">
        <f t="shared" si="29"/>
        <v>0</v>
      </c>
      <c r="U370" s="219">
        <f t="shared" si="30"/>
        <v>0</v>
      </c>
      <c r="V370" s="368"/>
      <c r="W370" s="605"/>
      <c r="X370" s="368"/>
      <c r="Y370" s="605"/>
      <c r="Z370" s="367"/>
      <c r="AA370" s="367"/>
      <c r="AB370" s="367"/>
      <c r="AC370" s="390"/>
      <c r="AD370" s="390"/>
      <c r="AE370" s="391"/>
      <c r="AF370" s="368"/>
      <c r="AG370" s="605"/>
      <c r="AH370" s="389"/>
    </row>
    <row r="371" spans="1:34">
      <c r="A371" s="600" t="s">
        <v>50</v>
      </c>
      <c r="B371" s="609" t="s">
        <v>729</v>
      </c>
      <c r="C371" s="610" t="s">
        <v>466</v>
      </c>
      <c r="D371" s="603">
        <v>218520</v>
      </c>
      <c r="E371" s="604">
        <v>8</v>
      </c>
      <c r="F371" s="217">
        <f t="shared" si="27"/>
        <v>169108</v>
      </c>
      <c r="G371" s="216">
        <f t="shared" si="28"/>
        <v>131679</v>
      </c>
      <c r="H371" s="368">
        <v>99721</v>
      </c>
      <c r="I371" s="605">
        <v>61320</v>
      </c>
      <c r="J371" s="368">
        <v>15484</v>
      </c>
      <c r="K371" s="605">
        <v>11916</v>
      </c>
      <c r="L371" s="367">
        <v>46684</v>
      </c>
      <c r="M371" s="367">
        <v>7219</v>
      </c>
      <c r="N371" s="367"/>
      <c r="O371" s="390">
        <v>51532</v>
      </c>
      <c r="P371" s="390">
        <v>6911</v>
      </c>
      <c r="Q371" s="391"/>
      <c r="R371" s="368"/>
      <c r="S371" s="605"/>
      <c r="T371" s="218">
        <f t="shared" si="29"/>
        <v>0</v>
      </c>
      <c r="U371" s="219">
        <f t="shared" si="30"/>
        <v>0</v>
      </c>
      <c r="V371" s="368"/>
      <c r="W371" s="605"/>
      <c r="X371" s="368"/>
      <c r="Y371" s="605"/>
      <c r="Z371" s="367"/>
      <c r="AA371" s="367"/>
      <c r="AB371" s="367"/>
      <c r="AC371" s="390"/>
      <c r="AD371" s="390"/>
      <c r="AE371" s="391"/>
      <c r="AF371" s="368"/>
      <c r="AG371" s="605"/>
      <c r="AH371" s="389"/>
    </row>
    <row r="372" spans="1:34">
      <c r="A372" s="600" t="s">
        <v>50</v>
      </c>
      <c r="B372" s="609" t="s">
        <v>730</v>
      </c>
      <c r="C372" s="613"/>
      <c r="D372" s="603">
        <v>218885</v>
      </c>
      <c r="E372" s="604">
        <v>8</v>
      </c>
      <c r="F372" s="217">
        <f t="shared" si="27"/>
        <v>169450</v>
      </c>
      <c r="G372" s="216">
        <f t="shared" si="28"/>
        <v>154944</v>
      </c>
      <c r="H372" s="368">
        <v>132953</v>
      </c>
      <c r="I372" s="605">
        <v>116857</v>
      </c>
      <c r="J372" s="368">
        <v>5964</v>
      </c>
      <c r="K372" s="605">
        <v>6031</v>
      </c>
      <c r="L372" s="367">
        <v>30533</v>
      </c>
      <c r="M372" s="367"/>
      <c r="N372" s="367"/>
      <c r="O372" s="390">
        <v>32056</v>
      </c>
      <c r="P372" s="390"/>
      <c r="Q372" s="391"/>
      <c r="R372" s="368"/>
      <c r="S372" s="605"/>
      <c r="T372" s="218">
        <f t="shared" si="29"/>
        <v>0</v>
      </c>
      <c r="U372" s="219">
        <f t="shared" si="30"/>
        <v>0</v>
      </c>
      <c r="V372" s="368"/>
      <c r="W372" s="605"/>
      <c r="X372" s="368"/>
      <c r="Y372" s="605"/>
      <c r="Z372" s="367"/>
      <c r="AA372" s="367"/>
      <c r="AB372" s="367"/>
      <c r="AC372" s="390"/>
      <c r="AD372" s="390"/>
      <c r="AE372" s="391"/>
      <c r="AF372" s="368"/>
      <c r="AG372" s="605"/>
      <c r="AH372" s="389"/>
    </row>
    <row r="373" spans="1:34">
      <c r="A373" s="600" t="s">
        <v>50</v>
      </c>
      <c r="B373" s="601" t="s">
        <v>731</v>
      </c>
      <c r="C373" s="612"/>
      <c r="D373" s="603">
        <v>218894</v>
      </c>
      <c r="E373" s="604">
        <v>8</v>
      </c>
      <c r="F373" s="217">
        <f t="shared" si="27"/>
        <v>427493</v>
      </c>
      <c r="G373" s="216">
        <f t="shared" si="28"/>
        <v>372456</v>
      </c>
      <c r="H373" s="368">
        <v>302703</v>
      </c>
      <c r="I373" s="605">
        <v>244850</v>
      </c>
      <c r="J373" s="368">
        <v>18448</v>
      </c>
      <c r="K373" s="605">
        <v>21171</v>
      </c>
      <c r="L373" s="367">
        <v>106342</v>
      </c>
      <c r="M373" s="367"/>
      <c r="N373" s="367"/>
      <c r="O373" s="390">
        <v>106435</v>
      </c>
      <c r="P373" s="390"/>
      <c r="Q373" s="391"/>
      <c r="R373" s="368"/>
      <c r="S373" s="605"/>
      <c r="T373" s="218">
        <f t="shared" si="29"/>
        <v>0</v>
      </c>
      <c r="U373" s="219">
        <f t="shared" si="30"/>
        <v>0</v>
      </c>
      <c r="V373" s="368"/>
      <c r="W373" s="605"/>
      <c r="X373" s="368"/>
      <c r="Y373" s="605"/>
      <c r="Z373" s="367"/>
      <c r="AA373" s="367"/>
      <c r="AB373" s="367"/>
      <c r="AC373" s="390"/>
      <c r="AD373" s="390"/>
      <c r="AE373" s="391"/>
      <c r="AF373" s="368"/>
      <c r="AG373" s="605"/>
      <c r="AH373" s="389"/>
    </row>
    <row r="374" spans="1:34">
      <c r="A374" s="600" t="s">
        <v>50</v>
      </c>
      <c r="B374" s="614" t="s">
        <v>732</v>
      </c>
      <c r="C374" s="610" t="s">
        <v>357</v>
      </c>
      <c r="D374" s="603">
        <v>217615</v>
      </c>
      <c r="E374" s="604">
        <v>9</v>
      </c>
      <c r="F374" s="217">
        <f t="shared" si="27"/>
        <v>73479</v>
      </c>
      <c r="G374" s="216">
        <f t="shared" si="28"/>
        <v>53726</v>
      </c>
      <c r="H374" s="368">
        <v>58274</v>
      </c>
      <c r="I374" s="605">
        <v>39177</v>
      </c>
      <c r="J374" s="368">
        <v>4319</v>
      </c>
      <c r="K374" s="605">
        <v>3441</v>
      </c>
      <c r="L374" s="367">
        <v>10886</v>
      </c>
      <c r="M374" s="367"/>
      <c r="N374" s="367"/>
      <c r="O374" s="390">
        <v>11108</v>
      </c>
      <c r="P374" s="390"/>
      <c r="Q374" s="391"/>
      <c r="R374" s="368"/>
      <c r="S374" s="605"/>
      <c r="T374" s="218">
        <f t="shared" si="29"/>
        <v>0</v>
      </c>
      <c r="U374" s="219">
        <f t="shared" si="30"/>
        <v>0</v>
      </c>
      <c r="V374" s="368"/>
      <c r="W374" s="605"/>
      <c r="X374" s="368"/>
      <c r="Y374" s="605"/>
      <c r="Z374" s="367"/>
      <c r="AA374" s="367"/>
      <c r="AB374" s="367"/>
      <c r="AC374" s="390"/>
      <c r="AD374" s="390"/>
      <c r="AE374" s="391"/>
      <c r="AF374" s="368"/>
      <c r="AG374" s="605"/>
      <c r="AH374" s="389"/>
    </row>
    <row r="375" spans="1:34">
      <c r="A375" s="600" t="s">
        <v>50</v>
      </c>
      <c r="B375" s="601" t="s">
        <v>733</v>
      </c>
      <c r="C375" s="612"/>
      <c r="D375" s="603">
        <v>218858</v>
      </c>
      <c r="E375" s="604">
        <v>9</v>
      </c>
      <c r="F375" s="217">
        <f t="shared" si="27"/>
        <v>95037</v>
      </c>
      <c r="G375" s="216">
        <f t="shared" si="28"/>
        <v>81806</v>
      </c>
      <c r="H375" s="368">
        <v>72183</v>
      </c>
      <c r="I375" s="605">
        <v>60140</v>
      </c>
      <c r="J375" s="368">
        <v>1947</v>
      </c>
      <c r="K375" s="605">
        <v>2397</v>
      </c>
      <c r="L375" s="367">
        <v>20907</v>
      </c>
      <c r="M375" s="367"/>
      <c r="N375" s="367"/>
      <c r="O375" s="390">
        <v>19269</v>
      </c>
      <c r="P375" s="390"/>
      <c r="Q375" s="391"/>
      <c r="R375" s="368"/>
      <c r="S375" s="605"/>
      <c r="T375" s="218">
        <f t="shared" si="29"/>
        <v>0</v>
      </c>
      <c r="U375" s="219">
        <f t="shared" si="30"/>
        <v>0</v>
      </c>
      <c r="V375" s="368"/>
      <c r="W375" s="605"/>
      <c r="X375" s="368"/>
      <c r="Y375" s="605"/>
      <c r="Z375" s="367"/>
      <c r="AA375" s="367"/>
      <c r="AB375" s="367"/>
      <c r="AC375" s="390"/>
      <c r="AD375" s="390"/>
      <c r="AE375" s="391"/>
      <c r="AF375" s="368"/>
      <c r="AG375" s="605"/>
      <c r="AH375" s="389"/>
    </row>
    <row r="376" spans="1:34">
      <c r="A376" s="600" t="s">
        <v>50</v>
      </c>
      <c r="B376" s="601" t="s">
        <v>734</v>
      </c>
      <c r="C376" s="612"/>
      <c r="D376" s="603">
        <v>218487</v>
      </c>
      <c r="E376" s="604">
        <v>9</v>
      </c>
      <c r="F376" s="217">
        <f t="shared" si="27"/>
        <v>70765</v>
      </c>
      <c r="G376" s="216">
        <f t="shared" si="28"/>
        <v>63519</v>
      </c>
      <c r="H376" s="368">
        <v>53761</v>
      </c>
      <c r="I376" s="605">
        <v>43900</v>
      </c>
      <c r="J376" s="368">
        <v>7603</v>
      </c>
      <c r="K376" s="605">
        <v>9610</v>
      </c>
      <c r="L376" s="367">
        <v>9401</v>
      </c>
      <c r="M376" s="367"/>
      <c r="N376" s="367"/>
      <c r="O376" s="390">
        <v>10009</v>
      </c>
      <c r="P376" s="390"/>
      <c r="Q376" s="391"/>
      <c r="R376" s="368"/>
      <c r="S376" s="605"/>
      <c r="T376" s="218">
        <f t="shared" si="29"/>
        <v>0</v>
      </c>
      <c r="U376" s="219">
        <f t="shared" si="30"/>
        <v>0</v>
      </c>
      <c r="V376" s="368"/>
      <c r="W376" s="605"/>
      <c r="X376" s="368"/>
      <c r="Y376" s="605"/>
      <c r="Z376" s="367"/>
      <c r="AA376" s="367"/>
      <c r="AB376" s="367"/>
      <c r="AC376" s="390"/>
      <c r="AD376" s="390"/>
      <c r="AE376" s="391"/>
      <c r="AF376" s="368"/>
      <c r="AG376" s="605"/>
      <c r="AH376" s="389"/>
    </row>
    <row r="377" spans="1:34">
      <c r="A377" s="600" t="s">
        <v>50</v>
      </c>
      <c r="B377" s="609" t="s">
        <v>735</v>
      </c>
      <c r="C377" s="610"/>
      <c r="D377" s="603">
        <v>218830</v>
      </c>
      <c r="E377" s="604">
        <v>9</v>
      </c>
      <c r="F377" s="217">
        <f t="shared" si="27"/>
        <v>144060</v>
      </c>
      <c r="G377" s="216">
        <f t="shared" si="28"/>
        <v>119672</v>
      </c>
      <c r="H377" s="368">
        <v>108556</v>
      </c>
      <c r="I377" s="605">
        <v>85541</v>
      </c>
      <c r="J377" s="368">
        <v>11633</v>
      </c>
      <c r="K377" s="605">
        <v>11253</v>
      </c>
      <c r="L377" s="367">
        <v>23871</v>
      </c>
      <c r="M377" s="367"/>
      <c r="N377" s="367"/>
      <c r="O377" s="390">
        <v>22878</v>
      </c>
      <c r="P377" s="390"/>
      <c r="Q377" s="391"/>
      <c r="R377" s="368"/>
      <c r="S377" s="605"/>
      <c r="T377" s="218">
        <f t="shared" si="29"/>
        <v>0</v>
      </c>
      <c r="U377" s="219">
        <f t="shared" si="30"/>
        <v>0</v>
      </c>
      <c r="V377" s="368"/>
      <c r="W377" s="605"/>
      <c r="X377" s="368"/>
      <c r="Y377" s="605"/>
      <c r="Z377" s="367"/>
      <c r="AA377" s="367"/>
      <c r="AB377" s="367"/>
      <c r="AC377" s="390"/>
      <c r="AD377" s="390"/>
      <c r="AE377" s="391"/>
      <c r="AF377" s="368"/>
      <c r="AG377" s="605"/>
      <c r="AH377" s="389"/>
    </row>
    <row r="378" spans="1:34">
      <c r="A378" s="600" t="s">
        <v>50</v>
      </c>
      <c r="B378" s="609" t="s">
        <v>736</v>
      </c>
      <c r="C378" s="610"/>
      <c r="D378" s="603">
        <v>218991</v>
      </c>
      <c r="E378" s="604">
        <v>9</v>
      </c>
      <c r="F378" s="217">
        <f t="shared" si="27"/>
        <v>123707</v>
      </c>
      <c r="G378" s="216">
        <f t="shared" si="28"/>
        <v>115474</v>
      </c>
      <c r="H378" s="368">
        <v>96094</v>
      </c>
      <c r="I378" s="605">
        <v>85353</v>
      </c>
      <c r="J378" s="368">
        <v>4351</v>
      </c>
      <c r="K378" s="605">
        <v>5149</v>
      </c>
      <c r="L378" s="367">
        <v>21458</v>
      </c>
      <c r="M378" s="367">
        <v>1804</v>
      </c>
      <c r="N378" s="367"/>
      <c r="O378" s="390">
        <v>23148</v>
      </c>
      <c r="P378" s="390">
        <v>1823</v>
      </c>
      <c r="Q378" s="391">
        <v>1</v>
      </c>
      <c r="R378" s="368"/>
      <c r="S378" s="605"/>
      <c r="T378" s="218">
        <f t="shared" si="29"/>
        <v>0</v>
      </c>
      <c r="U378" s="219">
        <f t="shared" si="30"/>
        <v>0</v>
      </c>
      <c r="V378" s="368"/>
      <c r="W378" s="605"/>
      <c r="X378" s="368"/>
      <c r="Y378" s="605"/>
      <c r="Z378" s="367"/>
      <c r="AA378" s="367"/>
      <c r="AB378" s="367"/>
      <c r="AC378" s="390"/>
      <c r="AD378" s="390"/>
      <c r="AE378" s="391"/>
      <c r="AF378" s="368"/>
      <c r="AG378" s="605"/>
      <c r="AH378" s="389"/>
    </row>
    <row r="379" spans="1:34">
      <c r="A379" s="600" t="s">
        <v>50</v>
      </c>
      <c r="B379" s="601" t="s">
        <v>737</v>
      </c>
      <c r="C379" s="612"/>
      <c r="D379" s="603">
        <v>217989</v>
      </c>
      <c r="E379" s="604">
        <v>10</v>
      </c>
      <c r="F379" s="217">
        <f t="shared" si="27"/>
        <v>58098</v>
      </c>
      <c r="G379" s="216">
        <f t="shared" si="28"/>
        <v>53836</v>
      </c>
      <c r="H379" s="368">
        <v>57141</v>
      </c>
      <c r="I379" s="605">
        <v>53358</v>
      </c>
      <c r="J379" s="368">
        <v>957</v>
      </c>
      <c r="K379" s="605">
        <v>478</v>
      </c>
      <c r="L379" s="367"/>
      <c r="M379" s="367"/>
      <c r="N379" s="367"/>
      <c r="O379" s="390"/>
      <c r="P379" s="390"/>
      <c r="Q379" s="391"/>
      <c r="R379" s="368"/>
      <c r="S379" s="605"/>
      <c r="T379" s="218">
        <f t="shared" si="29"/>
        <v>0</v>
      </c>
      <c r="U379" s="219">
        <f t="shared" si="30"/>
        <v>0</v>
      </c>
      <c r="V379" s="368"/>
      <c r="W379" s="605"/>
      <c r="X379" s="368"/>
      <c r="Y379" s="605"/>
      <c r="Z379" s="367"/>
      <c r="AA379" s="367"/>
      <c r="AB379" s="367"/>
      <c r="AC379" s="390"/>
      <c r="AD379" s="390"/>
      <c r="AE379" s="391"/>
      <c r="AF379" s="368"/>
      <c r="AG379" s="605"/>
      <c r="AH379" s="389"/>
    </row>
    <row r="380" spans="1:34">
      <c r="A380" s="600" t="s">
        <v>50</v>
      </c>
      <c r="B380" s="601" t="s">
        <v>738</v>
      </c>
      <c r="C380" s="612"/>
      <c r="D380" s="603">
        <v>217837</v>
      </c>
      <c r="E380" s="604">
        <v>10</v>
      </c>
      <c r="F380" s="217">
        <f t="shared" si="27"/>
        <v>31636</v>
      </c>
      <c r="G380" s="216">
        <f t="shared" si="28"/>
        <v>25591</v>
      </c>
      <c r="H380" s="368">
        <v>20144</v>
      </c>
      <c r="I380" s="605">
        <v>13718</v>
      </c>
      <c r="J380" s="368">
        <v>317</v>
      </c>
      <c r="K380" s="605">
        <v>331</v>
      </c>
      <c r="L380" s="367">
        <v>7212</v>
      </c>
      <c r="M380" s="367">
        <v>3963</v>
      </c>
      <c r="N380" s="367"/>
      <c r="O380" s="390">
        <v>7354</v>
      </c>
      <c r="P380" s="390">
        <v>4188</v>
      </c>
      <c r="Q380" s="391"/>
      <c r="R380" s="368"/>
      <c r="S380" s="605"/>
      <c r="T380" s="218">
        <f t="shared" si="29"/>
        <v>0</v>
      </c>
      <c r="U380" s="219">
        <f t="shared" si="30"/>
        <v>0</v>
      </c>
      <c r="V380" s="368"/>
      <c r="W380" s="605"/>
      <c r="X380" s="368"/>
      <c r="Y380" s="605"/>
      <c r="Z380" s="367"/>
      <c r="AA380" s="367"/>
      <c r="AB380" s="367"/>
      <c r="AC380" s="390"/>
      <c r="AD380" s="390"/>
      <c r="AE380" s="391"/>
      <c r="AF380" s="368"/>
      <c r="AG380" s="605"/>
      <c r="AH380" s="389"/>
    </row>
    <row r="381" spans="1:34">
      <c r="A381" s="600" t="s">
        <v>50</v>
      </c>
      <c r="B381" s="601" t="s">
        <v>739</v>
      </c>
      <c r="C381" s="612"/>
      <c r="D381" s="603">
        <v>217712</v>
      </c>
      <c r="E381" s="604">
        <v>10</v>
      </c>
      <c r="F381" s="217">
        <f t="shared" si="27"/>
        <v>54813</v>
      </c>
      <c r="G381" s="216">
        <f t="shared" si="28"/>
        <v>50125</v>
      </c>
      <c r="H381" s="368">
        <v>42517</v>
      </c>
      <c r="I381" s="605">
        <v>36359</v>
      </c>
      <c r="J381" s="368">
        <v>1634</v>
      </c>
      <c r="K381" s="605">
        <v>2026</v>
      </c>
      <c r="L381" s="367">
        <v>10662</v>
      </c>
      <c r="M381" s="367"/>
      <c r="N381" s="367"/>
      <c r="O381" s="390">
        <v>11740</v>
      </c>
      <c r="P381" s="390"/>
      <c r="Q381" s="391"/>
      <c r="R381" s="368"/>
      <c r="S381" s="605"/>
      <c r="T381" s="218">
        <f t="shared" si="29"/>
        <v>0</v>
      </c>
      <c r="U381" s="219">
        <f t="shared" si="30"/>
        <v>0</v>
      </c>
      <c r="V381" s="368"/>
      <c r="W381" s="605"/>
      <c r="X381" s="368"/>
      <c r="Y381" s="605"/>
      <c r="Z381" s="367"/>
      <c r="AA381" s="367"/>
      <c r="AB381" s="367"/>
      <c r="AC381" s="390"/>
      <c r="AD381" s="390"/>
      <c r="AE381" s="391"/>
      <c r="AF381" s="368"/>
      <c r="AG381" s="605"/>
      <c r="AH381" s="389"/>
    </row>
    <row r="382" spans="1:34">
      <c r="A382" s="600" t="s">
        <v>50</v>
      </c>
      <c r="B382" s="601" t="s">
        <v>740</v>
      </c>
      <c r="C382" s="612"/>
      <c r="D382" s="603">
        <v>218672</v>
      </c>
      <c r="E382" s="604">
        <v>10</v>
      </c>
      <c r="F382" s="217">
        <f t="shared" si="27"/>
        <v>33157</v>
      </c>
      <c r="G382" s="216">
        <f t="shared" si="28"/>
        <v>34135</v>
      </c>
      <c r="H382" s="368">
        <v>31551</v>
      </c>
      <c r="I382" s="605">
        <v>26960</v>
      </c>
      <c r="J382" s="368">
        <v>214</v>
      </c>
      <c r="K382" s="605">
        <v>189</v>
      </c>
      <c r="L382" s="367">
        <v>1392</v>
      </c>
      <c r="M382" s="367"/>
      <c r="N382" s="367"/>
      <c r="O382" s="390">
        <v>1065</v>
      </c>
      <c r="P382" s="390"/>
      <c r="Q382" s="391">
        <v>5921</v>
      </c>
      <c r="R382" s="368"/>
      <c r="S382" s="605"/>
      <c r="T382" s="218">
        <f t="shared" si="29"/>
        <v>0</v>
      </c>
      <c r="U382" s="219">
        <f t="shared" si="30"/>
        <v>0</v>
      </c>
      <c r="V382" s="368"/>
      <c r="W382" s="605"/>
      <c r="X382" s="368"/>
      <c r="Y382" s="605"/>
      <c r="Z382" s="367"/>
      <c r="AA382" s="367"/>
      <c r="AB382" s="367"/>
      <c r="AC382" s="390"/>
      <c r="AD382" s="390"/>
      <c r="AE382" s="391"/>
      <c r="AF382" s="368"/>
      <c r="AG382" s="605"/>
      <c r="AH382" s="389"/>
    </row>
    <row r="383" spans="1:34">
      <c r="A383" s="600" t="s">
        <v>50</v>
      </c>
      <c r="B383" s="601" t="s">
        <v>741</v>
      </c>
      <c r="C383" s="612"/>
      <c r="D383" s="603">
        <v>218681</v>
      </c>
      <c r="E383" s="604">
        <v>10</v>
      </c>
      <c r="F383" s="217">
        <f t="shared" si="27"/>
        <v>25544</v>
      </c>
      <c r="G383" s="216">
        <f t="shared" si="28"/>
        <v>22405</v>
      </c>
      <c r="H383" s="368">
        <v>21503</v>
      </c>
      <c r="I383" s="605">
        <v>20769</v>
      </c>
      <c r="J383" s="368"/>
      <c r="K383" s="605">
        <v>709</v>
      </c>
      <c r="L383" s="367">
        <v>621</v>
      </c>
      <c r="M383" s="367"/>
      <c r="N383" s="367">
        <v>3420</v>
      </c>
      <c r="O383" s="390">
        <v>927</v>
      </c>
      <c r="P383" s="390"/>
      <c r="Q383" s="391"/>
      <c r="R383" s="368"/>
      <c r="S383" s="605"/>
      <c r="T383" s="218">
        <f t="shared" si="29"/>
        <v>0</v>
      </c>
      <c r="U383" s="219">
        <f t="shared" si="30"/>
        <v>0</v>
      </c>
      <c r="V383" s="368"/>
      <c r="W383" s="605"/>
      <c r="X383" s="368"/>
      <c r="Y383" s="605"/>
      <c r="Z383" s="367"/>
      <c r="AA383" s="367"/>
      <c r="AB383" s="367"/>
      <c r="AC383" s="390"/>
      <c r="AD383" s="390"/>
      <c r="AE383" s="391"/>
      <c r="AF383" s="368"/>
      <c r="AG383" s="605"/>
      <c r="AH383" s="389"/>
    </row>
    <row r="384" spans="1:34">
      <c r="A384" s="600" t="s">
        <v>50</v>
      </c>
      <c r="B384" s="601" t="s">
        <v>742</v>
      </c>
      <c r="C384" s="612"/>
      <c r="D384" s="603">
        <v>218690</v>
      </c>
      <c r="E384" s="604">
        <v>10</v>
      </c>
      <c r="F384" s="217">
        <f t="shared" si="27"/>
        <v>23566</v>
      </c>
      <c r="G384" s="216">
        <f t="shared" si="28"/>
        <v>20299</v>
      </c>
      <c r="H384" s="368">
        <v>20872</v>
      </c>
      <c r="I384" s="605">
        <v>17656</v>
      </c>
      <c r="J384" s="368">
        <v>2265</v>
      </c>
      <c r="K384" s="605">
        <v>1952</v>
      </c>
      <c r="L384" s="367">
        <v>429</v>
      </c>
      <c r="M384" s="367"/>
      <c r="N384" s="367"/>
      <c r="O384" s="390">
        <v>691</v>
      </c>
      <c r="P384" s="390"/>
      <c r="Q384" s="391"/>
      <c r="R384" s="368"/>
      <c r="S384" s="605"/>
      <c r="T384" s="218">
        <f t="shared" si="29"/>
        <v>0</v>
      </c>
      <c r="U384" s="219">
        <f t="shared" si="30"/>
        <v>0</v>
      </c>
      <c r="V384" s="368"/>
      <c r="W384" s="605"/>
      <c r="X384" s="368"/>
      <c r="Y384" s="605"/>
      <c r="Z384" s="367"/>
      <c r="AA384" s="367"/>
      <c r="AB384" s="367"/>
      <c r="AC384" s="390"/>
      <c r="AD384" s="390"/>
      <c r="AE384" s="391"/>
      <c r="AF384" s="368"/>
      <c r="AG384" s="605"/>
      <c r="AH384" s="389"/>
    </row>
    <row r="385" spans="1:34">
      <c r="A385" s="600" t="s">
        <v>50</v>
      </c>
      <c r="B385" s="601" t="s">
        <v>743</v>
      </c>
      <c r="C385" s="612"/>
      <c r="D385" s="603">
        <v>218706</v>
      </c>
      <c r="E385" s="604">
        <v>10</v>
      </c>
      <c r="F385" s="217">
        <f t="shared" si="27"/>
        <v>11776</v>
      </c>
      <c r="G385" s="216">
        <f t="shared" si="28"/>
        <v>12066</v>
      </c>
      <c r="H385" s="368">
        <v>10524</v>
      </c>
      <c r="I385" s="605">
        <v>9544</v>
      </c>
      <c r="J385" s="368">
        <v>1213</v>
      </c>
      <c r="K385" s="605">
        <v>2289</v>
      </c>
      <c r="L385" s="367">
        <v>39</v>
      </c>
      <c r="M385" s="367"/>
      <c r="N385" s="367"/>
      <c r="O385" s="390">
        <v>233</v>
      </c>
      <c r="P385" s="390"/>
      <c r="Q385" s="391"/>
      <c r="R385" s="368"/>
      <c r="S385" s="605"/>
      <c r="T385" s="218">
        <f t="shared" si="29"/>
        <v>0</v>
      </c>
      <c r="U385" s="219">
        <f t="shared" si="30"/>
        <v>0</v>
      </c>
      <c r="V385" s="368"/>
      <c r="W385" s="605"/>
      <c r="X385" s="368"/>
      <c r="Y385" s="605"/>
      <c r="Z385" s="367"/>
      <c r="AA385" s="367"/>
      <c r="AB385" s="367"/>
      <c r="AC385" s="390"/>
      <c r="AD385" s="390"/>
      <c r="AE385" s="391"/>
      <c r="AF385" s="368"/>
      <c r="AG385" s="605"/>
      <c r="AH385" s="389"/>
    </row>
    <row r="386" spans="1:34">
      <c r="A386" s="600" t="s">
        <v>50</v>
      </c>
      <c r="B386" s="601" t="s">
        <v>744</v>
      </c>
      <c r="C386" s="612"/>
      <c r="D386" s="603">
        <v>218955</v>
      </c>
      <c r="E386" s="604">
        <v>10</v>
      </c>
      <c r="F386" s="217">
        <f t="shared" si="27"/>
        <v>16810</v>
      </c>
      <c r="G386" s="216">
        <f t="shared" si="28"/>
        <v>14938</v>
      </c>
      <c r="H386" s="368">
        <v>15692</v>
      </c>
      <c r="I386" s="605">
        <v>12862</v>
      </c>
      <c r="J386" s="368">
        <v>1118</v>
      </c>
      <c r="K386" s="605">
        <v>2076</v>
      </c>
      <c r="L386" s="367"/>
      <c r="M386" s="367"/>
      <c r="N386" s="367"/>
      <c r="O386" s="390"/>
      <c r="P386" s="390"/>
      <c r="Q386" s="391"/>
      <c r="R386" s="368"/>
      <c r="S386" s="605"/>
      <c r="T386" s="218">
        <f t="shared" si="29"/>
        <v>0</v>
      </c>
      <c r="U386" s="219">
        <f t="shared" si="30"/>
        <v>0</v>
      </c>
      <c r="V386" s="368"/>
      <c r="W386" s="605"/>
      <c r="X386" s="368"/>
      <c r="Y386" s="605"/>
      <c r="Z386" s="367"/>
      <c r="AA386" s="367"/>
      <c r="AB386" s="367"/>
      <c r="AC386" s="390"/>
      <c r="AD386" s="390"/>
      <c r="AE386" s="391"/>
      <c r="AF386" s="368"/>
      <c r="AG386" s="605"/>
      <c r="AH386" s="389"/>
    </row>
    <row r="387" spans="1:34">
      <c r="A387" s="434" t="s">
        <v>51</v>
      </c>
      <c r="B387" s="435" t="s">
        <v>358</v>
      </c>
      <c r="C387" s="436"/>
      <c r="D387" s="437">
        <v>220862</v>
      </c>
      <c r="E387" s="438">
        <v>1</v>
      </c>
      <c r="F387" s="217">
        <f t="shared" si="27"/>
        <v>420927</v>
      </c>
      <c r="G387" s="216">
        <f t="shared" si="28"/>
        <v>410921</v>
      </c>
      <c r="H387" s="370">
        <v>318911</v>
      </c>
      <c r="I387" s="439">
        <v>303621</v>
      </c>
      <c r="J387" s="370">
        <v>20118</v>
      </c>
      <c r="K387" s="439">
        <v>18790</v>
      </c>
      <c r="L387" s="440">
        <v>58872</v>
      </c>
      <c r="M387" s="369"/>
      <c r="N387" s="369">
        <v>19905</v>
      </c>
      <c r="O387" s="439">
        <v>63045</v>
      </c>
      <c r="P387" s="439"/>
      <c r="Q387" s="441">
        <v>23340</v>
      </c>
      <c r="R387" s="370">
        <v>3121</v>
      </c>
      <c r="S387" s="439">
        <v>2125</v>
      </c>
      <c r="T387" s="218">
        <f t="shared" si="29"/>
        <v>67596</v>
      </c>
      <c r="U387" s="219">
        <f t="shared" si="30"/>
        <v>61550</v>
      </c>
      <c r="V387" s="370">
        <v>41526</v>
      </c>
      <c r="W387" s="439">
        <v>37929</v>
      </c>
      <c r="X387" s="370">
        <v>443</v>
      </c>
      <c r="Y387" s="439">
        <v>276</v>
      </c>
      <c r="Z387" s="440">
        <v>16783</v>
      </c>
      <c r="AA387" s="369">
        <v>228</v>
      </c>
      <c r="AB387" s="369">
        <v>3051</v>
      </c>
      <c r="AC387" s="439">
        <v>15906</v>
      </c>
      <c r="AD387" s="439">
        <v>189</v>
      </c>
      <c r="AE387" s="439">
        <v>2815</v>
      </c>
      <c r="AF387" s="370">
        <v>5565</v>
      </c>
      <c r="AG387" s="442">
        <v>4435</v>
      </c>
      <c r="AH387" s="389"/>
    </row>
    <row r="388" spans="1:34">
      <c r="A388" s="434" t="s">
        <v>51</v>
      </c>
      <c r="B388" s="435" t="s">
        <v>359</v>
      </c>
      <c r="C388" s="436"/>
      <c r="D388" s="437">
        <v>221759</v>
      </c>
      <c r="E388" s="438">
        <v>1</v>
      </c>
      <c r="F388" s="217">
        <f t="shared" si="27"/>
        <v>577315</v>
      </c>
      <c r="G388" s="216">
        <f t="shared" si="28"/>
        <v>587902</v>
      </c>
      <c r="H388" s="443">
        <v>561764</v>
      </c>
      <c r="I388" s="439">
        <v>568523</v>
      </c>
      <c r="J388" s="443">
        <v>7</v>
      </c>
      <c r="K388" s="439">
        <v>15</v>
      </c>
      <c r="L388" s="440">
        <v>10417</v>
      </c>
      <c r="M388" s="440">
        <v>3</v>
      </c>
      <c r="N388" s="440">
        <v>1392</v>
      </c>
      <c r="O388" s="439">
        <v>13989</v>
      </c>
      <c r="P388" s="439">
        <v>3</v>
      </c>
      <c r="Q388" s="441">
        <v>1456</v>
      </c>
      <c r="R388" s="443">
        <v>3732</v>
      </c>
      <c r="S388" s="439">
        <v>3916</v>
      </c>
      <c r="T388" s="218">
        <f t="shared" si="29"/>
        <v>94572.5</v>
      </c>
      <c r="U388" s="219">
        <f t="shared" si="30"/>
        <v>91887.5</v>
      </c>
      <c r="V388" s="443">
        <v>73851.5</v>
      </c>
      <c r="W388" s="442">
        <v>71180.5</v>
      </c>
      <c r="X388" s="443">
        <v>2882</v>
      </c>
      <c r="Y388" s="439">
        <v>3013</v>
      </c>
      <c r="Z388" s="440">
        <v>13442</v>
      </c>
      <c r="AA388" s="440">
        <v>53</v>
      </c>
      <c r="AB388" s="440">
        <v>1367</v>
      </c>
      <c r="AC388" s="439">
        <v>13629</v>
      </c>
      <c r="AD388" s="439">
        <v>181</v>
      </c>
      <c r="AE388" s="439">
        <v>1331</v>
      </c>
      <c r="AF388" s="443">
        <v>2977</v>
      </c>
      <c r="AG388" s="439">
        <v>2553</v>
      </c>
      <c r="AH388" s="389"/>
    </row>
    <row r="389" spans="1:34">
      <c r="A389" s="434" t="s">
        <v>51</v>
      </c>
      <c r="B389" s="435" t="s">
        <v>360</v>
      </c>
      <c r="C389" s="444"/>
      <c r="D389" s="437">
        <v>221838</v>
      </c>
      <c r="E389" s="438">
        <v>2</v>
      </c>
      <c r="F389" s="217">
        <f t="shared" si="27"/>
        <v>176247</v>
      </c>
      <c r="G389" s="216">
        <f t="shared" si="28"/>
        <v>183724</v>
      </c>
      <c r="H389" s="443">
        <v>138610</v>
      </c>
      <c r="I389" s="439">
        <v>145988</v>
      </c>
      <c r="J389" s="443">
        <v>22590</v>
      </c>
      <c r="K389" s="439">
        <v>21829</v>
      </c>
      <c r="L389" s="440">
        <v>13543</v>
      </c>
      <c r="M389" s="440"/>
      <c r="N389" s="440">
        <v>1158</v>
      </c>
      <c r="O389" s="439">
        <v>14154</v>
      </c>
      <c r="P389" s="439"/>
      <c r="Q389" s="441">
        <v>1411</v>
      </c>
      <c r="R389" s="443">
        <v>346</v>
      </c>
      <c r="S389" s="445">
        <v>342</v>
      </c>
      <c r="T389" s="218">
        <f t="shared" si="29"/>
        <v>31476</v>
      </c>
      <c r="U389" s="219">
        <f t="shared" si="30"/>
        <v>30462</v>
      </c>
      <c r="V389" s="443">
        <v>14668</v>
      </c>
      <c r="W389" s="439">
        <v>14800</v>
      </c>
      <c r="X389" s="443">
        <v>7061</v>
      </c>
      <c r="Y389" s="439">
        <v>7074</v>
      </c>
      <c r="Z389" s="440">
        <v>7660</v>
      </c>
      <c r="AA389" s="440"/>
      <c r="AB389" s="440">
        <v>499</v>
      </c>
      <c r="AC389" s="439">
        <v>6620</v>
      </c>
      <c r="AD389" s="439"/>
      <c r="AE389" s="439">
        <v>692</v>
      </c>
      <c r="AF389" s="443">
        <v>1588</v>
      </c>
      <c r="AG389" s="439">
        <v>1276</v>
      </c>
      <c r="AH389" s="389"/>
    </row>
    <row r="390" spans="1:34">
      <c r="A390" s="434" t="s">
        <v>51</v>
      </c>
      <c r="B390" s="435" t="s">
        <v>361</v>
      </c>
      <c r="C390" s="436"/>
      <c r="D390" s="437">
        <v>219602</v>
      </c>
      <c r="E390" s="438">
        <v>3</v>
      </c>
      <c r="F390" s="217">
        <f t="shared" si="27"/>
        <v>246269</v>
      </c>
      <c r="G390" s="216">
        <f t="shared" si="28"/>
        <v>235384</v>
      </c>
      <c r="H390" s="443">
        <v>158187</v>
      </c>
      <c r="I390" s="439">
        <v>153897</v>
      </c>
      <c r="J390" s="443">
        <v>13966</v>
      </c>
      <c r="K390" s="439">
        <v>11521</v>
      </c>
      <c r="L390" s="440">
        <v>69626</v>
      </c>
      <c r="M390" s="440"/>
      <c r="N390" s="440">
        <v>4153</v>
      </c>
      <c r="O390" s="439">
        <v>64102</v>
      </c>
      <c r="P390" s="439"/>
      <c r="Q390" s="441">
        <v>5603</v>
      </c>
      <c r="R390" s="443">
        <v>337</v>
      </c>
      <c r="S390" s="439">
        <v>261</v>
      </c>
      <c r="T390" s="218">
        <f t="shared" si="29"/>
        <v>14892</v>
      </c>
      <c r="U390" s="219">
        <f t="shared" si="30"/>
        <v>14785</v>
      </c>
      <c r="V390" s="443">
        <v>4793</v>
      </c>
      <c r="W390" s="439">
        <v>4345</v>
      </c>
      <c r="X390" s="443">
        <v>305</v>
      </c>
      <c r="Y390" s="439">
        <v>375</v>
      </c>
      <c r="Z390" s="440">
        <v>9382</v>
      </c>
      <c r="AA390" s="440"/>
      <c r="AB390" s="440">
        <v>389</v>
      </c>
      <c r="AC390" s="439">
        <v>9477</v>
      </c>
      <c r="AD390" s="439"/>
      <c r="AE390" s="439">
        <v>560</v>
      </c>
      <c r="AF390" s="443">
        <v>23</v>
      </c>
      <c r="AG390" s="439">
        <v>28</v>
      </c>
      <c r="AH390" s="389"/>
    </row>
    <row r="391" spans="1:34">
      <c r="A391" s="434" t="s">
        <v>51</v>
      </c>
      <c r="B391" s="435" t="s">
        <v>362</v>
      </c>
      <c r="C391" s="436" t="s">
        <v>408</v>
      </c>
      <c r="D391" s="437">
        <v>220075</v>
      </c>
      <c r="E391" s="438">
        <v>3</v>
      </c>
      <c r="F391" s="217">
        <f t="shared" si="27"/>
        <v>308031</v>
      </c>
      <c r="G391" s="216">
        <f t="shared" si="28"/>
        <v>299596</v>
      </c>
      <c r="H391" s="443">
        <v>213236</v>
      </c>
      <c r="I391" s="439">
        <v>199672</v>
      </c>
      <c r="J391" s="443">
        <v>6865</v>
      </c>
      <c r="K391" s="439">
        <v>6833</v>
      </c>
      <c r="L391" s="440">
        <v>60537</v>
      </c>
      <c r="M391" s="440">
        <v>7320</v>
      </c>
      <c r="N391" s="440">
        <v>18349</v>
      </c>
      <c r="O391" s="439">
        <v>63628</v>
      </c>
      <c r="P391" s="439">
        <v>7235</v>
      </c>
      <c r="Q391" s="441">
        <v>20251</v>
      </c>
      <c r="R391" s="443">
        <v>1724</v>
      </c>
      <c r="S391" s="439">
        <v>1977</v>
      </c>
      <c r="T391" s="218">
        <f t="shared" si="29"/>
        <v>39483</v>
      </c>
      <c r="U391" s="219">
        <f t="shared" si="30"/>
        <v>40814</v>
      </c>
      <c r="V391" s="443">
        <v>18763</v>
      </c>
      <c r="W391" s="439">
        <v>18622</v>
      </c>
      <c r="X391" s="443">
        <v>507</v>
      </c>
      <c r="Y391" s="439">
        <v>177</v>
      </c>
      <c r="Z391" s="440">
        <v>15983</v>
      </c>
      <c r="AA391" s="440">
        <v>453</v>
      </c>
      <c r="AB391" s="440">
        <v>1551</v>
      </c>
      <c r="AC391" s="439">
        <v>17919</v>
      </c>
      <c r="AD391" s="439">
        <v>265</v>
      </c>
      <c r="AE391" s="439">
        <v>1534</v>
      </c>
      <c r="AF391" s="443">
        <v>2226</v>
      </c>
      <c r="AG391" s="442">
        <v>2297</v>
      </c>
      <c r="AH391" s="389"/>
    </row>
    <row r="392" spans="1:34">
      <c r="A392" s="434" t="s">
        <v>51</v>
      </c>
      <c r="B392" s="435" t="s">
        <v>363</v>
      </c>
      <c r="C392" s="436"/>
      <c r="D392" s="437">
        <v>220978</v>
      </c>
      <c r="E392" s="438">
        <v>3</v>
      </c>
      <c r="F392" s="217">
        <f t="shared" ref="F392:F455" si="31">SUM(H392,J392,L392,M392,N392,R392)</f>
        <v>556414</v>
      </c>
      <c r="G392" s="216">
        <f t="shared" ref="G392:G455" si="32">SUM(I392,K392,O392,P392,Q392,S392)</f>
        <v>532652</v>
      </c>
      <c r="H392" s="443">
        <v>468052</v>
      </c>
      <c r="I392" s="439">
        <v>445736</v>
      </c>
      <c r="J392" s="443">
        <v>693</v>
      </c>
      <c r="K392" s="439">
        <v>835</v>
      </c>
      <c r="L392" s="440">
        <v>61442</v>
      </c>
      <c r="M392" s="440">
        <v>669</v>
      </c>
      <c r="N392" s="440">
        <v>20974</v>
      </c>
      <c r="O392" s="445">
        <v>61273</v>
      </c>
      <c r="P392" s="445">
        <v>393</v>
      </c>
      <c r="Q392" s="446">
        <v>20140</v>
      </c>
      <c r="R392" s="443">
        <v>4584</v>
      </c>
      <c r="S392" s="439">
        <v>4275</v>
      </c>
      <c r="T392" s="218">
        <f t="shared" ref="T392:T455" si="33">SUM(V392,X392,Z392,AA392,AB392,AF392)</f>
        <v>43368</v>
      </c>
      <c r="U392" s="219">
        <f t="shared" ref="U392:U455" si="34">SUM(W392,Y392,AC392,AD392,AE392,AG392)</f>
        <v>39088</v>
      </c>
      <c r="V392" s="443">
        <v>26761</v>
      </c>
      <c r="W392" s="442">
        <v>23684</v>
      </c>
      <c r="X392" s="443">
        <v>1614</v>
      </c>
      <c r="Y392" s="439">
        <v>1419</v>
      </c>
      <c r="Z392" s="440">
        <v>12231</v>
      </c>
      <c r="AA392" s="440">
        <v>51</v>
      </c>
      <c r="AB392" s="440">
        <v>820</v>
      </c>
      <c r="AC392" s="439">
        <v>11438</v>
      </c>
      <c r="AD392" s="439">
        <v>30</v>
      </c>
      <c r="AE392" s="439">
        <v>752</v>
      </c>
      <c r="AF392" s="443">
        <v>1891</v>
      </c>
      <c r="AG392" s="439">
        <v>1765</v>
      </c>
      <c r="AH392" s="389"/>
    </row>
    <row r="393" spans="1:34">
      <c r="A393" s="434" t="s">
        <v>51</v>
      </c>
      <c r="B393" s="435" t="s">
        <v>364</v>
      </c>
      <c r="C393" s="436"/>
      <c r="D393" s="437">
        <v>221847</v>
      </c>
      <c r="E393" s="438">
        <v>3</v>
      </c>
      <c r="F393" s="217">
        <f t="shared" si="31"/>
        <v>260614</v>
      </c>
      <c r="G393" s="216">
        <f t="shared" si="32"/>
        <v>272548</v>
      </c>
      <c r="H393" s="443">
        <v>167266</v>
      </c>
      <c r="I393" s="439">
        <v>178001</v>
      </c>
      <c r="J393" s="443">
        <v>6894</v>
      </c>
      <c r="K393" s="439">
        <v>3660</v>
      </c>
      <c r="L393" s="440">
        <v>19035</v>
      </c>
      <c r="M393" s="440"/>
      <c r="N393" s="440">
        <v>63081</v>
      </c>
      <c r="O393" s="439">
        <v>19769</v>
      </c>
      <c r="P393" s="439"/>
      <c r="Q393" s="441">
        <v>66438</v>
      </c>
      <c r="R393" s="443">
        <v>4338</v>
      </c>
      <c r="S393" s="439">
        <v>4680</v>
      </c>
      <c r="T393" s="218">
        <f t="shared" si="33"/>
        <v>16283</v>
      </c>
      <c r="U393" s="219">
        <f t="shared" si="34"/>
        <v>15238</v>
      </c>
      <c r="V393" s="443">
        <v>4784</v>
      </c>
      <c r="W393" s="439">
        <v>4447</v>
      </c>
      <c r="X393" s="443">
        <v>81</v>
      </c>
      <c r="Y393" s="439">
        <v>21</v>
      </c>
      <c r="Z393" s="440">
        <v>7373</v>
      </c>
      <c r="AA393" s="440"/>
      <c r="AB393" s="440">
        <v>3375</v>
      </c>
      <c r="AC393" s="439">
        <v>6831</v>
      </c>
      <c r="AD393" s="439"/>
      <c r="AE393" s="439">
        <v>3061</v>
      </c>
      <c r="AF393" s="443">
        <v>670</v>
      </c>
      <c r="AG393" s="439">
        <v>878</v>
      </c>
      <c r="AH393" s="389"/>
    </row>
    <row r="394" spans="1:34">
      <c r="A394" s="434" t="s">
        <v>51</v>
      </c>
      <c r="B394" s="435" t="s">
        <v>365</v>
      </c>
      <c r="C394" s="436"/>
      <c r="D394" s="437">
        <v>221740</v>
      </c>
      <c r="E394" s="438">
        <v>3</v>
      </c>
      <c r="F394" s="217">
        <f t="shared" si="31"/>
        <v>275250</v>
      </c>
      <c r="G394" s="216">
        <f t="shared" si="32"/>
        <v>275979</v>
      </c>
      <c r="H394" s="443">
        <v>251752</v>
      </c>
      <c r="I394" s="439">
        <v>247063</v>
      </c>
      <c r="J394" s="443">
        <v>686</v>
      </c>
      <c r="K394" s="445">
        <v>762</v>
      </c>
      <c r="L394" s="440">
        <v>19434</v>
      </c>
      <c r="M394" s="440"/>
      <c r="N394" s="440">
        <v>2260</v>
      </c>
      <c r="O394" s="439">
        <v>27096</v>
      </c>
      <c r="P394" s="439"/>
      <c r="Q394" s="441">
        <v>3</v>
      </c>
      <c r="R394" s="443">
        <v>1118</v>
      </c>
      <c r="S394" s="439">
        <v>1055</v>
      </c>
      <c r="T394" s="218">
        <f t="shared" si="33"/>
        <v>24091</v>
      </c>
      <c r="U394" s="219">
        <f t="shared" si="34"/>
        <v>23550</v>
      </c>
      <c r="V394" s="443">
        <v>17126</v>
      </c>
      <c r="W394" s="439">
        <v>16229</v>
      </c>
      <c r="X394" s="443"/>
      <c r="Y394" s="439"/>
      <c r="Z394" s="440">
        <v>5456</v>
      </c>
      <c r="AA394" s="440">
        <v>666</v>
      </c>
      <c r="AB394" s="440">
        <v>492</v>
      </c>
      <c r="AC394" s="439">
        <v>6712</v>
      </c>
      <c r="AD394" s="439">
        <v>144</v>
      </c>
      <c r="AE394" s="439">
        <v>198</v>
      </c>
      <c r="AF394" s="443">
        <v>351</v>
      </c>
      <c r="AG394" s="439">
        <v>267</v>
      </c>
      <c r="AH394" s="389"/>
    </row>
    <row r="395" spans="1:34">
      <c r="A395" s="434" t="s">
        <v>51</v>
      </c>
      <c r="B395" s="435" t="s">
        <v>366</v>
      </c>
      <c r="C395" s="436"/>
      <c r="D395" s="437">
        <v>221768</v>
      </c>
      <c r="E395" s="438">
        <v>5</v>
      </c>
      <c r="F395" s="217">
        <f t="shared" si="31"/>
        <v>193882</v>
      </c>
      <c r="G395" s="216">
        <f t="shared" si="32"/>
        <v>186493</v>
      </c>
      <c r="H395" s="443">
        <v>161449</v>
      </c>
      <c r="I395" s="445">
        <v>152434</v>
      </c>
      <c r="J395" s="443">
        <v>15492</v>
      </c>
      <c r="K395" s="439">
        <v>14895</v>
      </c>
      <c r="L395" s="440">
        <v>15048</v>
      </c>
      <c r="M395" s="440">
        <v>1672</v>
      </c>
      <c r="N395" s="440"/>
      <c r="O395" s="439">
        <v>16260</v>
      </c>
      <c r="P395" s="439">
        <v>2556</v>
      </c>
      <c r="Q395" s="441">
        <v>36</v>
      </c>
      <c r="R395" s="443">
        <v>221</v>
      </c>
      <c r="S395" s="445">
        <v>312</v>
      </c>
      <c r="T395" s="218">
        <f t="shared" si="33"/>
        <v>6746</v>
      </c>
      <c r="U395" s="219">
        <f t="shared" si="34"/>
        <v>5817</v>
      </c>
      <c r="V395" s="443">
        <v>1415</v>
      </c>
      <c r="W395" s="439">
        <v>905</v>
      </c>
      <c r="X395" s="443"/>
      <c r="Y395" s="439"/>
      <c r="Z395" s="440">
        <v>5325</v>
      </c>
      <c r="AA395" s="440">
        <v>3</v>
      </c>
      <c r="AB395" s="440"/>
      <c r="AC395" s="439">
        <v>4909</v>
      </c>
      <c r="AD395" s="439"/>
      <c r="AE395" s="439"/>
      <c r="AF395" s="443">
        <v>3</v>
      </c>
      <c r="AG395" s="442">
        <v>3</v>
      </c>
      <c r="AH395" s="389"/>
    </row>
    <row r="396" spans="1:34">
      <c r="A396" s="434" t="s">
        <v>51</v>
      </c>
      <c r="B396" s="435" t="s">
        <v>367</v>
      </c>
      <c r="C396" s="447"/>
      <c r="D396" s="448">
        <v>219824</v>
      </c>
      <c r="E396" s="449">
        <v>8</v>
      </c>
      <c r="F396" s="217">
        <f t="shared" si="31"/>
        <v>198166</v>
      </c>
      <c r="G396" s="216">
        <f t="shared" si="32"/>
        <v>183469</v>
      </c>
      <c r="H396" s="443">
        <v>110115</v>
      </c>
      <c r="I396" s="439">
        <v>103574</v>
      </c>
      <c r="J396" s="443">
        <v>15944</v>
      </c>
      <c r="K396" s="439">
        <v>12547</v>
      </c>
      <c r="L396" s="440">
        <v>45013</v>
      </c>
      <c r="M396" s="440"/>
      <c r="N396" s="440">
        <v>26619</v>
      </c>
      <c r="O396" s="439">
        <v>44490</v>
      </c>
      <c r="P396" s="439"/>
      <c r="Q396" s="441">
        <v>22588</v>
      </c>
      <c r="R396" s="443">
        <v>475</v>
      </c>
      <c r="S396" s="439">
        <v>270</v>
      </c>
      <c r="T396" s="218">
        <f t="shared" si="33"/>
        <v>0</v>
      </c>
      <c r="U396" s="219">
        <f t="shared" si="34"/>
        <v>0</v>
      </c>
      <c r="V396" s="443"/>
      <c r="W396" s="450"/>
      <c r="X396" s="443"/>
      <c r="Y396" s="439"/>
      <c r="Z396" s="440"/>
      <c r="AA396" s="440"/>
      <c r="AB396" s="440"/>
      <c r="AC396" s="450"/>
      <c r="AD396" s="439"/>
      <c r="AE396" s="441"/>
      <c r="AF396" s="443"/>
      <c r="AG396" s="439"/>
      <c r="AH396" s="389"/>
    </row>
    <row r="397" spans="1:34">
      <c r="A397" s="434" t="s">
        <v>51</v>
      </c>
      <c r="B397" s="435" t="s">
        <v>368</v>
      </c>
      <c r="C397" s="444"/>
      <c r="D397" s="448">
        <v>221184</v>
      </c>
      <c r="E397" s="438">
        <v>8</v>
      </c>
      <c r="F397" s="217">
        <f t="shared" si="31"/>
        <v>193326</v>
      </c>
      <c r="G397" s="216">
        <f t="shared" si="32"/>
        <v>189399</v>
      </c>
      <c r="H397" s="443">
        <v>113212</v>
      </c>
      <c r="I397" s="439">
        <v>112231</v>
      </c>
      <c r="J397" s="443">
        <v>27794</v>
      </c>
      <c r="K397" s="439">
        <v>26238</v>
      </c>
      <c r="L397" s="440">
        <v>46999</v>
      </c>
      <c r="M397" s="440"/>
      <c r="N397" s="440">
        <v>5182</v>
      </c>
      <c r="O397" s="439">
        <v>44728</v>
      </c>
      <c r="P397" s="439"/>
      <c r="Q397" s="441">
        <v>6158</v>
      </c>
      <c r="R397" s="443">
        <v>139</v>
      </c>
      <c r="S397" s="439">
        <v>44</v>
      </c>
      <c r="T397" s="218">
        <f t="shared" si="33"/>
        <v>0</v>
      </c>
      <c r="U397" s="219">
        <f t="shared" si="34"/>
        <v>0</v>
      </c>
      <c r="V397" s="443"/>
      <c r="W397" s="450"/>
      <c r="X397" s="443"/>
      <c r="Y397" s="450"/>
      <c r="Z397" s="440"/>
      <c r="AA397" s="440"/>
      <c r="AB397" s="440"/>
      <c r="AC397" s="450"/>
      <c r="AD397" s="439"/>
      <c r="AE397" s="441"/>
      <c r="AF397" s="443"/>
      <c r="AG397" s="439"/>
      <c r="AH397" s="389"/>
    </row>
    <row r="398" spans="1:34">
      <c r="A398" s="434" t="s">
        <v>51</v>
      </c>
      <c r="B398" s="435" t="s">
        <v>369</v>
      </c>
      <c r="C398" s="447"/>
      <c r="D398" s="448">
        <v>221643</v>
      </c>
      <c r="E398" s="449">
        <v>8</v>
      </c>
      <c r="F398" s="217">
        <f t="shared" si="31"/>
        <v>222341.5</v>
      </c>
      <c r="G398" s="216">
        <f t="shared" si="32"/>
        <v>211657.5</v>
      </c>
      <c r="H398" s="443">
        <v>131152</v>
      </c>
      <c r="I398" s="439">
        <v>122957</v>
      </c>
      <c r="J398" s="443">
        <v>53580.5</v>
      </c>
      <c r="K398" s="439">
        <v>54646.5</v>
      </c>
      <c r="L398" s="440">
        <v>29631</v>
      </c>
      <c r="M398" s="440">
        <v>1139</v>
      </c>
      <c r="N398" s="440">
        <v>6673</v>
      </c>
      <c r="O398" s="439">
        <v>26584</v>
      </c>
      <c r="P398" s="439">
        <v>686</v>
      </c>
      <c r="Q398" s="441">
        <v>6615</v>
      </c>
      <c r="R398" s="443">
        <v>166</v>
      </c>
      <c r="S398" s="439">
        <v>169</v>
      </c>
      <c r="T398" s="218">
        <f t="shared" si="33"/>
        <v>0</v>
      </c>
      <c r="U398" s="219">
        <f t="shared" si="34"/>
        <v>0</v>
      </c>
      <c r="V398" s="443"/>
      <c r="W398" s="439"/>
      <c r="X398" s="443"/>
      <c r="Y398" s="439"/>
      <c r="Z398" s="440"/>
      <c r="AA398" s="440"/>
      <c r="AB398" s="440"/>
      <c r="AC398" s="439"/>
      <c r="AD398" s="439"/>
      <c r="AE398" s="441"/>
      <c r="AF398" s="443"/>
      <c r="AG398" s="439"/>
      <c r="AH398" s="389"/>
    </row>
    <row r="399" spans="1:34">
      <c r="A399" s="434" t="s">
        <v>51</v>
      </c>
      <c r="B399" s="435" t="s">
        <v>370</v>
      </c>
      <c r="C399" s="447"/>
      <c r="D399" s="448">
        <v>221485</v>
      </c>
      <c r="E399" s="449">
        <v>8</v>
      </c>
      <c r="F399" s="217">
        <f t="shared" si="31"/>
        <v>209694</v>
      </c>
      <c r="G399" s="216">
        <f t="shared" si="32"/>
        <v>179025</v>
      </c>
      <c r="H399" s="443">
        <v>20725</v>
      </c>
      <c r="I399" s="439">
        <v>15868</v>
      </c>
      <c r="J399" s="443">
        <v>160346</v>
      </c>
      <c r="K399" s="439">
        <v>131122</v>
      </c>
      <c r="L399" s="440">
        <v>23633</v>
      </c>
      <c r="M399" s="440">
        <v>44</v>
      </c>
      <c r="N399" s="440">
        <v>4934</v>
      </c>
      <c r="O399" s="439">
        <v>25527</v>
      </c>
      <c r="P399" s="439"/>
      <c r="Q399" s="441">
        <v>6496</v>
      </c>
      <c r="R399" s="443">
        <v>12</v>
      </c>
      <c r="S399" s="439">
        <v>12</v>
      </c>
      <c r="T399" s="218">
        <f t="shared" si="33"/>
        <v>0</v>
      </c>
      <c r="U399" s="219">
        <f t="shared" si="34"/>
        <v>0</v>
      </c>
      <c r="V399" s="443"/>
      <c r="W399" s="442"/>
      <c r="X399" s="443"/>
      <c r="Y399" s="442"/>
      <c r="Z399" s="440"/>
      <c r="AA399" s="440"/>
      <c r="AB399" s="440"/>
      <c r="AC399" s="442"/>
      <c r="AD399" s="439"/>
      <c r="AE399" s="441"/>
      <c r="AF399" s="443"/>
      <c r="AG399" s="442"/>
      <c r="AH399" s="389"/>
    </row>
    <row r="400" spans="1:34">
      <c r="A400" s="434" t="s">
        <v>51</v>
      </c>
      <c r="B400" s="435" t="s">
        <v>371</v>
      </c>
      <c r="C400" s="444"/>
      <c r="D400" s="448">
        <v>222053</v>
      </c>
      <c r="E400" s="438">
        <v>8</v>
      </c>
      <c r="F400" s="217">
        <f t="shared" si="31"/>
        <v>156625</v>
      </c>
      <c r="G400" s="216">
        <f t="shared" si="32"/>
        <v>148992</v>
      </c>
      <c r="H400" s="443">
        <v>89936</v>
      </c>
      <c r="I400" s="439">
        <v>87798</v>
      </c>
      <c r="J400" s="443">
        <v>19678</v>
      </c>
      <c r="K400" s="439">
        <v>17771</v>
      </c>
      <c r="L400" s="440">
        <v>42883</v>
      </c>
      <c r="M400" s="440">
        <v>427</v>
      </c>
      <c r="N400" s="440">
        <v>3387</v>
      </c>
      <c r="O400" s="439">
        <v>40241</v>
      </c>
      <c r="P400" s="439">
        <v>147</v>
      </c>
      <c r="Q400" s="441">
        <v>2706</v>
      </c>
      <c r="R400" s="443">
        <v>314</v>
      </c>
      <c r="S400" s="439">
        <v>329</v>
      </c>
      <c r="T400" s="218">
        <f t="shared" si="33"/>
        <v>0</v>
      </c>
      <c r="U400" s="219">
        <f t="shared" si="34"/>
        <v>0</v>
      </c>
      <c r="V400" s="443"/>
      <c r="W400" s="439"/>
      <c r="X400" s="443"/>
      <c r="Y400" s="439"/>
      <c r="Z400" s="440"/>
      <c r="AA400" s="440"/>
      <c r="AB400" s="440"/>
      <c r="AC400" s="439"/>
      <c r="AD400" s="439"/>
      <c r="AE400" s="441"/>
      <c r="AF400" s="443"/>
      <c r="AG400" s="439"/>
      <c r="AH400" s="389"/>
    </row>
    <row r="401" spans="1:34">
      <c r="A401" s="434" t="s">
        <v>51</v>
      </c>
      <c r="B401" s="435" t="s">
        <v>372</v>
      </c>
      <c r="C401" s="447"/>
      <c r="D401" s="448">
        <v>219879</v>
      </c>
      <c r="E401" s="449">
        <v>9</v>
      </c>
      <c r="F401" s="217">
        <f t="shared" si="31"/>
        <v>62193</v>
      </c>
      <c r="G401" s="216">
        <f t="shared" si="32"/>
        <v>67984</v>
      </c>
      <c r="H401" s="443">
        <v>35301</v>
      </c>
      <c r="I401" s="439">
        <v>40297</v>
      </c>
      <c r="J401" s="443">
        <v>7011</v>
      </c>
      <c r="K401" s="439">
        <v>9106</v>
      </c>
      <c r="L401" s="440">
        <v>10582</v>
      </c>
      <c r="M401" s="440">
        <v>126</v>
      </c>
      <c r="N401" s="440">
        <v>8179</v>
      </c>
      <c r="O401" s="439">
        <v>10138</v>
      </c>
      <c r="P401" s="439">
        <v>195</v>
      </c>
      <c r="Q401" s="441">
        <v>7389</v>
      </c>
      <c r="R401" s="443">
        <v>994</v>
      </c>
      <c r="S401" s="445">
        <v>859</v>
      </c>
      <c r="T401" s="218">
        <f t="shared" si="33"/>
        <v>0</v>
      </c>
      <c r="U401" s="219">
        <f t="shared" si="34"/>
        <v>0</v>
      </c>
      <c r="V401" s="443"/>
      <c r="W401" s="439"/>
      <c r="X401" s="443"/>
      <c r="Y401" s="439"/>
      <c r="Z401" s="440"/>
      <c r="AA401" s="440"/>
      <c r="AB401" s="440"/>
      <c r="AC401" s="439"/>
      <c r="AD401" s="439"/>
      <c r="AE401" s="441"/>
      <c r="AF401" s="443"/>
      <c r="AG401" s="439"/>
      <c r="AH401" s="389"/>
    </row>
    <row r="402" spans="1:34">
      <c r="A402" s="434" t="s">
        <v>51</v>
      </c>
      <c r="B402" s="435" t="s">
        <v>373</v>
      </c>
      <c r="C402" s="447"/>
      <c r="D402" s="448">
        <v>219888</v>
      </c>
      <c r="E402" s="449">
        <v>9</v>
      </c>
      <c r="F402" s="217">
        <f t="shared" si="31"/>
        <v>100810</v>
      </c>
      <c r="G402" s="216">
        <f t="shared" si="32"/>
        <v>98894</v>
      </c>
      <c r="H402" s="443">
        <v>37488</v>
      </c>
      <c r="I402" s="439">
        <v>35819</v>
      </c>
      <c r="J402" s="443">
        <v>33094</v>
      </c>
      <c r="K402" s="439">
        <v>30648</v>
      </c>
      <c r="L402" s="440">
        <v>19586</v>
      </c>
      <c r="M402" s="440">
        <v>5145</v>
      </c>
      <c r="N402" s="440">
        <v>5432</v>
      </c>
      <c r="O402" s="439">
        <v>20196</v>
      </c>
      <c r="P402" s="439">
        <v>5574</v>
      </c>
      <c r="Q402" s="441">
        <v>6605</v>
      </c>
      <c r="R402" s="443">
        <v>65</v>
      </c>
      <c r="S402" s="439">
        <v>52</v>
      </c>
      <c r="T402" s="218">
        <f t="shared" si="33"/>
        <v>0</v>
      </c>
      <c r="U402" s="219">
        <f t="shared" si="34"/>
        <v>0</v>
      </c>
      <c r="V402" s="443"/>
      <c r="W402" s="439"/>
      <c r="X402" s="443"/>
      <c r="Y402" s="439"/>
      <c r="Z402" s="440"/>
      <c r="AA402" s="440"/>
      <c r="AB402" s="440"/>
      <c r="AC402" s="439"/>
      <c r="AD402" s="439"/>
      <c r="AE402" s="441"/>
      <c r="AF402" s="443"/>
      <c r="AG402" s="439"/>
      <c r="AH402" s="389"/>
    </row>
    <row r="403" spans="1:34">
      <c r="A403" s="434" t="s">
        <v>51</v>
      </c>
      <c r="B403" s="435" t="s">
        <v>374</v>
      </c>
      <c r="C403" s="436" t="s">
        <v>357</v>
      </c>
      <c r="D403" s="448">
        <v>220057</v>
      </c>
      <c r="E403" s="438">
        <v>9</v>
      </c>
      <c r="F403" s="217">
        <f t="shared" si="31"/>
        <v>60998</v>
      </c>
      <c r="G403" s="216">
        <f t="shared" si="32"/>
        <v>52366</v>
      </c>
      <c r="H403" s="443">
        <v>22153</v>
      </c>
      <c r="I403" s="439">
        <v>19041</v>
      </c>
      <c r="J403" s="443">
        <v>23306</v>
      </c>
      <c r="K403" s="439">
        <v>19698</v>
      </c>
      <c r="L403" s="440">
        <v>11818</v>
      </c>
      <c r="M403" s="440">
        <v>2608</v>
      </c>
      <c r="N403" s="440">
        <v>949</v>
      </c>
      <c r="O403" s="439">
        <v>9820</v>
      </c>
      <c r="P403" s="439">
        <v>2396</v>
      </c>
      <c r="Q403" s="441">
        <v>1095</v>
      </c>
      <c r="R403" s="443">
        <v>164</v>
      </c>
      <c r="S403" s="439">
        <v>316</v>
      </c>
      <c r="T403" s="218">
        <f t="shared" si="33"/>
        <v>0</v>
      </c>
      <c r="U403" s="219">
        <f t="shared" si="34"/>
        <v>0</v>
      </c>
      <c r="V403" s="443"/>
      <c r="W403" s="439"/>
      <c r="X403" s="443"/>
      <c r="Y403" s="439"/>
      <c r="Z403" s="440"/>
      <c r="AA403" s="440"/>
      <c r="AB403" s="440"/>
      <c r="AC403" s="439"/>
      <c r="AD403" s="439"/>
      <c r="AE403" s="441"/>
      <c r="AF403" s="443"/>
      <c r="AG403" s="439"/>
      <c r="AH403" s="389"/>
    </row>
    <row r="404" spans="1:34">
      <c r="A404" s="434" t="s">
        <v>51</v>
      </c>
      <c r="B404" s="435" t="s">
        <v>375</v>
      </c>
      <c r="C404" s="447"/>
      <c r="D404" s="448">
        <v>220400</v>
      </c>
      <c r="E404" s="449">
        <v>9</v>
      </c>
      <c r="F404" s="217">
        <f t="shared" si="31"/>
        <v>84967</v>
      </c>
      <c r="G404" s="216">
        <f t="shared" si="32"/>
        <v>83932</v>
      </c>
      <c r="H404" s="443">
        <v>47167</v>
      </c>
      <c r="I404" s="439">
        <v>45144</v>
      </c>
      <c r="J404" s="443">
        <v>7878</v>
      </c>
      <c r="K404" s="439">
        <v>9982</v>
      </c>
      <c r="L404" s="440">
        <v>19986</v>
      </c>
      <c r="M404" s="440">
        <v>3383</v>
      </c>
      <c r="N404" s="440">
        <v>6428</v>
      </c>
      <c r="O404" s="439">
        <v>18963</v>
      </c>
      <c r="P404" s="439">
        <v>4071</v>
      </c>
      <c r="Q404" s="441">
        <v>5678</v>
      </c>
      <c r="R404" s="443">
        <v>125</v>
      </c>
      <c r="S404" s="439">
        <v>94</v>
      </c>
      <c r="T404" s="218">
        <f t="shared" si="33"/>
        <v>0</v>
      </c>
      <c r="U404" s="219">
        <f t="shared" si="34"/>
        <v>0</v>
      </c>
      <c r="V404" s="443"/>
      <c r="W404" s="439"/>
      <c r="X404" s="443"/>
      <c r="Y404" s="439"/>
      <c r="Z404" s="440"/>
      <c r="AA404" s="440"/>
      <c r="AB404" s="440"/>
      <c r="AC404" s="439"/>
      <c r="AD404" s="439"/>
      <c r="AE404" s="441"/>
      <c r="AF404" s="443"/>
      <c r="AG404" s="439"/>
      <c r="AH404" s="389"/>
    </row>
    <row r="405" spans="1:34">
      <c r="A405" s="434" t="s">
        <v>51</v>
      </c>
      <c r="B405" s="435" t="s">
        <v>376</v>
      </c>
      <c r="C405" s="447"/>
      <c r="D405" s="448">
        <v>221096</v>
      </c>
      <c r="E405" s="449">
        <v>9</v>
      </c>
      <c r="F405" s="217">
        <f t="shared" si="31"/>
        <v>91804</v>
      </c>
      <c r="G405" s="216">
        <f t="shared" si="32"/>
        <v>91223</v>
      </c>
      <c r="H405" s="443">
        <v>24139</v>
      </c>
      <c r="I405" s="439">
        <v>22778</v>
      </c>
      <c r="J405" s="443">
        <v>44996</v>
      </c>
      <c r="K405" s="439">
        <v>43912</v>
      </c>
      <c r="L405" s="440">
        <v>15552</v>
      </c>
      <c r="M405" s="440">
        <v>4644</v>
      </c>
      <c r="N405" s="440">
        <v>2073</v>
      </c>
      <c r="O405" s="439">
        <v>15817</v>
      </c>
      <c r="P405" s="439">
        <v>4999</v>
      </c>
      <c r="Q405" s="441">
        <v>3425</v>
      </c>
      <c r="R405" s="443">
        <v>400</v>
      </c>
      <c r="S405" s="439">
        <v>292</v>
      </c>
      <c r="T405" s="218">
        <f t="shared" si="33"/>
        <v>0</v>
      </c>
      <c r="U405" s="219">
        <f t="shared" si="34"/>
        <v>0</v>
      </c>
      <c r="V405" s="443"/>
      <c r="W405" s="439"/>
      <c r="X405" s="443"/>
      <c r="Y405" s="439"/>
      <c r="Z405" s="440"/>
      <c r="AA405" s="440"/>
      <c r="AB405" s="440"/>
      <c r="AC405" s="439"/>
      <c r="AD405" s="439"/>
      <c r="AE405" s="441"/>
      <c r="AF405" s="443"/>
      <c r="AG405" s="439"/>
      <c r="AH405" s="389"/>
    </row>
    <row r="406" spans="1:34">
      <c r="A406" s="434" t="s">
        <v>51</v>
      </c>
      <c r="B406" s="435" t="s">
        <v>377</v>
      </c>
      <c r="C406" s="447"/>
      <c r="D406" s="448">
        <v>221908</v>
      </c>
      <c r="E406" s="449">
        <v>9</v>
      </c>
      <c r="F406" s="217">
        <f t="shared" si="31"/>
        <v>127453</v>
      </c>
      <c r="G406" s="216">
        <f t="shared" si="32"/>
        <v>117823</v>
      </c>
      <c r="H406" s="443">
        <v>72718</v>
      </c>
      <c r="I406" s="439">
        <v>65235</v>
      </c>
      <c r="J406" s="443">
        <v>32071</v>
      </c>
      <c r="K406" s="439">
        <v>31767</v>
      </c>
      <c r="L406" s="440">
        <v>18099</v>
      </c>
      <c r="M406" s="440">
        <v>3953</v>
      </c>
      <c r="N406" s="440">
        <v>584</v>
      </c>
      <c r="O406" s="439">
        <v>16023</v>
      </c>
      <c r="P406" s="439">
        <v>4391</v>
      </c>
      <c r="Q406" s="441">
        <v>376</v>
      </c>
      <c r="R406" s="443">
        <v>28</v>
      </c>
      <c r="S406" s="439">
        <v>31</v>
      </c>
      <c r="T406" s="218">
        <f t="shared" si="33"/>
        <v>0</v>
      </c>
      <c r="U406" s="219">
        <f t="shared" si="34"/>
        <v>0</v>
      </c>
      <c r="V406" s="443"/>
      <c r="W406" s="439"/>
      <c r="X406" s="443"/>
      <c r="Y406" s="439"/>
      <c r="Z406" s="440"/>
      <c r="AA406" s="440"/>
      <c r="AB406" s="440"/>
      <c r="AC406" s="439"/>
      <c r="AD406" s="439"/>
      <c r="AE406" s="441"/>
      <c r="AF406" s="443"/>
      <c r="AG406" s="439"/>
      <c r="AH406" s="389"/>
    </row>
    <row r="407" spans="1:34">
      <c r="A407" s="434" t="s">
        <v>51</v>
      </c>
      <c r="B407" s="435" t="s">
        <v>378</v>
      </c>
      <c r="C407" s="447"/>
      <c r="D407" s="448">
        <v>221397</v>
      </c>
      <c r="E407" s="449">
        <v>9</v>
      </c>
      <c r="F407" s="217">
        <f t="shared" si="31"/>
        <v>114809</v>
      </c>
      <c r="G407" s="216">
        <f t="shared" si="32"/>
        <v>107262</v>
      </c>
      <c r="H407" s="443">
        <v>22001</v>
      </c>
      <c r="I407" s="439">
        <v>22135</v>
      </c>
      <c r="J407" s="443">
        <v>52464</v>
      </c>
      <c r="K407" s="439">
        <v>48447</v>
      </c>
      <c r="L407" s="440">
        <v>26659</v>
      </c>
      <c r="M407" s="440">
        <v>6598</v>
      </c>
      <c r="N407" s="440">
        <v>7031</v>
      </c>
      <c r="O407" s="439">
        <v>24695</v>
      </c>
      <c r="P407" s="439">
        <v>5639</v>
      </c>
      <c r="Q407" s="441">
        <v>6289</v>
      </c>
      <c r="R407" s="443">
        <v>56</v>
      </c>
      <c r="S407" s="445">
        <v>57</v>
      </c>
      <c r="T407" s="218">
        <f t="shared" si="33"/>
        <v>0</v>
      </c>
      <c r="U407" s="219">
        <f t="shared" si="34"/>
        <v>0</v>
      </c>
      <c r="V407" s="443"/>
      <c r="W407" s="439"/>
      <c r="X407" s="443"/>
      <c r="Y407" s="439"/>
      <c r="Z407" s="440"/>
      <c r="AA407" s="440"/>
      <c r="AB407" s="440"/>
      <c r="AC407" s="439"/>
      <c r="AD407" s="439"/>
      <c r="AE407" s="441"/>
      <c r="AF407" s="443"/>
      <c r="AG407" s="439"/>
      <c r="AH407" s="389"/>
    </row>
    <row r="408" spans="1:34">
      <c r="A408" s="434" t="s">
        <v>51</v>
      </c>
      <c r="B408" s="435" t="s">
        <v>379</v>
      </c>
      <c r="C408" s="436"/>
      <c r="D408" s="448">
        <v>222062</v>
      </c>
      <c r="E408" s="449">
        <v>9</v>
      </c>
      <c r="F408" s="217">
        <f t="shared" si="31"/>
        <v>121181</v>
      </c>
      <c r="G408" s="216">
        <f t="shared" si="32"/>
        <v>113865</v>
      </c>
      <c r="H408" s="443">
        <v>53513</v>
      </c>
      <c r="I408" s="439">
        <v>47872</v>
      </c>
      <c r="J408" s="443">
        <v>42185</v>
      </c>
      <c r="K408" s="439">
        <v>39577</v>
      </c>
      <c r="L408" s="440">
        <v>15862</v>
      </c>
      <c r="M408" s="440">
        <v>6570</v>
      </c>
      <c r="N408" s="440">
        <v>3051</v>
      </c>
      <c r="O408" s="439">
        <v>16986</v>
      </c>
      <c r="P408" s="439">
        <v>6096</v>
      </c>
      <c r="Q408" s="441">
        <v>3326</v>
      </c>
      <c r="R408" s="443"/>
      <c r="S408" s="439">
        <v>8</v>
      </c>
      <c r="T408" s="218">
        <f t="shared" si="33"/>
        <v>0</v>
      </c>
      <c r="U408" s="219">
        <f t="shared" si="34"/>
        <v>0</v>
      </c>
      <c r="V408" s="443"/>
      <c r="W408" s="439"/>
      <c r="X408" s="443"/>
      <c r="Y408" s="439"/>
      <c r="Z408" s="440"/>
      <c r="AA408" s="440"/>
      <c r="AB408" s="440"/>
      <c r="AC408" s="439"/>
      <c r="AD408" s="439"/>
      <c r="AE408" s="441"/>
      <c r="AF408" s="443"/>
      <c r="AG408" s="439"/>
      <c r="AH408" s="389"/>
    </row>
    <row r="409" spans="1:34">
      <c r="A409" s="434" t="s">
        <v>51</v>
      </c>
      <c r="B409" s="435" t="s">
        <v>380</v>
      </c>
      <c r="C409" s="444"/>
      <c r="D409" s="448" t="s">
        <v>381</v>
      </c>
      <c r="E409" s="449">
        <v>12</v>
      </c>
      <c r="F409" s="217">
        <f t="shared" si="31"/>
        <v>0</v>
      </c>
      <c r="G409" s="216">
        <f t="shared" si="32"/>
        <v>0</v>
      </c>
      <c r="H409" s="443"/>
      <c r="I409" s="439"/>
      <c r="J409" s="443"/>
      <c r="K409" s="439"/>
      <c r="L409" s="440"/>
      <c r="M409" s="440"/>
      <c r="N409" s="440"/>
      <c r="O409" s="439"/>
      <c r="P409" s="439"/>
      <c r="Q409" s="441"/>
      <c r="R409" s="443"/>
      <c r="S409" s="439"/>
      <c r="T409" s="218">
        <f t="shared" si="33"/>
        <v>0</v>
      </c>
      <c r="U409" s="219">
        <f t="shared" si="34"/>
        <v>0</v>
      </c>
      <c r="V409" s="443"/>
      <c r="W409" s="439"/>
      <c r="X409" s="443"/>
      <c r="Y409" s="439"/>
      <c r="Z409" s="440"/>
      <c r="AA409" s="440"/>
      <c r="AB409" s="440"/>
      <c r="AC409" s="439"/>
      <c r="AD409" s="439"/>
      <c r="AE409" s="441"/>
      <c r="AF409" s="443"/>
      <c r="AG409" s="439"/>
      <c r="AH409" s="389"/>
    </row>
    <row r="410" spans="1:34">
      <c r="A410" s="434" t="s">
        <v>51</v>
      </c>
      <c r="B410" s="435" t="s">
        <v>382</v>
      </c>
      <c r="C410" s="447"/>
      <c r="D410" s="448">
        <v>219596</v>
      </c>
      <c r="E410" s="449">
        <v>13</v>
      </c>
      <c r="F410" s="217">
        <f t="shared" si="31"/>
        <v>0</v>
      </c>
      <c r="G410" s="216">
        <f t="shared" si="32"/>
        <v>0</v>
      </c>
      <c r="H410" s="443"/>
      <c r="I410" s="439"/>
      <c r="J410" s="443"/>
      <c r="K410" s="439"/>
      <c r="L410" s="440"/>
      <c r="M410" s="440"/>
      <c r="N410" s="440"/>
      <c r="O410" s="439"/>
      <c r="P410" s="439"/>
      <c r="Q410" s="441"/>
      <c r="R410" s="443"/>
      <c r="S410" s="439"/>
      <c r="T410" s="218">
        <f t="shared" si="33"/>
        <v>0</v>
      </c>
      <c r="U410" s="219">
        <f t="shared" si="34"/>
        <v>0</v>
      </c>
      <c r="V410" s="443"/>
      <c r="W410" s="439"/>
      <c r="X410" s="443"/>
      <c r="Y410" s="439"/>
      <c r="Z410" s="440"/>
      <c r="AA410" s="440"/>
      <c r="AB410" s="440"/>
      <c r="AC410" s="439"/>
      <c r="AD410" s="439"/>
      <c r="AE410" s="441"/>
      <c r="AF410" s="443"/>
      <c r="AG410" s="439"/>
      <c r="AH410" s="389"/>
    </row>
    <row r="411" spans="1:34">
      <c r="A411" s="434" t="s">
        <v>51</v>
      </c>
      <c r="B411" s="435" t="s">
        <v>383</v>
      </c>
      <c r="C411" s="447"/>
      <c r="D411" s="448">
        <v>219921</v>
      </c>
      <c r="E411" s="449">
        <v>13</v>
      </c>
      <c r="F411" s="217">
        <f t="shared" si="31"/>
        <v>0</v>
      </c>
      <c r="G411" s="216">
        <f t="shared" si="32"/>
        <v>0</v>
      </c>
      <c r="H411" s="443"/>
      <c r="I411" s="439"/>
      <c r="J411" s="443"/>
      <c r="K411" s="439"/>
      <c r="L411" s="440"/>
      <c r="M411" s="440"/>
      <c r="N411" s="440"/>
      <c r="O411" s="439"/>
      <c r="P411" s="439"/>
      <c r="Q411" s="441"/>
      <c r="R411" s="443"/>
      <c r="S411" s="439"/>
      <c r="T411" s="218">
        <f t="shared" si="33"/>
        <v>0</v>
      </c>
      <c r="U411" s="219">
        <f t="shared" si="34"/>
        <v>0</v>
      </c>
      <c r="V411" s="443"/>
      <c r="W411" s="439"/>
      <c r="X411" s="443"/>
      <c r="Y411" s="439"/>
      <c r="Z411" s="440"/>
      <c r="AA411" s="440"/>
      <c r="AB411" s="440"/>
      <c r="AC411" s="439"/>
      <c r="AD411" s="439"/>
      <c r="AE411" s="441"/>
      <c r="AF411" s="443"/>
      <c r="AG411" s="439"/>
      <c r="AH411" s="389"/>
    </row>
    <row r="412" spans="1:34">
      <c r="A412" s="434" t="s">
        <v>51</v>
      </c>
      <c r="B412" s="435" t="s">
        <v>384</v>
      </c>
      <c r="C412" s="447"/>
      <c r="D412" s="448">
        <v>221591</v>
      </c>
      <c r="E412" s="449">
        <v>13</v>
      </c>
      <c r="F412" s="217">
        <f t="shared" si="31"/>
        <v>0</v>
      </c>
      <c r="G412" s="216">
        <f t="shared" si="32"/>
        <v>0</v>
      </c>
      <c r="H412" s="443"/>
      <c r="I412" s="439"/>
      <c r="J412" s="443"/>
      <c r="K412" s="439"/>
      <c r="L412" s="440"/>
      <c r="M412" s="440"/>
      <c r="N412" s="440"/>
      <c r="O412" s="439"/>
      <c r="P412" s="439"/>
      <c r="Q412" s="441"/>
      <c r="R412" s="443"/>
      <c r="S412" s="439"/>
      <c r="T412" s="218">
        <f t="shared" si="33"/>
        <v>0</v>
      </c>
      <c r="U412" s="219">
        <f t="shared" si="34"/>
        <v>0</v>
      </c>
      <c r="V412" s="443"/>
      <c r="W412" s="439"/>
      <c r="X412" s="443"/>
      <c r="Y412" s="439"/>
      <c r="Z412" s="440"/>
      <c r="AA412" s="440"/>
      <c r="AB412" s="440"/>
      <c r="AC412" s="439"/>
      <c r="AD412" s="439"/>
      <c r="AE412" s="441"/>
      <c r="AF412" s="443"/>
      <c r="AG412" s="439"/>
      <c r="AH412" s="389"/>
    </row>
    <row r="413" spans="1:34">
      <c r="A413" s="434" t="s">
        <v>51</v>
      </c>
      <c r="B413" s="435" t="s">
        <v>385</v>
      </c>
      <c r="C413" s="447"/>
      <c r="D413" s="448">
        <v>221430</v>
      </c>
      <c r="E413" s="449">
        <v>13</v>
      </c>
      <c r="F413" s="217">
        <f t="shared" si="31"/>
        <v>0</v>
      </c>
      <c r="G413" s="216">
        <f t="shared" si="32"/>
        <v>0</v>
      </c>
      <c r="H413" s="443"/>
      <c r="I413" s="439"/>
      <c r="J413" s="443"/>
      <c r="K413" s="439"/>
      <c r="L413" s="440"/>
      <c r="M413" s="440"/>
      <c r="N413" s="440"/>
      <c r="O413" s="439"/>
      <c r="P413" s="439"/>
      <c r="Q413" s="441"/>
      <c r="R413" s="443"/>
      <c r="S413" s="439"/>
      <c r="T413" s="218">
        <f t="shared" si="33"/>
        <v>0</v>
      </c>
      <c r="U413" s="219">
        <f t="shared" si="34"/>
        <v>0</v>
      </c>
      <c r="V413" s="443"/>
      <c r="W413" s="439"/>
      <c r="X413" s="443"/>
      <c r="Y413" s="439"/>
      <c r="Z413" s="440"/>
      <c r="AA413" s="440"/>
      <c r="AB413" s="440"/>
      <c r="AC413" s="439"/>
      <c r="AD413" s="439"/>
      <c r="AE413" s="441"/>
      <c r="AF413" s="443"/>
      <c r="AG413" s="439"/>
      <c r="AH413" s="389"/>
    </row>
    <row r="414" spans="1:34">
      <c r="A414" s="434" t="s">
        <v>51</v>
      </c>
      <c r="B414" s="435" t="s">
        <v>386</v>
      </c>
      <c r="C414" s="447"/>
      <c r="D414" s="448">
        <v>219994</v>
      </c>
      <c r="E414" s="449">
        <v>13</v>
      </c>
      <c r="F414" s="217">
        <f t="shared" si="31"/>
        <v>0</v>
      </c>
      <c r="G414" s="216">
        <f t="shared" si="32"/>
        <v>0</v>
      </c>
      <c r="H414" s="443"/>
      <c r="I414" s="439"/>
      <c r="J414" s="443"/>
      <c r="K414" s="439"/>
      <c r="L414" s="440"/>
      <c r="M414" s="440"/>
      <c r="N414" s="440"/>
      <c r="O414" s="439"/>
      <c r="P414" s="439"/>
      <c r="Q414" s="441"/>
      <c r="R414" s="443"/>
      <c r="S414" s="439"/>
      <c r="T414" s="218">
        <f t="shared" si="33"/>
        <v>0</v>
      </c>
      <c r="U414" s="219">
        <f t="shared" si="34"/>
        <v>0</v>
      </c>
      <c r="V414" s="443"/>
      <c r="W414" s="439"/>
      <c r="X414" s="443"/>
      <c r="Y414" s="439"/>
      <c r="Z414" s="440"/>
      <c r="AA414" s="440"/>
      <c r="AB414" s="440"/>
      <c r="AC414" s="439"/>
      <c r="AD414" s="439"/>
      <c r="AE414" s="441"/>
      <c r="AF414" s="443"/>
      <c r="AG414" s="439"/>
      <c r="AH414" s="389"/>
    </row>
    <row r="415" spans="1:34">
      <c r="A415" s="434" t="s">
        <v>51</v>
      </c>
      <c r="B415" s="435" t="s">
        <v>387</v>
      </c>
      <c r="C415" s="447"/>
      <c r="D415" s="448">
        <v>220127</v>
      </c>
      <c r="E415" s="449">
        <v>13</v>
      </c>
      <c r="F415" s="217">
        <f t="shared" si="31"/>
        <v>0</v>
      </c>
      <c r="G415" s="216">
        <f t="shared" si="32"/>
        <v>0</v>
      </c>
      <c r="H415" s="443"/>
      <c r="I415" s="439"/>
      <c r="J415" s="443"/>
      <c r="K415" s="439"/>
      <c r="L415" s="440"/>
      <c r="M415" s="440"/>
      <c r="N415" s="440"/>
      <c r="O415" s="439"/>
      <c r="P415" s="439"/>
      <c r="Q415" s="441"/>
      <c r="R415" s="443"/>
      <c r="S415" s="439"/>
      <c r="T415" s="218">
        <f t="shared" si="33"/>
        <v>0</v>
      </c>
      <c r="U415" s="219">
        <f t="shared" si="34"/>
        <v>0</v>
      </c>
      <c r="V415" s="443"/>
      <c r="W415" s="439"/>
      <c r="X415" s="443"/>
      <c r="Y415" s="439"/>
      <c r="Z415" s="440"/>
      <c r="AA415" s="440"/>
      <c r="AB415" s="440"/>
      <c r="AC415" s="439"/>
      <c r="AD415" s="439"/>
      <c r="AE415" s="441"/>
      <c r="AF415" s="443"/>
      <c r="AG415" s="439"/>
      <c r="AH415" s="389"/>
    </row>
    <row r="416" spans="1:34">
      <c r="A416" s="434" t="s">
        <v>51</v>
      </c>
      <c r="B416" s="435" t="s">
        <v>388</v>
      </c>
      <c r="C416" s="447"/>
      <c r="D416" s="448">
        <v>220251</v>
      </c>
      <c r="E416" s="449">
        <v>13</v>
      </c>
      <c r="F416" s="217">
        <f t="shared" si="31"/>
        <v>0</v>
      </c>
      <c r="G416" s="216">
        <f t="shared" si="32"/>
        <v>0</v>
      </c>
      <c r="H416" s="370"/>
      <c r="I416" s="445"/>
      <c r="J416" s="370"/>
      <c r="K416" s="445"/>
      <c r="L416" s="440"/>
      <c r="M416" s="369"/>
      <c r="N416" s="369"/>
      <c r="O416" s="445"/>
      <c r="P416" s="445"/>
      <c r="Q416" s="446"/>
      <c r="R416" s="370"/>
      <c r="S416" s="445"/>
      <c r="T416" s="218">
        <f t="shared" si="33"/>
        <v>0</v>
      </c>
      <c r="U416" s="219">
        <f t="shared" si="34"/>
        <v>0</v>
      </c>
      <c r="V416" s="370"/>
      <c r="W416" s="445"/>
      <c r="X416" s="370"/>
      <c r="Y416" s="445"/>
      <c r="Z416" s="440"/>
      <c r="AA416" s="369"/>
      <c r="AB416" s="369"/>
      <c r="AC416" s="445"/>
      <c r="AD416" s="445"/>
      <c r="AE416" s="446"/>
      <c r="AF416" s="370"/>
      <c r="AG416" s="445"/>
      <c r="AH416" s="389"/>
    </row>
    <row r="417" spans="1:34">
      <c r="A417" s="434" t="s">
        <v>51</v>
      </c>
      <c r="B417" s="435" t="s">
        <v>389</v>
      </c>
      <c r="C417" s="447"/>
      <c r="D417" s="448">
        <v>220279</v>
      </c>
      <c r="E417" s="449">
        <v>13</v>
      </c>
      <c r="F417" s="217">
        <f t="shared" si="31"/>
        <v>0</v>
      </c>
      <c r="G417" s="216">
        <f t="shared" si="32"/>
        <v>0</v>
      </c>
      <c r="H417" s="443"/>
      <c r="I417" s="439"/>
      <c r="J417" s="443"/>
      <c r="K417" s="439"/>
      <c r="L417" s="440"/>
      <c r="M417" s="440"/>
      <c r="N417" s="440"/>
      <c r="O417" s="439"/>
      <c r="P417" s="439"/>
      <c r="Q417" s="441"/>
      <c r="R417" s="443"/>
      <c r="S417" s="439"/>
      <c r="T417" s="218">
        <f t="shared" si="33"/>
        <v>0</v>
      </c>
      <c r="U417" s="219">
        <f t="shared" si="34"/>
        <v>0</v>
      </c>
      <c r="V417" s="443"/>
      <c r="W417" s="439"/>
      <c r="X417" s="443"/>
      <c r="Y417" s="439"/>
      <c r="Z417" s="440"/>
      <c r="AA417" s="440"/>
      <c r="AB417" s="440"/>
      <c r="AC417" s="439"/>
      <c r="AD417" s="439"/>
      <c r="AE417" s="441"/>
      <c r="AF417" s="443"/>
      <c r="AG417" s="439"/>
      <c r="AH417" s="389"/>
    </row>
    <row r="418" spans="1:34">
      <c r="A418" s="434" t="s">
        <v>51</v>
      </c>
      <c r="B418" s="435" t="s">
        <v>390</v>
      </c>
      <c r="C418" s="447"/>
      <c r="D418" s="448">
        <v>220321</v>
      </c>
      <c r="E418" s="449">
        <v>13</v>
      </c>
      <c r="F418" s="217">
        <f t="shared" si="31"/>
        <v>0</v>
      </c>
      <c r="G418" s="216">
        <f t="shared" si="32"/>
        <v>0</v>
      </c>
      <c r="H418" s="443"/>
      <c r="I418" s="439"/>
      <c r="J418" s="443"/>
      <c r="K418" s="439"/>
      <c r="L418" s="440"/>
      <c r="M418" s="440"/>
      <c r="N418" s="440"/>
      <c r="O418" s="439"/>
      <c r="P418" s="439"/>
      <c r="Q418" s="441"/>
      <c r="R418" s="443"/>
      <c r="S418" s="439"/>
      <c r="T418" s="218">
        <f t="shared" si="33"/>
        <v>0</v>
      </c>
      <c r="U418" s="219">
        <f t="shared" si="34"/>
        <v>0</v>
      </c>
      <c r="V418" s="443"/>
      <c r="W418" s="439"/>
      <c r="X418" s="443"/>
      <c r="Y418" s="439"/>
      <c r="Z418" s="440"/>
      <c r="AA418" s="440"/>
      <c r="AB418" s="440"/>
      <c r="AC418" s="439"/>
      <c r="AD418" s="439"/>
      <c r="AE418" s="441"/>
      <c r="AF418" s="443"/>
      <c r="AG418" s="439"/>
      <c r="AH418" s="389"/>
    </row>
    <row r="419" spans="1:34">
      <c r="A419" s="434" t="s">
        <v>51</v>
      </c>
      <c r="B419" s="435" t="s">
        <v>391</v>
      </c>
      <c r="C419" s="447"/>
      <c r="D419" s="448">
        <v>220394</v>
      </c>
      <c r="E419" s="449">
        <v>13</v>
      </c>
      <c r="F419" s="217">
        <f t="shared" si="31"/>
        <v>0</v>
      </c>
      <c r="G419" s="216">
        <f t="shared" si="32"/>
        <v>0</v>
      </c>
      <c r="H419" s="443"/>
      <c r="I419" s="439"/>
      <c r="J419" s="443"/>
      <c r="K419" s="439"/>
      <c r="L419" s="440"/>
      <c r="M419" s="440"/>
      <c r="N419" s="440"/>
      <c r="O419" s="439"/>
      <c r="P419" s="439"/>
      <c r="Q419" s="441"/>
      <c r="R419" s="443"/>
      <c r="S419" s="439"/>
      <c r="T419" s="218">
        <f t="shared" si="33"/>
        <v>0</v>
      </c>
      <c r="U419" s="219">
        <f t="shared" si="34"/>
        <v>0</v>
      </c>
      <c r="V419" s="443"/>
      <c r="W419" s="439"/>
      <c r="X419" s="443"/>
      <c r="Y419" s="439"/>
      <c r="Z419" s="440"/>
      <c r="AA419" s="440"/>
      <c r="AB419" s="440"/>
      <c r="AC419" s="439"/>
      <c r="AD419" s="439"/>
      <c r="AE419" s="441"/>
      <c r="AF419" s="443"/>
      <c r="AG419" s="439"/>
      <c r="AH419" s="389"/>
    </row>
    <row r="420" spans="1:34">
      <c r="A420" s="434" t="s">
        <v>51</v>
      </c>
      <c r="B420" s="435" t="s">
        <v>392</v>
      </c>
      <c r="C420" s="447"/>
      <c r="D420" s="448">
        <v>221616</v>
      </c>
      <c r="E420" s="449">
        <v>13</v>
      </c>
      <c r="F420" s="217">
        <f t="shared" si="31"/>
        <v>0</v>
      </c>
      <c r="G420" s="216">
        <f t="shared" si="32"/>
        <v>0</v>
      </c>
      <c r="H420" s="443"/>
      <c r="I420" s="439"/>
      <c r="J420" s="443"/>
      <c r="K420" s="439"/>
      <c r="L420" s="440"/>
      <c r="M420" s="440"/>
      <c r="N420" s="440"/>
      <c r="O420" s="439"/>
      <c r="P420" s="439"/>
      <c r="Q420" s="441"/>
      <c r="R420" s="443"/>
      <c r="S420" s="439"/>
      <c r="T420" s="218">
        <f t="shared" si="33"/>
        <v>0</v>
      </c>
      <c r="U420" s="219">
        <f t="shared" si="34"/>
        <v>0</v>
      </c>
      <c r="V420" s="443"/>
      <c r="W420" s="439"/>
      <c r="X420" s="443"/>
      <c r="Y420" s="439"/>
      <c r="Z420" s="440"/>
      <c r="AA420" s="440"/>
      <c r="AB420" s="440"/>
      <c r="AC420" s="439"/>
      <c r="AD420" s="439"/>
      <c r="AE420" s="441"/>
      <c r="AF420" s="443"/>
      <c r="AG420" s="439"/>
      <c r="AH420" s="389"/>
    </row>
    <row r="421" spans="1:34">
      <c r="A421" s="434" t="s">
        <v>51</v>
      </c>
      <c r="B421" s="435" t="s">
        <v>393</v>
      </c>
      <c r="C421" s="447"/>
      <c r="D421" s="448">
        <v>221625</v>
      </c>
      <c r="E421" s="449">
        <v>13</v>
      </c>
      <c r="F421" s="217">
        <f t="shared" si="31"/>
        <v>0</v>
      </c>
      <c r="G421" s="216">
        <f t="shared" si="32"/>
        <v>0</v>
      </c>
      <c r="H421" s="443"/>
      <c r="I421" s="439"/>
      <c r="J421" s="443"/>
      <c r="K421" s="439"/>
      <c r="L421" s="440"/>
      <c r="M421" s="440"/>
      <c r="N421" s="440"/>
      <c r="O421" s="439"/>
      <c r="P421" s="439"/>
      <c r="Q421" s="441"/>
      <c r="R421" s="443"/>
      <c r="S421" s="439"/>
      <c r="T421" s="218">
        <f t="shared" si="33"/>
        <v>0</v>
      </c>
      <c r="U421" s="219">
        <f t="shared" si="34"/>
        <v>0</v>
      </c>
      <c r="V421" s="443"/>
      <c r="W421" s="439"/>
      <c r="X421" s="443"/>
      <c r="Y421" s="439"/>
      <c r="Z421" s="440"/>
      <c r="AA421" s="440"/>
      <c r="AB421" s="440"/>
      <c r="AC421" s="439"/>
      <c r="AD421" s="439"/>
      <c r="AE421" s="441"/>
      <c r="AF421" s="443"/>
      <c r="AG421" s="439"/>
      <c r="AH421" s="389"/>
    </row>
    <row r="422" spans="1:34">
      <c r="A422" s="434" t="s">
        <v>51</v>
      </c>
      <c r="B422" s="435" t="s">
        <v>394</v>
      </c>
      <c r="C422" s="447"/>
      <c r="D422" s="448">
        <v>220640</v>
      </c>
      <c r="E422" s="449">
        <v>13</v>
      </c>
      <c r="F422" s="217">
        <f t="shared" si="31"/>
        <v>0</v>
      </c>
      <c r="G422" s="216">
        <f t="shared" si="32"/>
        <v>0</v>
      </c>
      <c r="H422" s="443"/>
      <c r="I422" s="439"/>
      <c r="J422" s="443"/>
      <c r="K422" s="439"/>
      <c r="L422" s="440"/>
      <c r="M422" s="440"/>
      <c r="N422" s="440"/>
      <c r="O422" s="439"/>
      <c r="P422" s="439"/>
      <c r="Q422" s="441"/>
      <c r="R422" s="443"/>
      <c r="S422" s="439"/>
      <c r="T422" s="218">
        <f t="shared" si="33"/>
        <v>0</v>
      </c>
      <c r="U422" s="219">
        <f t="shared" si="34"/>
        <v>0</v>
      </c>
      <c r="V422" s="443"/>
      <c r="W422" s="439"/>
      <c r="X422" s="443"/>
      <c r="Y422" s="439"/>
      <c r="Z422" s="440"/>
      <c r="AA422" s="440"/>
      <c r="AB422" s="440"/>
      <c r="AC422" s="439"/>
      <c r="AD422" s="439"/>
      <c r="AE422" s="441"/>
      <c r="AF422" s="443"/>
      <c r="AG422" s="439"/>
      <c r="AH422" s="389"/>
    </row>
    <row r="423" spans="1:34">
      <c r="A423" s="434" t="s">
        <v>51</v>
      </c>
      <c r="B423" s="435" t="s">
        <v>395</v>
      </c>
      <c r="C423" s="447"/>
      <c r="D423" s="448">
        <v>220756</v>
      </c>
      <c r="E423" s="449">
        <v>13</v>
      </c>
      <c r="F423" s="217">
        <f t="shared" si="31"/>
        <v>0</v>
      </c>
      <c r="G423" s="216">
        <f t="shared" si="32"/>
        <v>0</v>
      </c>
      <c r="H423" s="443"/>
      <c r="I423" s="439"/>
      <c r="J423" s="443"/>
      <c r="K423" s="439"/>
      <c r="L423" s="440"/>
      <c r="M423" s="440"/>
      <c r="N423" s="440"/>
      <c r="O423" s="439"/>
      <c r="P423" s="439"/>
      <c r="Q423" s="441"/>
      <c r="R423" s="443"/>
      <c r="S423" s="439"/>
      <c r="T423" s="218">
        <f t="shared" si="33"/>
        <v>0</v>
      </c>
      <c r="U423" s="219">
        <f t="shared" si="34"/>
        <v>0</v>
      </c>
      <c r="V423" s="443"/>
      <c r="W423" s="439"/>
      <c r="X423" s="443"/>
      <c r="Y423" s="439"/>
      <c r="Z423" s="440"/>
      <c r="AA423" s="440"/>
      <c r="AB423" s="440"/>
      <c r="AC423" s="439"/>
      <c r="AD423" s="439"/>
      <c r="AE423" s="441"/>
      <c r="AF423" s="443"/>
      <c r="AG423" s="439"/>
      <c r="AH423" s="389"/>
    </row>
    <row r="424" spans="1:34">
      <c r="A424" s="434" t="s">
        <v>51</v>
      </c>
      <c r="B424" s="435" t="s">
        <v>396</v>
      </c>
      <c r="C424" s="447"/>
      <c r="D424" s="448">
        <v>221607</v>
      </c>
      <c r="E424" s="449">
        <v>13</v>
      </c>
      <c r="F424" s="217">
        <f t="shared" si="31"/>
        <v>0</v>
      </c>
      <c r="G424" s="216">
        <f t="shared" si="32"/>
        <v>0</v>
      </c>
      <c r="H424" s="443"/>
      <c r="I424" s="439"/>
      <c r="J424" s="443"/>
      <c r="K424" s="439"/>
      <c r="L424" s="440"/>
      <c r="M424" s="440"/>
      <c r="N424" s="440"/>
      <c r="O424" s="439"/>
      <c r="P424" s="439"/>
      <c r="Q424" s="441"/>
      <c r="R424" s="443"/>
      <c r="S424" s="439"/>
      <c r="T424" s="218">
        <f t="shared" si="33"/>
        <v>0</v>
      </c>
      <c r="U424" s="219">
        <f t="shared" si="34"/>
        <v>0</v>
      </c>
      <c r="V424" s="443"/>
      <c r="W424" s="439"/>
      <c r="X424" s="443"/>
      <c r="Y424" s="439"/>
      <c r="Z424" s="440"/>
      <c r="AA424" s="440"/>
      <c r="AB424" s="440"/>
      <c r="AC424" s="439"/>
      <c r="AD424" s="439"/>
      <c r="AE424" s="441"/>
      <c r="AF424" s="443"/>
      <c r="AG424" s="439"/>
      <c r="AH424" s="389"/>
    </row>
    <row r="425" spans="1:34">
      <c r="A425" s="434" t="s">
        <v>51</v>
      </c>
      <c r="B425" s="435" t="s">
        <v>397</v>
      </c>
      <c r="C425" s="436"/>
      <c r="D425" s="448">
        <v>220853</v>
      </c>
      <c r="E425" s="449">
        <v>13</v>
      </c>
      <c r="F425" s="217">
        <f t="shared" si="31"/>
        <v>0</v>
      </c>
      <c r="G425" s="216">
        <f t="shared" si="32"/>
        <v>0</v>
      </c>
      <c r="H425" s="443"/>
      <c r="I425" s="439"/>
      <c r="J425" s="443"/>
      <c r="K425" s="439"/>
      <c r="L425" s="440"/>
      <c r="M425" s="440"/>
      <c r="N425" s="440"/>
      <c r="O425" s="439"/>
      <c r="P425" s="439"/>
      <c r="Q425" s="441"/>
      <c r="R425" s="443"/>
      <c r="S425" s="439"/>
      <c r="T425" s="218">
        <f t="shared" si="33"/>
        <v>0</v>
      </c>
      <c r="U425" s="219">
        <f t="shared" si="34"/>
        <v>0</v>
      </c>
      <c r="V425" s="443"/>
      <c r="W425" s="439"/>
      <c r="X425" s="443"/>
      <c r="Y425" s="439"/>
      <c r="Z425" s="440"/>
      <c r="AA425" s="440"/>
      <c r="AB425" s="440"/>
      <c r="AC425" s="439"/>
      <c r="AD425" s="439"/>
      <c r="AE425" s="441"/>
      <c r="AF425" s="443"/>
      <c r="AG425" s="439"/>
      <c r="AH425" s="389"/>
    </row>
    <row r="426" spans="1:34">
      <c r="A426" s="434" t="s">
        <v>51</v>
      </c>
      <c r="B426" s="435" t="s">
        <v>398</v>
      </c>
      <c r="C426" s="447"/>
      <c r="D426" s="448">
        <v>221050</v>
      </c>
      <c r="E426" s="449">
        <v>13</v>
      </c>
      <c r="F426" s="217">
        <f t="shared" si="31"/>
        <v>0</v>
      </c>
      <c r="G426" s="216">
        <f t="shared" si="32"/>
        <v>0</v>
      </c>
      <c r="H426" s="443"/>
      <c r="I426" s="439"/>
      <c r="J426" s="443"/>
      <c r="K426" s="439"/>
      <c r="L426" s="440"/>
      <c r="M426" s="440"/>
      <c r="N426" s="440"/>
      <c r="O426" s="439"/>
      <c r="P426" s="439"/>
      <c r="Q426" s="441"/>
      <c r="R426" s="443"/>
      <c r="S426" s="439"/>
      <c r="T426" s="218">
        <f t="shared" si="33"/>
        <v>0</v>
      </c>
      <c r="U426" s="219">
        <f t="shared" si="34"/>
        <v>0</v>
      </c>
      <c r="V426" s="443"/>
      <c r="W426" s="439"/>
      <c r="X426" s="443"/>
      <c r="Y426" s="439"/>
      <c r="Z426" s="440"/>
      <c r="AA426" s="440"/>
      <c r="AB426" s="440"/>
      <c r="AC426" s="439"/>
      <c r="AD426" s="439"/>
      <c r="AE426" s="441"/>
      <c r="AF426" s="443"/>
      <c r="AG426" s="439"/>
      <c r="AH426" s="389"/>
    </row>
    <row r="427" spans="1:34">
      <c r="A427" s="451" t="s">
        <v>51</v>
      </c>
      <c r="B427" s="435" t="s">
        <v>399</v>
      </c>
      <c r="C427" s="447"/>
      <c r="D427" s="448">
        <v>221102</v>
      </c>
      <c r="E427" s="449">
        <v>13</v>
      </c>
      <c r="F427" s="217">
        <f t="shared" si="31"/>
        <v>0</v>
      </c>
      <c r="G427" s="216">
        <f t="shared" si="32"/>
        <v>0</v>
      </c>
      <c r="H427" s="443"/>
      <c r="I427" s="439"/>
      <c r="J427" s="443"/>
      <c r="K427" s="439"/>
      <c r="L427" s="440"/>
      <c r="M427" s="440"/>
      <c r="N427" s="440"/>
      <c r="O427" s="439"/>
      <c r="P427" s="439"/>
      <c r="Q427" s="441"/>
      <c r="R427" s="443"/>
      <c r="S427" s="439"/>
      <c r="T427" s="218">
        <f t="shared" si="33"/>
        <v>0</v>
      </c>
      <c r="U427" s="219">
        <f t="shared" si="34"/>
        <v>0</v>
      </c>
      <c r="V427" s="443"/>
      <c r="W427" s="439"/>
      <c r="X427" s="443"/>
      <c r="Y427" s="439"/>
      <c r="Z427" s="440"/>
      <c r="AA427" s="440"/>
      <c r="AB427" s="440"/>
      <c r="AC427" s="439"/>
      <c r="AD427" s="439"/>
      <c r="AE427" s="441"/>
      <c r="AF427" s="443"/>
      <c r="AG427" s="439"/>
      <c r="AH427" s="389"/>
    </row>
    <row r="428" spans="1:34">
      <c r="A428" s="451" t="s">
        <v>51</v>
      </c>
      <c r="B428" s="435" t="s">
        <v>400</v>
      </c>
      <c r="C428" s="436"/>
      <c r="D428" s="448">
        <v>248925</v>
      </c>
      <c r="E428" s="449">
        <v>13</v>
      </c>
      <c r="F428" s="217">
        <f t="shared" si="31"/>
        <v>0</v>
      </c>
      <c r="G428" s="216">
        <f t="shared" si="32"/>
        <v>0</v>
      </c>
      <c r="H428" s="443"/>
      <c r="I428" s="439"/>
      <c r="J428" s="443"/>
      <c r="K428" s="439"/>
      <c r="L428" s="440"/>
      <c r="M428" s="440"/>
      <c r="N428" s="440"/>
      <c r="O428" s="439"/>
      <c r="P428" s="439"/>
      <c r="Q428" s="441"/>
      <c r="R428" s="443"/>
      <c r="S428" s="439"/>
      <c r="T428" s="218">
        <f t="shared" si="33"/>
        <v>0</v>
      </c>
      <c r="U428" s="219">
        <f t="shared" si="34"/>
        <v>0</v>
      </c>
      <c r="V428" s="443"/>
      <c r="W428" s="439"/>
      <c r="X428" s="443"/>
      <c r="Y428" s="439"/>
      <c r="Z428" s="440"/>
      <c r="AA428" s="440"/>
      <c r="AB428" s="440"/>
      <c r="AC428" s="439"/>
      <c r="AD428" s="439"/>
      <c r="AE428" s="441"/>
      <c r="AF428" s="443"/>
      <c r="AG428" s="439"/>
      <c r="AH428" s="389"/>
    </row>
    <row r="429" spans="1:34">
      <c r="A429" s="451" t="s">
        <v>51</v>
      </c>
      <c r="B429" s="435" t="s">
        <v>401</v>
      </c>
      <c r="C429" s="447"/>
      <c r="D429" s="448">
        <v>221236</v>
      </c>
      <c r="E429" s="449">
        <v>13</v>
      </c>
      <c r="F429" s="217">
        <f t="shared" si="31"/>
        <v>0</v>
      </c>
      <c r="G429" s="216">
        <f t="shared" si="32"/>
        <v>0</v>
      </c>
      <c r="H429" s="443"/>
      <c r="I429" s="439"/>
      <c r="J429" s="443"/>
      <c r="K429" s="439"/>
      <c r="L429" s="440"/>
      <c r="M429" s="440"/>
      <c r="N429" s="440"/>
      <c r="O429" s="439"/>
      <c r="P429" s="439"/>
      <c r="Q429" s="441"/>
      <c r="R429" s="443"/>
      <c r="S429" s="439"/>
      <c r="T429" s="218">
        <f t="shared" si="33"/>
        <v>0</v>
      </c>
      <c r="U429" s="219">
        <f t="shared" si="34"/>
        <v>0</v>
      </c>
      <c r="V429" s="443"/>
      <c r="W429" s="439"/>
      <c r="X429" s="443"/>
      <c r="Y429" s="439"/>
      <c r="Z429" s="440"/>
      <c r="AA429" s="440"/>
      <c r="AB429" s="440"/>
      <c r="AC429" s="439"/>
      <c r="AD429" s="439"/>
      <c r="AE429" s="441"/>
      <c r="AF429" s="443"/>
      <c r="AG429" s="439"/>
      <c r="AH429" s="389"/>
    </row>
    <row r="430" spans="1:34">
      <c r="A430" s="451" t="s">
        <v>51</v>
      </c>
      <c r="B430" s="435" t="s">
        <v>402</v>
      </c>
      <c r="C430" s="447"/>
      <c r="D430" s="448">
        <v>221582</v>
      </c>
      <c r="E430" s="449">
        <v>13</v>
      </c>
      <c r="F430" s="217">
        <f t="shared" si="31"/>
        <v>0</v>
      </c>
      <c r="G430" s="216">
        <f t="shared" si="32"/>
        <v>0</v>
      </c>
      <c r="H430" s="443"/>
      <c r="I430" s="439"/>
      <c r="J430" s="443"/>
      <c r="K430" s="439"/>
      <c r="L430" s="440"/>
      <c r="M430" s="440"/>
      <c r="N430" s="440"/>
      <c r="O430" s="439"/>
      <c r="P430" s="439"/>
      <c r="Q430" s="441"/>
      <c r="R430" s="443"/>
      <c r="S430" s="439"/>
      <c r="T430" s="218">
        <f t="shared" si="33"/>
        <v>0</v>
      </c>
      <c r="U430" s="219">
        <f t="shared" si="34"/>
        <v>0</v>
      </c>
      <c r="V430" s="443"/>
      <c r="W430" s="439"/>
      <c r="X430" s="443"/>
      <c r="Y430" s="439"/>
      <c r="Z430" s="440"/>
      <c r="AA430" s="440"/>
      <c r="AB430" s="440"/>
      <c r="AC430" s="439"/>
      <c r="AD430" s="439"/>
      <c r="AE430" s="441"/>
      <c r="AF430" s="443"/>
      <c r="AG430" s="439"/>
      <c r="AH430" s="389"/>
    </row>
    <row r="431" spans="1:34">
      <c r="A431" s="451" t="s">
        <v>51</v>
      </c>
      <c r="B431" s="435" t="s">
        <v>403</v>
      </c>
      <c r="C431" s="447"/>
      <c r="D431" s="448">
        <v>221281</v>
      </c>
      <c r="E431" s="449">
        <v>13</v>
      </c>
      <c r="F431" s="217">
        <f t="shared" si="31"/>
        <v>0</v>
      </c>
      <c r="G431" s="216">
        <f t="shared" si="32"/>
        <v>0</v>
      </c>
      <c r="H431" s="443"/>
      <c r="I431" s="439"/>
      <c r="J431" s="443"/>
      <c r="K431" s="439"/>
      <c r="L431" s="440"/>
      <c r="M431" s="440"/>
      <c r="N431" s="440"/>
      <c r="O431" s="439"/>
      <c r="P431" s="439"/>
      <c r="Q431" s="441"/>
      <c r="R431" s="443"/>
      <c r="S431" s="439"/>
      <c r="T431" s="218">
        <f t="shared" si="33"/>
        <v>0</v>
      </c>
      <c r="U431" s="219">
        <f t="shared" si="34"/>
        <v>0</v>
      </c>
      <c r="V431" s="443"/>
      <c r="W431" s="439"/>
      <c r="X431" s="443"/>
      <c r="Y431" s="439"/>
      <c r="Z431" s="440"/>
      <c r="AA431" s="440"/>
      <c r="AB431" s="440"/>
      <c r="AC431" s="439"/>
      <c r="AD431" s="439"/>
      <c r="AE431" s="441"/>
      <c r="AF431" s="443"/>
      <c r="AG431" s="439"/>
      <c r="AH431" s="389"/>
    </row>
    <row r="432" spans="1:34">
      <c r="A432" s="451" t="s">
        <v>51</v>
      </c>
      <c r="B432" s="435" t="s">
        <v>404</v>
      </c>
      <c r="C432" s="447"/>
      <c r="D432" s="448">
        <v>221333</v>
      </c>
      <c r="E432" s="449">
        <v>13</v>
      </c>
      <c r="F432" s="217">
        <f t="shared" si="31"/>
        <v>0</v>
      </c>
      <c r="G432" s="216">
        <f t="shared" si="32"/>
        <v>0</v>
      </c>
      <c r="H432" s="443"/>
      <c r="I432" s="439"/>
      <c r="J432" s="443"/>
      <c r="K432" s="439"/>
      <c r="L432" s="440"/>
      <c r="M432" s="440"/>
      <c r="N432" s="440"/>
      <c r="O432" s="439"/>
      <c r="P432" s="439"/>
      <c r="Q432" s="441"/>
      <c r="R432" s="443"/>
      <c r="S432" s="439"/>
      <c r="T432" s="218">
        <f t="shared" si="33"/>
        <v>0</v>
      </c>
      <c r="U432" s="219">
        <f t="shared" si="34"/>
        <v>0</v>
      </c>
      <c r="V432" s="443"/>
      <c r="W432" s="439"/>
      <c r="X432" s="443"/>
      <c r="Y432" s="439"/>
      <c r="Z432" s="440"/>
      <c r="AA432" s="440"/>
      <c r="AB432" s="440"/>
      <c r="AC432" s="439"/>
      <c r="AD432" s="439"/>
      <c r="AE432" s="441"/>
      <c r="AF432" s="443"/>
      <c r="AG432" s="439"/>
      <c r="AH432" s="389"/>
    </row>
    <row r="433" spans="1:34">
      <c r="A433" s="451" t="s">
        <v>51</v>
      </c>
      <c r="B433" s="435" t="s">
        <v>405</v>
      </c>
      <c r="C433" s="447"/>
      <c r="D433" s="448">
        <v>221388</v>
      </c>
      <c r="E433" s="449">
        <v>13</v>
      </c>
      <c r="F433" s="217">
        <f t="shared" si="31"/>
        <v>0</v>
      </c>
      <c r="G433" s="216">
        <f t="shared" si="32"/>
        <v>0</v>
      </c>
      <c r="H433" s="443"/>
      <c r="I433" s="439"/>
      <c r="J433" s="443"/>
      <c r="K433" s="439"/>
      <c r="L433" s="440"/>
      <c r="M433" s="440"/>
      <c r="N433" s="440"/>
      <c r="O433" s="439"/>
      <c r="P433" s="439"/>
      <c r="Q433" s="441"/>
      <c r="R433" s="443"/>
      <c r="S433" s="439"/>
      <c r="T433" s="218">
        <f t="shared" si="33"/>
        <v>0</v>
      </c>
      <c r="U433" s="219">
        <f t="shared" si="34"/>
        <v>0</v>
      </c>
      <c r="V433" s="443"/>
      <c r="W433" s="439"/>
      <c r="X433" s="443"/>
      <c r="Y433" s="439"/>
      <c r="Z433" s="440"/>
      <c r="AA433" s="440"/>
      <c r="AB433" s="440"/>
      <c r="AC433" s="439"/>
      <c r="AD433" s="439"/>
      <c r="AE433" s="441"/>
      <c r="AF433" s="443"/>
      <c r="AG433" s="439"/>
      <c r="AH433" s="389"/>
    </row>
    <row r="434" spans="1:34">
      <c r="A434" s="451" t="s">
        <v>51</v>
      </c>
      <c r="B434" s="435" t="s">
        <v>406</v>
      </c>
      <c r="C434" s="447"/>
      <c r="D434" s="448">
        <v>221494</v>
      </c>
      <c r="E434" s="449">
        <v>13</v>
      </c>
      <c r="F434" s="217">
        <f t="shared" si="31"/>
        <v>0</v>
      </c>
      <c r="G434" s="216">
        <f t="shared" si="32"/>
        <v>0</v>
      </c>
      <c r="H434" s="443"/>
      <c r="I434" s="439"/>
      <c r="J434" s="443"/>
      <c r="K434" s="439"/>
      <c r="L434" s="440"/>
      <c r="M434" s="440"/>
      <c r="N434" s="440"/>
      <c r="O434" s="439"/>
      <c r="P434" s="439"/>
      <c r="Q434" s="441"/>
      <c r="R434" s="443"/>
      <c r="S434" s="439"/>
      <c r="T434" s="218">
        <f t="shared" si="33"/>
        <v>0</v>
      </c>
      <c r="U434" s="219">
        <f t="shared" si="34"/>
        <v>0</v>
      </c>
      <c r="V434" s="443"/>
      <c r="W434" s="439"/>
      <c r="X434" s="443"/>
      <c r="Y434" s="439"/>
      <c r="Z434" s="440"/>
      <c r="AA434" s="440"/>
      <c r="AB434" s="440"/>
      <c r="AC434" s="439"/>
      <c r="AD434" s="439"/>
      <c r="AE434" s="441"/>
      <c r="AF434" s="443"/>
      <c r="AG434" s="439"/>
      <c r="AH434" s="389"/>
    </row>
    <row r="435" spans="1:34">
      <c r="A435" s="451" t="s">
        <v>51</v>
      </c>
      <c r="B435" s="435" t="s">
        <v>407</v>
      </c>
      <c r="C435" s="447"/>
      <c r="D435" s="448">
        <v>221634</v>
      </c>
      <c r="E435" s="449">
        <v>13</v>
      </c>
      <c r="F435" s="217">
        <f t="shared" si="31"/>
        <v>0</v>
      </c>
      <c r="G435" s="216">
        <f t="shared" si="32"/>
        <v>0</v>
      </c>
      <c r="H435" s="443"/>
      <c r="I435" s="439"/>
      <c r="J435" s="443"/>
      <c r="K435" s="439"/>
      <c r="L435" s="440"/>
      <c r="M435" s="440"/>
      <c r="N435" s="440"/>
      <c r="O435" s="439"/>
      <c r="P435" s="439"/>
      <c r="Q435" s="441"/>
      <c r="R435" s="443"/>
      <c r="S435" s="439"/>
      <c r="T435" s="218">
        <f t="shared" si="33"/>
        <v>0</v>
      </c>
      <c r="U435" s="219">
        <f t="shared" si="34"/>
        <v>0</v>
      </c>
      <c r="V435" s="443"/>
      <c r="W435" s="439"/>
      <c r="X435" s="443"/>
      <c r="Y435" s="439"/>
      <c r="Z435" s="440"/>
      <c r="AA435" s="440"/>
      <c r="AB435" s="440"/>
      <c r="AC435" s="439"/>
      <c r="AD435" s="439"/>
      <c r="AE435" s="441"/>
      <c r="AF435" s="443"/>
      <c r="AG435" s="439"/>
      <c r="AH435" s="389"/>
    </row>
    <row r="436" spans="1:34">
      <c r="A436" s="467" t="s">
        <v>52</v>
      </c>
      <c r="B436" s="460" t="s">
        <v>745</v>
      </c>
      <c r="C436" s="461"/>
      <c r="D436" s="462">
        <v>228723</v>
      </c>
      <c r="E436" s="463">
        <v>1</v>
      </c>
      <c r="F436" s="217">
        <f t="shared" si="31"/>
        <v>1108074</v>
      </c>
      <c r="G436" s="216">
        <f t="shared" si="32"/>
        <v>1168921</v>
      </c>
      <c r="H436" s="368">
        <v>1038754</v>
      </c>
      <c r="I436" s="390">
        <v>1079924</v>
      </c>
      <c r="J436" s="368">
        <v>6425</v>
      </c>
      <c r="K436" s="390">
        <v>7711</v>
      </c>
      <c r="L436" s="367">
        <v>54164</v>
      </c>
      <c r="M436" s="367">
        <v>0</v>
      </c>
      <c r="N436" s="367">
        <v>8731</v>
      </c>
      <c r="O436" s="390">
        <v>74449</v>
      </c>
      <c r="P436" s="390">
        <v>0</v>
      </c>
      <c r="Q436" s="391">
        <v>6837</v>
      </c>
      <c r="R436" s="368"/>
      <c r="S436" s="390"/>
      <c r="T436" s="218">
        <f t="shared" si="33"/>
        <v>192295</v>
      </c>
      <c r="U436" s="219">
        <f t="shared" si="34"/>
        <v>213607</v>
      </c>
      <c r="V436" s="368">
        <v>157942</v>
      </c>
      <c r="W436" s="390">
        <v>183607</v>
      </c>
      <c r="X436" s="368">
        <v>13939</v>
      </c>
      <c r="Y436" s="390">
        <v>5177</v>
      </c>
      <c r="Z436" s="367">
        <v>16280</v>
      </c>
      <c r="AA436" s="367">
        <v>36</v>
      </c>
      <c r="AB436" s="367">
        <v>4098</v>
      </c>
      <c r="AC436" s="390">
        <v>20862</v>
      </c>
      <c r="AD436" s="390">
        <v>32</v>
      </c>
      <c r="AE436" s="391">
        <v>3929</v>
      </c>
      <c r="AF436" s="368"/>
      <c r="AG436" s="390"/>
      <c r="AH436" s="389"/>
    </row>
    <row r="437" spans="1:34">
      <c r="A437" s="467" t="s">
        <v>52</v>
      </c>
      <c r="B437" s="460" t="s">
        <v>746</v>
      </c>
      <c r="C437" s="461"/>
      <c r="D437" s="462">
        <v>229115</v>
      </c>
      <c r="E437" s="463">
        <v>1</v>
      </c>
      <c r="F437" s="217">
        <f t="shared" si="31"/>
        <v>716335</v>
      </c>
      <c r="G437" s="216">
        <f t="shared" si="32"/>
        <v>744454</v>
      </c>
      <c r="H437" s="368">
        <v>638326</v>
      </c>
      <c r="I437" s="390">
        <v>642400</v>
      </c>
      <c r="J437" s="368">
        <v>7749</v>
      </c>
      <c r="K437" s="390">
        <v>7986</v>
      </c>
      <c r="L437" s="367">
        <v>69516</v>
      </c>
      <c r="M437" s="367">
        <v>744</v>
      </c>
      <c r="N437" s="367">
        <v>0</v>
      </c>
      <c r="O437" s="390">
        <v>93972</v>
      </c>
      <c r="P437" s="390">
        <v>96</v>
      </c>
      <c r="Q437" s="391">
        <v>0</v>
      </c>
      <c r="R437" s="368"/>
      <c r="S437" s="390"/>
      <c r="T437" s="218">
        <f t="shared" si="33"/>
        <v>118950</v>
      </c>
      <c r="U437" s="219">
        <f t="shared" si="34"/>
        <v>122989</v>
      </c>
      <c r="V437" s="368">
        <v>95726</v>
      </c>
      <c r="W437" s="390">
        <v>94950</v>
      </c>
      <c r="X437" s="368">
        <v>1388</v>
      </c>
      <c r="Y437" s="390">
        <v>1497</v>
      </c>
      <c r="Z437" s="367">
        <v>21611</v>
      </c>
      <c r="AA437" s="367">
        <v>225</v>
      </c>
      <c r="AB437" s="367">
        <v>0</v>
      </c>
      <c r="AC437" s="390">
        <v>26440</v>
      </c>
      <c r="AD437" s="390">
        <v>102</v>
      </c>
      <c r="AE437" s="391">
        <v>0</v>
      </c>
      <c r="AF437" s="368"/>
      <c r="AG437" s="390"/>
      <c r="AH437" s="389"/>
    </row>
    <row r="438" spans="1:34">
      <c r="A438" s="467" t="s">
        <v>52</v>
      </c>
      <c r="B438" s="460" t="s">
        <v>747</v>
      </c>
      <c r="C438" s="461"/>
      <c r="D438" s="462">
        <v>225511</v>
      </c>
      <c r="E438" s="463">
        <v>1</v>
      </c>
      <c r="F438" s="217">
        <f t="shared" si="31"/>
        <v>783362</v>
      </c>
      <c r="G438" s="216">
        <f t="shared" si="32"/>
        <v>794730</v>
      </c>
      <c r="H438" s="368">
        <v>613523</v>
      </c>
      <c r="I438" s="390">
        <v>613352</v>
      </c>
      <c r="J438" s="368">
        <v>8220</v>
      </c>
      <c r="K438" s="390">
        <v>9095</v>
      </c>
      <c r="L438" s="367">
        <v>161463</v>
      </c>
      <c r="M438" s="367">
        <v>156</v>
      </c>
      <c r="N438" s="367">
        <v>0</v>
      </c>
      <c r="O438" s="390">
        <v>172283</v>
      </c>
      <c r="P438" s="390">
        <v>0</v>
      </c>
      <c r="Q438" s="391">
        <v>0</v>
      </c>
      <c r="R438" s="368"/>
      <c r="S438" s="390"/>
      <c r="T438" s="218">
        <f t="shared" si="33"/>
        <v>171661</v>
      </c>
      <c r="U438" s="219">
        <f t="shared" si="34"/>
        <v>177295</v>
      </c>
      <c r="V438" s="368">
        <v>157328</v>
      </c>
      <c r="W438" s="390">
        <v>159747</v>
      </c>
      <c r="X438" s="368">
        <v>2256</v>
      </c>
      <c r="Y438" s="390">
        <v>3679</v>
      </c>
      <c r="Z438" s="367">
        <v>12047</v>
      </c>
      <c r="AA438" s="367">
        <v>30</v>
      </c>
      <c r="AB438" s="367">
        <v>0</v>
      </c>
      <c r="AC438" s="390">
        <v>13854</v>
      </c>
      <c r="AD438" s="390">
        <v>15</v>
      </c>
      <c r="AE438" s="391">
        <v>0</v>
      </c>
      <c r="AF438" s="368"/>
      <c r="AG438" s="390"/>
      <c r="AH438" s="389"/>
    </row>
    <row r="439" spans="1:34">
      <c r="A439" s="467" t="s">
        <v>52</v>
      </c>
      <c r="B439" s="460" t="s">
        <v>748</v>
      </c>
      <c r="C439" s="461"/>
      <c r="D439" s="462">
        <v>227216</v>
      </c>
      <c r="E439" s="463">
        <v>1</v>
      </c>
      <c r="F439" s="217">
        <f t="shared" si="31"/>
        <v>755705</v>
      </c>
      <c r="G439" s="216">
        <f t="shared" si="32"/>
        <v>762278</v>
      </c>
      <c r="H439" s="368">
        <v>658051</v>
      </c>
      <c r="I439" s="390">
        <v>656457</v>
      </c>
      <c r="J439" s="368">
        <v>2448</v>
      </c>
      <c r="K439" s="390">
        <v>2828</v>
      </c>
      <c r="L439" s="367">
        <v>94882</v>
      </c>
      <c r="M439" s="367">
        <v>288</v>
      </c>
      <c r="N439" s="367">
        <v>36</v>
      </c>
      <c r="O439" s="390">
        <v>102843</v>
      </c>
      <c r="P439" s="390">
        <v>120</v>
      </c>
      <c r="Q439" s="391">
        <v>30</v>
      </c>
      <c r="R439" s="368"/>
      <c r="S439" s="390"/>
      <c r="T439" s="218">
        <f t="shared" si="33"/>
        <v>97441</v>
      </c>
      <c r="U439" s="219">
        <f t="shared" si="34"/>
        <v>96280</v>
      </c>
      <c r="V439" s="368">
        <v>69431</v>
      </c>
      <c r="W439" s="390">
        <v>67813</v>
      </c>
      <c r="X439" s="368">
        <v>1080</v>
      </c>
      <c r="Y439" s="390">
        <v>1278</v>
      </c>
      <c r="Z439" s="367">
        <v>26795</v>
      </c>
      <c r="AA439" s="367">
        <v>135</v>
      </c>
      <c r="AB439" s="367">
        <v>0</v>
      </c>
      <c r="AC439" s="390">
        <v>27165</v>
      </c>
      <c r="AD439" s="390">
        <v>24</v>
      </c>
      <c r="AE439" s="391">
        <v>0</v>
      </c>
      <c r="AF439" s="368"/>
      <c r="AG439" s="390"/>
      <c r="AH439" s="389"/>
    </row>
    <row r="440" spans="1:34">
      <c r="A440" s="467" t="s">
        <v>52</v>
      </c>
      <c r="B440" s="460" t="s">
        <v>749</v>
      </c>
      <c r="C440" s="461"/>
      <c r="D440" s="462">
        <v>228769</v>
      </c>
      <c r="E440" s="463">
        <v>1</v>
      </c>
      <c r="F440" s="217">
        <f t="shared" si="31"/>
        <v>628553</v>
      </c>
      <c r="G440" s="216">
        <f t="shared" si="32"/>
        <v>624135</v>
      </c>
      <c r="H440" s="368">
        <v>479991</v>
      </c>
      <c r="I440" s="390">
        <v>475369</v>
      </c>
      <c r="J440" s="368">
        <v>741</v>
      </c>
      <c r="K440" s="390">
        <v>882</v>
      </c>
      <c r="L440" s="367">
        <v>146008</v>
      </c>
      <c r="M440" s="367">
        <v>77</v>
      </c>
      <c r="N440" s="367">
        <v>1736</v>
      </c>
      <c r="O440" s="390">
        <v>147200</v>
      </c>
      <c r="P440" s="390">
        <v>15</v>
      </c>
      <c r="Q440" s="391">
        <v>669</v>
      </c>
      <c r="R440" s="368"/>
      <c r="S440" s="390"/>
      <c r="T440" s="218">
        <f t="shared" si="33"/>
        <v>127445</v>
      </c>
      <c r="U440" s="219">
        <f t="shared" si="34"/>
        <v>147365</v>
      </c>
      <c r="V440" s="368">
        <v>81523</v>
      </c>
      <c r="W440" s="390">
        <v>95085</v>
      </c>
      <c r="X440" s="368">
        <v>9506</v>
      </c>
      <c r="Y440" s="390">
        <v>8073</v>
      </c>
      <c r="Z440" s="367">
        <v>36416</v>
      </c>
      <c r="AA440" s="367">
        <v>0</v>
      </c>
      <c r="AB440" s="367">
        <v>0</v>
      </c>
      <c r="AC440" s="390">
        <v>44075</v>
      </c>
      <c r="AD440" s="390">
        <v>114</v>
      </c>
      <c r="AE440" s="391">
        <v>18</v>
      </c>
      <c r="AF440" s="368"/>
      <c r="AG440" s="390"/>
      <c r="AH440" s="389"/>
    </row>
    <row r="441" spans="1:34">
      <c r="A441" s="467" t="s">
        <v>52</v>
      </c>
      <c r="B441" s="460" t="s">
        <v>750</v>
      </c>
      <c r="C441" s="461"/>
      <c r="D441" s="462">
        <v>228778</v>
      </c>
      <c r="E441" s="463">
        <v>1</v>
      </c>
      <c r="F441" s="217">
        <f t="shared" si="31"/>
        <v>1092702</v>
      </c>
      <c r="G441" s="216">
        <f t="shared" si="32"/>
        <v>1074072</v>
      </c>
      <c r="H441" s="368">
        <v>1071749</v>
      </c>
      <c r="I441" s="390">
        <v>1039331</v>
      </c>
      <c r="J441" s="368">
        <v>4848</v>
      </c>
      <c r="K441" s="390">
        <v>5992</v>
      </c>
      <c r="L441" s="367">
        <v>11580</v>
      </c>
      <c r="M441" s="367">
        <v>4059</v>
      </c>
      <c r="N441" s="367">
        <v>466</v>
      </c>
      <c r="O441" s="390">
        <v>14914</v>
      </c>
      <c r="P441" s="390">
        <v>13383</v>
      </c>
      <c r="Q441" s="391">
        <v>452</v>
      </c>
      <c r="R441" s="368"/>
      <c r="S441" s="390"/>
      <c r="T441" s="218">
        <f t="shared" si="33"/>
        <v>256370</v>
      </c>
      <c r="U441" s="219">
        <f t="shared" si="34"/>
        <v>254324</v>
      </c>
      <c r="V441" s="368">
        <v>250745</v>
      </c>
      <c r="W441" s="390">
        <v>248494</v>
      </c>
      <c r="X441" s="368">
        <v>465</v>
      </c>
      <c r="Y441" s="390">
        <v>348</v>
      </c>
      <c r="Z441" s="367">
        <v>2059</v>
      </c>
      <c r="AA441" s="367">
        <v>2191</v>
      </c>
      <c r="AB441" s="367">
        <v>910</v>
      </c>
      <c r="AC441" s="390">
        <v>2267</v>
      </c>
      <c r="AD441" s="390">
        <v>2161</v>
      </c>
      <c r="AE441" s="391">
        <v>1054</v>
      </c>
      <c r="AF441" s="368"/>
      <c r="AG441" s="390"/>
      <c r="AH441" s="389"/>
    </row>
    <row r="442" spans="1:34">
      <c r="A442" s="467" t="s">
        <v>52</v>
      </c>
      <c r="B442" s="460" t="s">
        <v>751</v>
      </c>
      <c r="C442" s="461"/>
      <c r="D442" s="462">
        <v>228787</v>
      </c>
      <c r="E442" s="463">
        <v>1</v>
      </c>
      <c r="F442" s="217">
        <f t="shared" si="31"/>
        <v>333375</v>
      </c>
      <c r="G442" s="216">
        <f t="shared" si="32"/>
        <v>360716</v>
      </c>
      <c r="H442" s="368">
        <v>316207</v>
      </c>
      <c r="I442" s="390">
        <v>339768</v>
      </c>
      <c r="J442" s="368">
        <v>1695</v>
      </c>
      <c r="K442" s="390">
        <v>1695</v>
      </c>
      <c r="L442" s="367">
        <v>15329</v>
      </c>
      <c r="M442" s="367">
        <v>18</v>
      </c>
      <c r="N442" s="367">
        <v>126</v>
      </c>
      <c r="O442" s="390">
        <v>19253</v>
      </c>
      <c r="P442" s="390">
        <v>0</v>
      </c>
      <c r="Q442" s="391">
        <v>0</v>
      </c>
      <c r="R442" s="368"/>
      <c r="S442" s="390"/>
      <c r="T442" s="218">
        <f t="shared" si="33"/>
        <v>140141</v>
      </c>
      <c r="U442" s="219">
        <f t="shared" si="34"/>
        <v>147979</v>
      </c>
      <c r="V442" s="368">
        <v>123193</v>
      </c>
      <c r="W442" s="390">
        <v>130672</v>
      </c>
      <c r="X442" s="368">
        <v>444</v>
      </c>
      <c r="Y442" s="390">
        <v>377</v>
      </c>
      <c r="Z442" s="367">
        <v>16459</v>
      </c>
      <c r="AA442" s="367">
        <v>6</v>
      </c>
      <c r="AB442" s="367">
        <v>39</v>
      </c>
      <c r="AC442" s="390">
        <v>16924</v>
      </c>
      <c r="AD442" s="390">
        <v>6</v>
      </c>
      <c r="AE442" s="391">
        <v>0</v>
      </c>
      <c r="AF442" s="368"/>
      <c r="AG442" s="390"/>
      <c r="AH442" s="389"/>
    </row>
    <row r="443" spans="1:34">
      <c r="A443" s="467" t="s">
        <v>52</v>
      </c>
      <c r="B443" s="460" t="s">
        <v>752</v>
      </c>
      <c r="C443" s="461" t="s">
        <v>530</v>
      </c>
      <c r="D443" s="462">
        <v>229179</v>
      </c>
      <c r="E443" s="463">
        <v>2</v>
      </c>
      <c r="F443" s="217">
        <f t="shared" si="31"/>
        <v>235114</v>
      </c>
      <c r="G443" s="216">
        <f t="shared" si="32"/>
        <v>237848</v>
      </c>
      <c r="H443" s="368">
        <v>168360</v>
      </c>
      <c r="I443" s="390">
        <v>166263</v>
      </c>
      <c r="J443" s="368">
        <v>2044</v>
      </c>
      <c r="K443" s="390">
        <v>2365</v>
      </c>
      <c r="L443" s="367">
        <v>64683</v>
      </c>
      <c r="M443" s="367">
        <v>0</v>
      </c>
      <c r="N443" s="367">
        <v>27</v>
      </c>
      <c r="O443" s="390">
        <v>69124</v>
      </c>
      <c r="P443" s="390">
        <v>0</v>
      </c>
      <c r="Q443" s="391">
        <v>96</v>
      </c>
      <c r="R443" s="368"/>
      <c r="S443" s="390"/>
      <c r="T443" s="218">
        <f t="shared" si="33"/>
        <v>103141</v>
      </c>
      <c r="U443" s="219">
        <f t="shared" si="34"/>
        <v>101142</v>
      </c>
      <c r="V443" s="368">
        <v>49651</v>
      </c>
      <c r="W443" s="390">
        <v>49056</v>
      </c>
      <c r="X443" s="368">
        <v>501</v>
      </c>
      <c r="Y443" s="390">
        <v>447</v>
      </c>
      <c r="Z443" s="367">
        <v>52737</v>
      </c>
      <c r="AA443" s="367">
        <v>252</v>
      </c>
      <c r="AB443" s="367">
        <v>0</v>
      </c>
      <c r="AC443" s="390">
        <v>51289</v>
      </c>
      <c r="AD443" s="390">
        <v>350</v>
      </c>
      <c r="AE443" s="391">
        <v>0</v>
      </c>
      <c r="AF443" s="368"/>
      <c r="AG443" s="390"/>
      <c r="AH443" s="389"/>
    </row>
    <row r="444" spans="1:34">
      <c r="A444" s="467" t="s">
        <v>52</v>
      </c>
      <c r="B444" s="460" t="s">
        <v>753</v>
      </c>
      <c r="C444" s="461" t="s">
        <v>855</v>
      </c>
      <c r="D444" s="462">
        <v>228796</v>
      </c>
      <c r="E444" s="463">
        <v>2</v>
      </c>
      <c r="F444" s="217">
        <f t="shared" si="31"/>
        <v>463147</v>
      </c>
      <c r="G444" s="216">
        <f t="shared" si="32"/>
        <v>471058</v>
      </c>
      <c r="H444" s="368">
        <v>399156</v>
      </c>
      <c r="I444" s="390">
        <v>400654</v>
      </c>
      <c r="J444" s="368">
        <v>655</v>
      </c>
      <c r="K444" s="390">
        <v>1376</v>
      </c>
      <c r="L444" s="367">
        <v>63336</v>
      </c>
      <c r="M444" s="367">
        <v>0</v>
      </c>
      <c r="N444" s="367">
        <v>0</v>
      </c>
      <c r="O444" s="390">
        <v>69028</v>
      </c>
      <c r="P444" s="390">
        <v>0</v>
      </c>
      <c r="Q444" s="391">
        <v>0</v>
      </c>
      <c r="R444" s="368"/>
      <c r="S444" s="390"/>
      <c r="T444" s="218">
        <f t="shared" si="33"/>
        <v>56270</v>
      </c>
      <c r="U444" s="219">
        <f t="shared" si="34"/>
        <v>55275</v>
      </c>
      <c r="V444" s="368">
        <v>39462</v>
      </c>
      <c r="W444" s="390">
        <v>38396</v>
      </c>
      <c r="X444" s="368">
        <v>641</v>
      </c>
      <c r="Y444" s="390">
        <v>346</v>
      </c>
      <c r="Z444" s="367">
        <v>16167</v>
      </c>
      <c r="AA444" s="367">
        <v>0</v>
      </c>
      <c r="AB444" s="367">
        <v>0</v>
      </c>
      <c r="AC444" s="390">
        <v>16533</v>
      </c>
      <c r="AD444" s="390">
        <v>0</v>
      </c>
      <c r="AE444" s="391">
        <v>0</v>
      </c>
      <c r="AF444" s="368"/>
      <c r="AG444" s="390"/>
      <c r="AH444" s="389"/>
    </row>
    <row r="445" spans="1:34">
      <c r="A445" s="467" t="s">
        <v>52</v>
      </c>
      <c r="B445" s="460" t="s">
        <v>754</v>
      </c>
      <c r="C445" s="461" t="s">
        <v>530</v>
      </c>
      <c r="D445" s="462">
        <v>229027</v>
      </c>
      <c r="E445" s="463">
        <v>2</v>
      </c>
      <c r="F445" s="217">
        <f t="shared" si="31"/>
        <v>618429</v>
      </c>
      <c r="G445" s="216">
        <f t="shared" si="32"/>
        <v>602775</v>
      </c>
      <c r="H445" s="368">
        <v>587342</v>
      </c>
      <c r="I445" s="390">
        <v>565865</v>
      </c>
      <c r="J445" s="368">
        <v>1306</v>
      </c>
      <c r="K445" s="390">
        <v>1379</v>
      </c>
      <c r="L445" s="367">
        <v>25952</v>
      </c>
      <c r="M445" s="367">
        <v>3604</v>
      </c>
      <c r="N445" s="367">
        <v>225</v>
      </c>
      <c r="O445" s="390">
        <v>33218</v>
      </c>
      <c r="P445" s="390">
        <v>2118</v>
      </c>
      <c r="Q445" s="391">
        <v>195</v>
      </c>
      <c r="R445" s="368"/>
      <c r="S445" s="390"/>
      <c r="T445" s="218">
        <f t="shared" si="33"/>
        <v>67556</v>
      </c>
      <c r="U445" s="219">
        <f t="shared" si="34"/>
        <v>66009</v>
      </c>
      <c r="V445" s="368">
        <v>61394</v>
      </c>
      <c r="W445" s="390">
        <v>61245</v>
      </c>
      <c r="X445" s="368">
        <v>1989</v>
      </c>
      <c r="Y445" s="390">
        <v>1941</v>
      </c>
      <c r="Z445" s="367">
        <v>4008</v>
      </c>
      <c r="AA445" s="367">
        <v>63</v>
      </c>
      <c r="AB445" s="367">
        <v>102</v>
      </c>
      <c r="AC445" s="390">
        <v>2796</v>
      </c>
      <c r="AD445" s="390">
        <v>27</v>
      </c>
      <c r="AE445" s="391">
        <v>0</v>
      </c>
      <c r="AF445" s="368"/>
      <c r="AG445" s="390"/>
      <c r="AH445" s="389"/>
    </row>
    <row r="446" spans="1:34">
      <c r="A446" s="467" t="s">
        <v>52</v>
      </c>
      <c r="B446" s="460" t="s">
        <v>755</v>
      </c>
      <c r="C446" s="461"/>
      <c r="D446" s="462">
        <v>222831</v>
      </c>
      <c r="E446" s="463">
        <v>3</v>
      </c>
      <c r="F446" s="217">
        <f t="shared" si="31"/>
        <v>148356</v>
      </c>
      <c r="G446" s="216">
        <f t="shared" si="32"/>
        <v>140674</v>
      </c>
      <c r="H446" s="368">
        <v>126346</v>
      </c>
      <c r="I446" s="390">
        <v>120400</v>
      </c>
      <c r="J446" s="368">
        <v>0</v>
      </c>
      <c r="K446" s="390">
        <v>0</v>
      </c>
      <c r="L446" s="367">
        <v>22010</v>
      </c>
      <c r="M446" s="367">
        <v>0</v>
      </c>
      <c r="N446" s="367">
        <v>0</v>
      </c>
      <c r="O446" s="390">
        <v>20274</v>
      </c>
      <c r="P446" s="390">
        <v>0</v>
      </c>
      <c r="Q446" s="391">
        <v>0</v>
      </c>
      <c r="R446" s="368"/>
      <c r="S446" s="390"/>
      <c r="T446" s="218">
        <f t="shared" si="33"/>
        <v>18401</v>
      </c>
      <c r="U446" s="219">
        <f t="shared" si="34"/>
        <v>18824</v>
      </c>
      <c r="V446" s="368">
        <v>5770</v>
      </c>
      <c r="W446" s="390">
        <v>5280</v>
      </c>
      <c r="X446" s="368">
        <v>0</v>
      </c>
      <c r="Y446" s="390">
        <v>0</v>
      </c>
      <c r="Z446" s="367">
        <v>12631</v>
      </c>
      <c r="AA446" s="367">
        <v>0</v>
      </c>
      <c r="AB446" s="367">
        <v>0</v>
      </c>
      <c r="AC446" s="390">
        <v>13544</v>
      </c>
      <c r="AD446" s="390">
        <v>0</v>
      </c>
      <c r="AE446" s="391">
        <v>0</v>
      </c>
      <c r="AF446" s="368"/>
      <c r="AG446" s="390"/>
      <c r="AH446" s="389"/>
    </row>
    <row r="447" spans="1:34">
      <c r="A447" s="467" t="s">
        <v>52</v>
      </c>
      <c r="B447" s="460" t="s">
        <v>756</v>
      </c>
      <c r="C447" s="461"/>
      <c r="D447" s="462">
        <v>226091</v>
      </c>
      <c r="E447" s="463">
        <v>3</v>
      </c>
      <c r="F447" s="217">
        <f t="shared" si="31"/>
        <v>230966</v>
      </c>
      <c r="G447" s="216">
        <f t="shared" si="32"/>
        <v>228064</v>
      </c>
      <c r="H447" s="368">
        <v>170934</v>
      </c>
      <c r="I447" s="390">
        <v>163507</v>
      </c>
      <c r="J447" s="368">
        <v>2138</v>
      </c>
      <c r="K447" s="390">
        <v>1379</v>
      </c>
      <c r="L447" s="367">
        <v>57559</v>
      </c>
      <c r="M447" s="367">
        <v>335</v>
      </c>
      <c r="N447" s="367">
        <v>0</v>
      </c>
      <c r="O447" s="390">
        <v>62632</v>
      </c>
      <c r="P447" s="390">
        <v>408</v>
      </c>
      <c r="Q447" s="391">
        <v>138</v>
      </c>
      <c r="R447" s="368"/>
      <c r="S447" s="390"/>
      <c r="T447" s="218">
        <f t="shared" si="33"/>
        <v>97519</v>
      </c>
      <c r="U447" s="219">
        <f t="shared" si="34"/>
        <v>109621</v>
      </c>
      <c r="V447" s="368">
        <v>20705</v>
      </c>
      <c r="W447" s="390">
        <v>25281</v>
      </c>
      <c r="X447" s="368">
        <v>0</v>
      </c>
      <c r="Y447" s="390">
        <v>12</v>
      </c>
      <c r="Z447" s="367">
        <v>76814</v>
      </c>
      <c r="AA447" s="367">
        <v>0</v>
      </c>
      <c r="AB447" s="367">
        <v>0</v>
      </c>
      <c r="AC447" s="390">
        <v>84280</v>
      </c>
      <c r="AD447" s="390">
        <v>0</v>
      </c>
      <c r="AE447" s="391">
        <v>48</v>
      </c>
      <c r="AF447" s="368"/>
      <c r="AG447" s="390"/>
      <c r="AH447" s="389"/>
    </row>
    <row r="448" spans="1:34">
      <c r="A448" s="467" t="s">
        <v>52</v>
      </c>
      <c r="B448" s="460" t="s">
        <v>757</v>
      </c>
      <c r="C448" s="461"/>
      <c r="D448" s="462">
        <v>226833</v>
      </c>
      <c r="E448" s="463">
        <v>3</v>
      </c>
      <c r="F448" s="217">
        <f t="shared" si="31"/>
        <v>125293</v>
      </c>
      <c r="G448" s="216">
        <f t="shared" si="32"/>
        <v>126273</v>
      </c>
      <c r="H448" s="368">
        <v>106339</v>
      </c>
      <c r="I448" s="390">
        <v>104837</v>
      </c>
      <c r="J448" s="368">
        <v>1364</v>
      </c>
      <c r="K448" s="390">
        <v>1488</v>
      </c>
      <c r="L448" s="367">
        <v>17590</v>
      </c>
      <c r="M448" s="367">
        <v>0</v>
      </c>
      <c r="N448" s="367">
        <v>0</v>
      </c>
      <c r="O448" s="390">
        <v>19942</v>
      </c>
      <c r="P448" s="390">
        <v>6</v>
      </c>
      <c r="Q448" s="391">
        <v>0</v>
      </c>
      <c r="R448" s="368"/>
      <c r="S448" s="390"/>
      <c r="T448" s="218">
        <f t="shared" si="33"/>
        <v>7978</v>
      </c>
      <c r="U448" s="219">
        <f t="shared" si="34"/>
        <v>9130</v>
      </c>
      <c r="V448" s="368">
        <v>3996</v>
      </c>
      <c r="W448" s="390">
        <v>4407</v>
      </c>
      <c r="X448" s="368">
        <v>81</v>
      </c>
      <c r="Y448" s="390">
        <v>27</v>
      </c>
      <c r="Z448" s="367">
        <v>3901</v>
      </c>
      <c r="AA448" s="367">
        <v>0</v>
      </c>
      <c r="AB448" s="367">
        <v>0</v>
      </c>
      <c r="AC448" s="390">
        <v>4696</v>
      </c>
      <c r="AD448" s="390">
        <v>0</v>
      </c>
      <c r="AE448" s="391">
        <v>0</v>
      </c>
      <c r="AF448" s="368"/>
      <c r="AG448" s="390"/>
      <c r="AH448" s="389"/>
    </row>
    <row r="449" spans="1:34">
      <c r="A449" s="467" t="s">
        <v>52</v>
      </c>
      <c r="B449" s="460" t="s">
        <v>758</v>
      </c>
      <c r="C449" s="461"/>
      <c r="D449" s="462">
        <v>227526</v>
      </c>
      <c r="E449" s="463">
        <v>3</v>
      </c>
      <c r="F449" s="217">
        <f t="shared" si="31"/>
        <v>185310</v>
      </c>
      <c r="G449" s="216">
        <f t="shared" si="32"/>
        <v>188203</v>
      </c>
      <c r="H449" s="368">
        <v>168915</v>
      </c>
      <c r="I449" s="390">
        <v>169978</v>
      </c>
      <c r="J449" s="368">
        <v>11822</v>
      </c>
      <c r="K449" s="390">
        <v>11553</v>
      </c>
      <c r="L449" s="367">
        <v>4360</v>
      </c>
      <c r="M449" s="367">
        <v>210</v>
      </c>
      <c r="N449" s="367">
        <v>3</v>
      </c>
      <c r="O449" s="390">
        <v>6402</v>
      </c>
      <c r="P449" s="390">
        <v>270</v>
      </c>
      <c r="Q449" s="391">
        <v>0</v>
      </c>
      <c r="R449" s="368"/>
      <c r="S449" s="390"/>
      <c r="T449" s="218">
        <f t="shared" si="33"/>
        <v>25910</v>
      </c>
      <c r="U449" s="219">
        <f t="shared" si="34"/>
        <v>24505</v>
      </c>
      <c r="V449" s="368">
        <v>9195</v>
      </c>
      <c r="W449" s="390">
        <v>8879</v>
      </c>
      <c r="X449" s="368">
        <v>7298</v>
      </c>
      <c r="Y449" s="390">
        <v>6350</v>
      </c>
      <c r="Z449" s="367">
        <v>9369</v>
      </c>
      <c r="AA449" s="367">
        <v>48</v>
      </c>
      <c r="AB449" s="367">
        <v>0</v>
      </c>
      <c r="AC449" s="390">
        <v>9177</v>
      </c>
      <c r="AD449" s="390">
        <v>99</v>
      </c>
      <c r="AE449" s="391">
        <v>0</v>
      </c>
      <c r="AF449" s="368"/>
      <c r="AG449" s="390"/>
      <c r="AH449" s="389"/>
    </row>
    <row r="450" spans="1:34">
      <c r="A450" s="467" t="s">
        <v>52</v>
      </c>
      <c r="B450" s="460" t="s">
        <v>759</v>
      </c>
      <c r="C450" s="461"/>
      <c r="D450" s="462">
        <v>227881</v>
      </c>
      <c r="E450" s="463">
        <v>3</v>
      </c>
      <c r="F450" s="217">
        <f t="shared" si="31"/>
        <v>421648</v>
      </c>
      <c r="G450" s="216">
        <f t="shared" si="32"/>
        <v>435878</v>
      </c>
      <c r="H450" s="368">
        <v>355699</v>
      </c>
      <c r="I450" s="390">
        <v>385596</v>
      </c>
      <c r="J450" s="368">
        <v>6448</v>
      </c>
      <c r="K450" s="390">
        <v>3462</v>
      </c>
      <c r="L450" s="367">
        <v>59435</v>
      </c>
      <c r="M450" s="367">
        <v>66</v>
      </c>
      <c r="N450" s="367">
        <v>0</v>
      </c>
      <c r="O450" s="390">
        <v>46805</v>
      </c>
      <c r="P450" s="390">
        <v>15</v>
      </c>
      <c r="Q450" s="391">
        <v>0</v>
      </c>
      <c r="R450" s="368"/>
      <c r="S450" s="390"/>
      <c r="T450" s="218">
        <f t="shared" si="33"/>
        <v>47083</v>
      </c>
      <c r="U450" s="219">
        <f t="shared" si="34"/>
        <v>43895</v>
      </c>
      <c r="V450" s="368">
        <v>20615</v>
      </c>
      <c r="W450" s="390">
        <v>28312</v>
      </c>
      <c r="X450" s="368">
        <v>399</v>
      </c>
      <c r="Y450" s="390">
        <v>147</v>
      </c>
      <c r="Z450" s="367">
        <v>25898</v>
      </c>
      <c r="AA450" s="367">
        <v>156</v>
      </c>
      <c r="AB450" s="367">
        <v>15</v>
      </c>
      <c r="AC450" s="390">
        <v>15316</v>
      </c>
      <c r="AD450" s="390">
        <v>120</v>
      </c>
      <c r="AE450" s="391">
        <v>0</v>
      </c>
      <c r="AF450" s="368"/>
      <c r="AG450" s="390"/>
      <c r="AH450" s="389"/>
    </row>
    <row r="451" spans="1:34">
      <c r="A451" s="467" t="s">
        <v>52</v>
      </c>
      <c r="B451" s="460" t="s">
        <v>760</v>
      </c>
      <c r="C451" s="461"/>
      <c r="D451" s="462">
        <v>228431</v>
      </c>
      <c r="E451" s="463">
        <v>3</v>
      </c>
      <c r="F451" s="217">
        <f t="shared" si="31"/>
        <v>291786</v>
      </c>
      <c r="G451" s="216">
        <f t="shared" si="32"/>
        <v>290849</v>
      </c>
      <c r="H451" s="368">
        <v>245190</v>
      </c>
      <c r="I451" s="390">
        <v>240601</v>
      </c>
      <c r="J451" s="368">
        <v>1873</v>
      </c>
      <c r="K451" s="390">
        <v>1523</v>
      </c>
      <c r="L451" s="367">
        <v>40639</v>
      </c>
      <c r="M451" s="367">
        <v>116</v>
      </c>
      <c r="N451" s="367">
        <v>3968</v>
      </c>
      <c r="O451" s="390">
        <v>48613</v>
      </c>
      <c r="P451" s="390">
        <v>112</v>
      </c>
      <c r="Q451" s="391">
        <v>0</v>
      </c>
      <c r="R451" s="368"/>
      <c r="S451" s="390"/>
      <c r="T451" s="218">
        <f t="shared" si="33"/>
        <v>27999</v>
      </c>
      <c r="U451" s="219">
        <f t="shared" si="34"/>
        <v>28760</v>
      </c>
      <c r="V451" s="368">
        <v>14706</v>
      </c>
      <c r="W451" s="390">
        <v>14227</v>
      </c>
      <c r="X451" s="368">
        <v>180</v>
      </c>
      <c r="Y451" s="390">
        <v>126</v>
      </c>
      <c r="Z451" s="367">
        <v>12167</v>
      </c>
      <c r="AA451" s="367">
        <v>150</v>
      </c>
      <c r="AB451" s="367">
        <v>796</v>
      </c>
      <c r="AC451" s="390">
        <v>14092</v>
      </c>
      <c r="AD451" s="390">
        <v>189</v>
      </c>
      <c r="AE451" s="391">
        <v>126</v>
      </c>
      <c r="AF451" s="368"/>
      <c r="AG451" s="390"/>
      <c r="AH451" s="389"/>
    </row>
    <row r="452" spans="1:34">
      <c r="A452" s="467" t="s">
        <v>52</v>
      </c>
      <c r="B452" s="460" t="s">
        <v>761</v>
      </c>
      <c r="C452" s="461"/>
      <c r="D452" s="615">
        <v>228501</v>
      </c>
      <c r="E452" s="528">
        <v>3</v>
      </c>
      <c r="F452" s="217">
        <f t="shared" si="31"/>
        <v>32738</v>
      </c>
      <c r="G452" s="216">
        <f t="shared" si="32"/>
        <v>32749</v>
      </c>
      <c r="H452" s="368">
        <v>27660</v>
      </c>
      <c r="I452" s="390">
        <v>28329</v>
      </c>
      <c r="J452" s="368">
        <v>79</v>
      </c>
      <c r="K452" s="390">
        <v>115</v>
      </c>
      <c r="L452" s="367">
        <v>4241</v>
      </c>
      <c r="M452" s="367">
        <v>758</v>
      </c>
      <c r="N452" s="367">
        <v>0</v>
      </c>
      <c r="O452" s="390">
        <v>3690</v>
      </c>
      <c r="P452" s="390">
        <v>525</v>
      </c>
      <c r="Q452" s="391">
        <v>90</v>
      </c>
      <c r="R452" s="368"/>
      <c r="S452" s="390"/>
      <c r="T452" s="218">
        <f t="shared" si="33"/>
        <v>9168</v>
      </c>
      <c r="U452" s="219">
        <f t="shared" si="34"/>
        <v>9254</v>
      </c>
      <c r="V452" s="368">
        <v>2541</v>
      </c>
      <c r="W452" s="390">
        <v>2262</v>
      </c>
      <c r="X452" s="368">
        <v>183</v>
      </c>
      <c r="Y452" s="390">
        <v>228</v>
      </c>
      <c r="Z452" s="367">
        <v>6411</v>
      </c>
      <c r="AA452" s="367">
        <v>27</v>
      </c>
      <c r="AB452" s="367">
        <v>6</v>
      </c>
      <c r="AC452" s="390">
        <v>6731</v>
      </c>
      <c r="AD452" s="390">
        <v>33</v>
      </c>
      <c r="AE452" s="391">
        <v>0</v>
      </c>
      <c r="AF452" s="368"/>
      <c r="AG452" s="390"/>
      <c r="AH452" s="389"/>
    </row>
    <row r="453" spans="1:34">
      <c r="A453" s="467" t="s">
        <v>52</v>
      </c>
      <c r="B453" s="460" t="s">
        <v>762</v>
      </c>
      <c r="C453" s="461"/>
      <c r="D453" s="615">
        <v>228529</v>
      </c>
      <c r="E453" s="528">
        <v>3</v>
      </c>
      <c r="F453" s="217">
        <f t="shared" si="31"/>
        <v>242287</v>
      </c>
      <c r="G453" s="216">
        <f t="shared" si="32"/>
        <v>256499</v>
      </c>
      <c r="H453" s="368">
        <v>180513</v>
      </c>
      <c r="I453" s="390">
        <v>192208</v>
      </c>
      <c r="J453" s="368">
        <v>23435</v>
      </c>
      <c r="K453" s="390">
        <v>23225</v>
      </c>
      <c r="L453" s="367">
        <v>37450</v>
      </c>
      <c r="M453" s="367">
        <v>889</v>
      </c>
      <c r="N453" s="367">
        <v>0</v>
      </c>
      <c r="O453" s="390">
        <v>39990</v>
      </c>
      <c r="P453" s="390">
        <v>1076</v>
      </c>
      <c r="Q453" s="391">
        <v>0</v>
      </c>
      <c r="R453" s="368"/>
      <c r="S453" s="390"/>
      <c r="T453" s="218">
        <f t="shared" si="33"/>
        <v>21482</v>
      </c>
      <c r="U453" s="219">
        <f t="shared" si="34"/>
        <v>23307</v>
      </c>
      <c r="V453" s="368">
        <v>5120</v>
      </c>
      <c r="W453" s="390">
        <v>5032</v>
      </c>
      <c r="X453" s="368">
        <v>6003</v>
      </c>
      <c r="Y453" s="390">
        <v>6204</v>
      </c>
      <c r="Z453" s="367">
        <v>10359</v>
      </c>
      <c r="AA453" s="367">
        <v>0</v>
      </c>
      <c r="AB453" s="367">
        <v>0</v>
      </c>
      <c r="AC453" s="390">
        <v>12071</v>
      </c>
      <c r="AD453" s="390">
        <v>0</v>
      </c>
      <c r="AE453" s="391">
        <v>0</v>
      </c>
      <c r="AF453" s="368"/>
      <c r="AG453" s="390"/>
      <c r="AH453" s="389"/>
    </row>
    <row r="454" spans="1:34">
      <c r="A454" s="467" t="s">
        <v>52</v>
      </c>
      <c r="B454" s="460" t="s">
        <v>763</v>
      </c>
      <c r="C454" s="461"/>
      <c r="D454" s="615">
        <v>226152</v>
      </c>
      <c r="E454" s="528">
        <v>3</v>
      </c>
      <c r="F454" s="217">
        <f t="shared" si="31"/>
        <v>141623</v>
      </c>
      <c r="G454" s="216">
        <f t="shared" si="32"/>
        <v>147658</v>
      </c>
      <c r="H454" s="368">
        <v>128273</v>
      </c>
      <c r="I454" s="390">
        <v>129586</v>
      </c>
      <c r="J454" s="368">
        <v>4030</v>
      </c>
      <c r="K454" s="390">
        <v>4991</v>
      </c>
      <c r="L454" s="367">
        <v>8825</v>
      </c>
      <c r="M454" s="367">
        <v>495</v>
      </c>
      <c r="N454" s="367">
        <v>0</v>
      </c>
      <c r="O454" s="390">
        <v>12763</v>
      </c>
      <c r="P454" s="390">
        <v>318</v>
      </c>
      <c r="Q454" s="391">
        <v>0</v>
      </c>
      <c r="R454" s="368"/>
      <c r="S454" s="390"/>
      <c r="T454" s="218">
        <f t="shared" si="33"/>
        <v>11273</v>
      </c>
      <c r="U454" s="219">
        <f t="shared" si="34"/>
        <v>12382</v>
      </c>
      <c r="V454" s="368">
        <v>7823</v>
      </c>
      <c r="W454" s="390">
        <v>7332</v>
      </c>
      <c r="X454" s="368">
        <v>33</v>
      </c>
      <c r="Y454" s="390">
        <v>30</v>
      </c>
      <c r="Z454" s="367">
        <v>3408</v>
      </c>
      <c r="AA454" s="367">
        <v>9</v>
      </c>
      <c r="AB454" s="367">
        <v>0</v>
      </c>
      <c r="AC454" s="390">
        <v>5014</v>
      </c>
      <c r="AD454" s="390">
        <v>6</v>
      </c>
      <c r="AE454" s="391">
        <v>0</v>
      </c>
      <c r="AF454" s="368"/>
      <c r="AG454" s="390"/>
      <c r="AH454" s="389"/>
    </row>
    <row r="455" spans="1:34">
      <c r="A455" s="467" t="s">
        <v>52</v>
      </c>
      <c r="B455" s="460" t="s">
        <v>764</v>
      </c>
      <c r="C455" s="461"/>
      <c r="D455" s="615">
        <v>224554</v>
      </c>
      <c r="E455" s="528">
        <v>3</v>
      </c>
      <c r="F455" s="217">
        <f t="shared" si="31"/>
        <v>165669</v>
      </c>
      <c r="G455" s="216">
        <f t="shared" si="32"/>
        <v>168510</v>
      </c>
      <c r="H455" s="368">
        <v>106346</v>
      </c>
      <c r="I455" s="390">
        <v>106207</v>
      </c>
      <c r="J455" s="368">
        <v>13816</v>
      </c>
      <c r="K455" s="390">
        <v>12305</v>
      </c>
      <c r="L455" s="367">
        <v>45261</v>
      </c>
      <c r="M455" s="367">
        <v>246</v>
      </c>
      <c r="N455" s="367">
        <v>0</v>
      </c>
      <c r="O455" s="390">
        <v>49136</v>
      </c>
      <c r="P455" s="390">
        <v>366</v>
      </c>
      <c r="Q455" s="391">
        <v>496</v>
      </c>
      <c r="R455" s="368"/>
      <c r="S455" s="390"/>
      <c r="T455" s="218">
        <f t="shared" si="33"/>
        <v>79447</v>
      </c>
      <c r="U455" s="219">
        <f t="shared" si="34"/>
        <v>73958</v>
      </c>
      <c r="V455" s="368">
        <v>13333</v>
      </c>
      <c r="W455" s="390">
        <v>14030</v>
      </c>
      <c r="X455" s="368">
        <v>10138</v>
      </c>
      <c r="Y455" s="390">
        <v>8640</v>
      </c>
      <c r="Z455" s="367">
        <v>55733</v>
      </c>
      <c r="AA455" s="367">
        <v>243</v>
      </c>
      <c r="AB455" s="367">
        <v>0</v>
      </c>
      <c r="AC455" s="390">
        <v>50976</v>
      </c>
      <c r="AD455" s="390">
        <v>312</v>
      </c>
      <c r="AE455" s="391">
        <v>0</v>
      </c>
      <c r="AF455" s="368"/>
      <c r="AG455" s="390"/>
      <c r="AH455" s="389"/>
    </row>
    <row r="456" spans="1:34">
      <c r="A456" s="467" t="s">
        <v>52</v>
      </c>
      <c r="B456" s="460" t="s">
        <v>765</v>
      </c>
      <c r="C456" s="461"/>
      <c r="D456" s="615">
        <v>224147</v>
      </c>
      <c r="E456" s="528">
        <v>3</v>
      </c>
      <c r="F456" s="217">
        <f t="shared" ref="F456:F519" si="35">SUM(H456,J456,L456,M456,N456,R456)</f>
        <v>233731</v>
      </c>
      <c r="G456" s="216">
        <f t="shared" ref="G456:G519" si="36">SUM(I456,K456,O456,P456,Q456,S456)</f>
        <v>234285</v>
      </c>
      <c r="H456" s="368">
        <v>227601</v>
      </c>
      <c r="I456" s="390">
        <v>233523</v>
      </c>
      <c r="J456" s="368">
        <v>0</v>
      </c>
      <c r="K456" s="390">
        <v>0</v>
      </c>
      <c r="L456" s="367">
        <v>6130</v>
      </c>
      <c r="M456" s="367">
        <v>0</v>
      </c>
      <c r="N456" s="367">
        <v>0</v>
      </c>
      <c r="O456" s="390">
        <v>717</v>
      </c>
      <c r="P456" s="390">
        <v>0</v>
      </c>
      <c r="Q456" s="391">
        <v>45</v>
      </c>
      <c r="R456" s="368"/>
      <c r="S456" s="390"/>
      <c r="T456" s="218">
        <f t="shared" ref="T456:T519" si="37">SUM(V456,X456,Z456,AA456,AB456,AF456)</f>
        <v>27680</v>
      </c>
      <c r="U456" s="219">
        <f t="shared" ref="U456:U519" si="38">SUM(W456,Y456,AC456,AD456,AE456,AG456)</f>
        <v>29912</v>
      </c>
      <c r="V456" s="368">
        <v>23794</v>
      </c>
      <c r="W456" s="390">
        <v>28634</v>
      </c>
      <c r="X456" s="368">
        <v>0</v>
      </c>
      <c r="Y456" s="390">
        <v>0</v>
      </c>
      <c r="Z456" s="367">
        <v>3886</v>
      </c>
      <c r="AA456" s="367">
        <v>0</v>
      </c>
      <c r="AB456" s="367">
        <v>0</v>
      </c>
      <c r="AC456" s="390">
        <v>1278</v>
      </c>
      <c r="AD456" s="390">
        <v>0</v>
      </c>
      <c r="AE456" s="391">
        <v>0</v>
      </c>
      <c r="AF456" s="368"/>
      <c r="AG456" s="390"/>
      <c r="AH456" s="389"/>
    </row>
    <row r="457" spans="1:34">
      <c r="A457" s="467" t="s">
        <v>52</v>
      </c>
      <c r="B457" s="460" t="s">
        <v>766</v>
      </c>
      <c r="C457" s="461"/>
      <c r="D457" s="615">
        <v>228705</v>
      </c>
      <c r="E457" s="528">
        <v>3</v>
      </c>
      <c r="F457" s="217">
        <f t="shared" si="35"/>
        <v>154289</v>
      </c>
      <c r="G457" s="216">
        <f t="shared" si="36"/>
        <v>155784</v>
      </c>
      <c r="H457" s="368">
        <v>140099</v>
      </c>
      <c r="I457" s="390">
        <v>142829</v>
      </c>
      <c r="J457" s="368">
        <v>4521</v>
      </c>
      <c r="K457" s="390">
        <v>3744</v>
      </c>
      <c r="L457" s="367">
        <v>9281</v>
      </c>
      <c r="M457" s="367">
        <v>388</v>
      </c>
      <c r="N457" s="367">
        <v>0</v>
      </c>
      <c r="O457" s="390">
        <v>8863</v>
      </c>
      <c r="P457" s="390">
        <v>348</v>
      </c>
      <c r="Q457" s="391">
        <v>0</v>
      </c>
      <c r="R457" s="368"/>
      <c r="S457" s="390"/>
      <c r="T457" s="218">
        <f t="shared" si="37"/>
        <v>28385</v>
      </c>
      <c r="U457" s="219">
        <f t="shared" si="38"/>
        <v>44371</v>
      </c>
      <c r="V457" s="368">
        <v>21014</v>
      </c>
      <c r="W457" s="390">
        <v>36716</v>
      </c>
      <c r="X457" s="368">
        <v>27</v>
      </c>
      <c r="Y457" s="390">
        <v>108</v>
      </c>
      <c r="Z457" s="367">
        <v>7203</v>
      </c>
      <c r="AA457" s="367">
        <v>141</v>
      </c>
      <c r="AB457" s="367">
        <v>0</v>
      </c>
      <c r="AC457" s="390">
        <v>7358</v>
      </c>
      <c r="AD457" s="390">
        <v>189</v>
      </c>
      <c r="AE457" s="391">
        <v>0</v>
      </c>
      <c r="AF457" s="368"/>
      <c r="AG457" s="390"/>
      <c r="AH457" s="389"/>
    </row>
    <row r="458" spans="1:34">
      <c r="A458" s="467" t="s">
        <v>52</v>
      </c>
      <c r="B458" s="460" t="s">
        <v>767</v>
      </c>
      <c r="C458" s="461"/>
      <c r="D458" s="615">
        <v>229063</v>
      </c>
      <c r="E458" s="528">
        <v>3</v>
      </c>
      <c r="F458" s="217">
        <f t="shared" si="35"/>
        <v>167298</v>
      </c>
      <c r="G458" s="216">
        <f t="shared" si="36"/>
        <v>174897</v>
      </c>
      <c r="H458" s="368">
        <v>161518</v>
      </c>
      <c r="I458" s="390">
        <v>167310</v>
      </c>
      <c r="J458" s="368">
        <v>0</v>
      </c>
      <c r="K458" s="390">
        <v>0</v>
      </c>
      <c r="L458" s="367">
        <v>0</v>
      </c>
      <c r="M458" s="367">
        <v>0</v>
      </c>
      <c r="N458" s="367">
        <v>5780</v>
      </c>
      <c r="O458" s="390">
        <v>0</v>
      </c>
      <c r="P458" s="390">
        <v>0</v>
      </c>
      <c r="Q458" s="391">
        <v>7587</v>
      </c>
      <c r="R458" s="368"/>
      <c r="S458" s="390"/>
      <c r="T458" s="218">
        <f t="shared" si="37"/>
        <v>53384</v>
      </c>
      <c r="U458" s="219">
        <f t="shared" si="38"/>
        <v>51972</v>
      </c>
      <c r="V458" s="368">
        <v>46055</v>
      </c>
      <c r="W458" s="390">
        <v>44910</v>
      </c>
      <c r="X458" s="368">
        <v>234</v>
      </c>
      <c r="Y458" s="390">
        <v>0</v>
      </c>
      <c r="Z458" s="367">
        <v>0</v>
      </c>
      <c r="AA458" s="367">
        <v>0</v>
      </c>
      <c r="AB458" s="367">
        <v>7095</v>
      </c>
      <c r="AC458" s="390">
        <v>0</v>
      </c>
      <c r="AD458" s="390">
        <v>0</v>
      </c>
      <c r="AE458" s="391">
        <v>7062</v>
      </c>
      <c r="AF458" s="368"/>
      <c r="AG458" s="390"/>
      <c r="AH458" s="389"/>
    </row>
    <row r="459" spans="1:34">
      <c r="A459" s="467" t="s">
        <v>52</v>
      </c>
      <c r="B459" s="628" t="s">
        <v>856</v>
      </c>
      <c r="C459" s="461" t="s">
        <v>285</v>
      </c>
      <c r="D459" s="615">
        <v>228459</v>
      </c>
      <c r="E459" s="528">
        <v>3</v>
      </c>
      <c r="F459" s="217">
        <f t="shared" si="35"/>
        <v>792090</v>
      </c>
      <c r="G459" s="216">
        <f t="shared" si="36"/>
        <v>814640</v>
      </c>
      <c r="H459" s="368">
        <v>740719</v>
      </c>
      <c r="I459" s="390">
        <v>754462</v>
      </c>
      <c r="J459" s="368">
        <v>27437</v>
      </c>
      <c r="K459" s="390">
        <v>29516</v>
      </c>
      <c r="L459" s="367">
        <v>23388</v>
      </c>
      <c r="M459" s="367">
        <v>282</v>
      </c>
      <c r="N459" s="367">
        <v>264</v>
      </c>
      <c r="O459" s="390">
        <v>30269</v>
      </c>
      <c r="P459" s="390">
        <v>288</v>
      </c>
      <c r="Q459" s="391">
        <v>105</v>
      </c>
      <c r="R459" s="368"/>
      <c r="S459" s="390"/>
      <c r="T459" s="218">
        <f t="shared" si="37"/>
        <v>74237</v>
      </c>
      <c r="U459" s="219">
        <f t="shared" si="38"/>
        <v>75107</v>
      </c>
      <c r="V459" s="368">
        <v>57819</v>
      </c>
      <c r="W459" s="390">
        <v>58061</v>
      </c>
      <c r="X459" s="368">
        <v>8677</v>
      </c>
      <c r="Y459" s="390">
        <v>8314</v>
      </c>
      <c r="Z459" s="367">
        <v>6970</v>
      </c>
      <c r="AA459" s="367">
        <v>771</v>
      </c>
      <c r="AB459" s="367">
        <v>0</v>
      </c>
      <c r="AC459" s="390">
        <v>7871</v>
      </c>
      <c r="AD459" s="390">
        <v>711</v>
      </c>
      <c r="AE459" s="391">
        <v>150</v>
      </c>
      <c r="AF459" s="368"/>
      <c r="AG459" s="390"/>
      <c r="AH459" s="389"/>
    </row>
    <row r="460" spans="1:34">
      <c r="A460" s="467" t="s">
        <v>52</v>
      </c>
      <c r="B460" s="460" t="s">
        <v>768</v>
      </c>
      <c r="C460" s="461"/>
      <c r="D460" s="615">
        <v>225414</v>
      </c>
      <c r="E460" s="528">
        <v>3</v>
      </c>
      <c r="F460" s="217">
        <f t="shared" si="35"/>
        <v>103596</v>
      </c>
      <c r="G460" s="216">
        <f t="shared" si="36"/>
        <v>107419</v>
      </c>
      <c r="H460" s="368">
        <v>71213</v>
      </c>
      <c r="I460" s="390">
        <v>73690</v>
      </c>
      <c r="J460" s="368">
        <v>8775</v>
      </c>
      <c r="K460" s="390">
        <v>8099</v>
      </c>
      <c r="L460" s="367">
        <v>23608</v>
      </c>
      <c r="M460" s="367">
        <v>0</v>
      </c>
      <c r="N460" s="367">
        <v>0</v>
      </c>
      <c r="O460" s="390">
        <v>25630</v>
      </c>
      <c r="P460" s="390">
        <v>0</v>
      </c>
      <c r="Q460" s="391">
        <v>0</v>
      </c>
      <c r="R460" s="368"/>
      <c r="S460" s="390"/>
      <c r="T460" s="218">
        <f t="shared" si="37"/>
        <v>53546</v>
      </c>
      <c r="U460" s="219">
        <f t="shared" si="38"/>
        <v>57183</v>
      </c>
      <c r="V460" s="368">
        <v>32270</v>
      </c>
      <c r="W460" s="390">
        <v>36041</v>
      </c>
      <c r="X460" s="368">
        <v>5554</v>
      </c>
      <c r="Y460" s="390">
        <v>4771</v>
      </c>
      <c r="Z460" s="367">
        <v>15722</v>
      </c>
      <c r="AA460" s="367">
        <v>0</v>
      </c>
      <c r="AB460" s="367">
        <v>0</v>
      </c>
      <c r="AC460" s="390">
        <v>16371</v>
      </c>
      <c r="AD460" s="390">
        <v>0</v>
      </c>
      <c r="AE460" s="391">
        <v>0</v>
      </c>
      <c r="AF460" s="368"/>
      <c r="AG460" s="390"/>
      <c r="AH460" s="389"/>
    </row>
    <row r="461" spans="1:34">
      <c r="A461" s="467" t="s">
        <v>52</v>
      </c>
      <c r="B461" s="460" t="s">
        <v>769</v>
      </c>
      <c r="C461" s="461"/>
      <c r="D461" s="615">
        <v>227377</v>
      </c>
      <c r="E461" s="528">
        <v>3</v>
      </c>
      <c r="F461" s="217">
        <f t="shared" si="35"/>
        <v>173221</v>
      </c>
      <c r="G461" s="216">
        <f t="shared" si="36"/>
        <v>165944</v>
      </c>
      <c r="H461" s="368">
        <v>141825</v>
      </c>
      <c r="I461" s="390">
        <v>133339</v>
      </c>
      <c r="J461" s="368">
        <v>0</v>
      </c>
      <c r="K461" s="390">
        <v>0</v>
      </c>
      <c r="L461" s="367">
        <v>31396</v>
      </c>
      <c r="M461" s="367">
        <v>0</v>
      </c>
      <c r="N461" s="367">
        <v>0</v>
      </c>
      <c r="O461" s="390">
        <v>32530</v>
      </c>
      <c r="P461" s="390">
        <v>75</v>
      </c>
      <c r="Q461" s="391">
        <v>0</v>
      </c>
      <c r="R461" s="368"/>
      <c r="S461" s="390"/>
      <c r="T461" s="218">
        <f t="shared" si="37"/>
        <v>14519</v>
      </c>
      <c r="U461" s="219">
        <f t="shared" si="38"/>
        <v>13929</v>
      </c>
      <c r="V461" s="368">
        <v>8453</v>
      </c>
      <c r="W461" s="390">
        <v>7760</v>
      </c>
      <c r="X461" s="368">
        <v>0</v>
      </c>
      <c r="Y461" s="390">
        <v>0</v>
      </c>
      <c r="Z461" s="367">
        <v>6066</v>
      </c>
      <c r="AA461" s="367">
        <v>0</v>
      </c>
      <c r="AB461" s="367">
        <v>0</v>
      </c>
      <c r="AC461" s="390">
        <v>6112</v>
      </c>
      <c r="AD461" s="390">
        <v>57</v>
      </c>
      <c r="AE461" s="391">
        <v>0</v>
      </c>
      <c r="AF461" s="368"/>
      <c r="AG461" s="390"/>
      <c r="AH461" s="389"/>
    </row>
    <row r="462" spans="1:34">
      <c r="A462" s="467" t="s">
        <v>52</v>
      </c>
      <c r="B462" s="460" t="s">
        <v>770</v>
      </c>
      <c r="C462" s="461"/>
      <c r="D462" s="615">
        <v>228802</v>
      </c>
      <c r="E462" s="528">
        <v>3</v>
      </c>
      <c r="F462" s="217">
        <f t="shared" si="35"/>
        <v>135326</v>
      </c>
      <c r="G462" s="216">
        <f t="shared" si="36"/>
        <v>137209</v>
      </c>
      <c r="H462" s="368">
        <v>102177</v>
      </c>
      <c r="I462" s="390">
        <v>93603</v>
      </c>
      <c r="J462" s="368">
        <v>5102</v>
      </c>
      <c r="K462" s="390">
        <v>8819</v>
      </c>
      <c r="L462" s="367">
        <v>25317</v>
      </c>
      <c r="M462" s="367">
        <v>2730</v>
      </c>
      <c r="N462" s="367">
        <v>0</v>
      </c>
      <c r="O462" s="390">
        <v>34472</v>
      </c>
      <c r="P462" s="390">
        <v>315</v>
      </c>
      <c r="Q462" s="391">
        <v>0</v>
      </c>
      <c r="R462" s="368"/>
      <c r="S462" s="390"/>
      <c r="T462" s="218">
        <f t="shared" si="37"/>
        <v>29142</v>
      </c>
      <c r="U462" s="219">
        <f t="shared" si="38"/>
        <v>34818</v>
      </c>
      <c r="V462" s="368">
        <v>7849</v>
      </c>
      <c r="W462" s="390">
        <v>8187</v>
      </c>
      <c r="X462" s="368">
        <v>87</v>
      </c>
      <c r="Y462" s="390">
        <v>339</v>
      </c>
      <c r="Z462" s="367">
        <v>21164</v>
      </c>
      <c r="AA462" s="367">
        <v>42</v>
      </c>
      <c r="AB462" s="367">
        <v>0</v>
      </c>
      <c r="AC462" s="390">
        <v>26271</v>
      </c>
      <c r="AD462" s="390">
        <v>21</v>
      </c>
      <c r="AE462" s="391">
        <v>0</v>
      </c>
      <c r="AF462" s="368"/>
      <c r="AG462" s="390"/>
      <c r="AH462" s="389"/>
    </row>
    <row r="463" spans="1:34">
      <c r="A463" s="467" t="s">
        <v>52</v>
      </c>
      <c r="B463" s="460" t="s">
        <v>771</v>
      </c>
      <c r="C463" s="616"/>
      <c r="D463" s="615">
        <v>229018</v>
      </c>
      <c r="E463" s="528">
        <v>3</v>
      </c>
      <c r="F463" s="217">
        <f t="shared" si="35"/>
        <v>85984</v>
      </c>
      <c r="G463" s="216">
        <f t="shared" si="36"/>
        <v>100339</v>
      </c>
      <c r="H463" s="368">
        <v>48501</v>
      </c>
      <c r="I463" s="390">
        <v>54094</v>
      </c>
      <c r="J463" s="368">
        <v>57</v>
      </c>
      <c r="K463" s="390">
        <v>57</v>
      </c>
      <c r="L463" s="367">
        <v>37426</v>
      </c>
      <c r="M463" s="367">
        <v>0</v>
      </c>
      <c r="N463" s="367">
        <v>0</v>
      </c>
      <c r="O463" s="390">
        <v>46155</v>
      </c>
      <c r="P463" s="390">
        <v>12</v>
      </c>
      <c r="Q463" s="391">
        <v>21</v>
      </c>
      <c r="R463" s="368"/>
      <c r="S463" s="390"/>
      <c r="T463" s="218">
        <f t="shared" si="37"/>
        <v>9959</v>
      </c>
      <c r="U463" s="219">
        <f t="shared" si="38"/>
        <v>10661</v>
      </c>
      <c r="V463" s="368">
        <v>3792</v>
      </c>
      <c r="W463" s="390">
        <v>3756</v>
      </c>
      <c r="X463" s="368">
        <v>0</v>
      </c>
      <c r="Y463" s="390">
        <v>0</v>
      </c>
      <c r="Z463" s="367">
        <v>6167</v>
      </c>
      <c r="AA463" s="367">
        <v>0</v>
      </c>
      <c r="AB463" s="367">
        <v>0</v>
      </c>
      <c r="AC463" s="390">
        <v>6905</v>
      </c>
      <c r="AD463" s="390">
        <v>0</v>
      </c>
      <c r="AE463" s="391">
        <v>0</v>
      </c>
      <c r="AF463" s="368"/>
      <c r="AG463" s="390"/>
      <c r="AH463" s="389"/>
    </row>
    <row r="464" spans="1:34">
      <c r="A464" s="467" t="s">
        <v>52</v>
      </c>
      <c r="B464" s="460" t="s">
        <v>772</v>
      </c>
      <c r="C464" s="461"/>
      <c r="D464" s="615">
        <v>227368</v>
      </c>
      <c r="E464" s="528">
        <v>3</v>
      </c>
      <c r="F464" s="217">
        <f t="shared" si="35"/>
        <v>442553</v>
      </c>
      <c r="G464" s="216">
        <f t="shared" si="36"/>
        <v>458273</v>
      </c>
      <c r="H464" s="368">
        <v>384207</v>
      </c>
      <c r="I464" s="390">
        <v>393935</v>
      </c>
      <c r="J464" s="368">
        <v>1640</v>
      </c>
      <c r="K464" s="390">
        <v>1531</v>
      </c>
      <c r="L464" s="367">
        <v>56568</v>
      </c>
      <c r="M464" s="367">
        <v>138</v>
      </c>
      <c r="N464" s="367">
        <v>0</v>
      </c>
      <c r="O464" s="390">
        <v>62525</v>
      </c>
      <c r="P464" s="390">
        <v>282</v>
      </c>
      <c r="Q464" s="391">
        <v>0</v>
      </c>
      <c r="R464" s="368"/>
      <c r="S464" s="390"/>
      <c r="T464" s="218">
        <f t="shared" si="37"/>
        <v>41857</v>
      </c>
      <c r="U464" s="219">
        <f t="shared" si="38"/>
        <v>48172</v>
      </c>
      <c r="V464" s="368">
        <v>26198</v>
      </c>
      <c r="W464" s="390">
        <v>26547</v>
      </c>
      <c r="X464" s="368">
        <v>3204</v>
      </c>
      <c r="Y464" s="390">
        <v>4026</v>
      </c>
      <c r="Z464" s="367">
        <v>12380</v>
      </c>
      <c r="AA464" s="367">
        <v>75</v>
      </c>
      <c r="AB464" s="367">
        <v>0</v>
      </c>
      <c r="AC464" s="390">
        <v>17431</v>
      </c>
      <c r="AD464" s="390">
        <v>168</v>
      </c>
      <c r="AE464" s="391">
        <v>0</v>
      </c>
      <c r="AF464" s="368"/>
      <c r="AG464" s="390"/>
      <c r="AH464" s="389"/>
    </row>
    <row r="465" spans="1:34">
      <c r="A465" s="467" t="s">
        <v>52</v>
      </c>
      <c r="B465" s="460" t="s">
        <v>773</v>
      </c>
      <c r="C465" s="461"/>
      <c r="D465" s="615">
        <v>229814</v>
      </c>
      <c r="E465" s="528">
        <v>3</v>
      </c>
      <c r="F465" s="217">
        <f t="shared" si="35"/>
        <v>180061</v>
      </c>
      <c r="G465" s="216">
        <f t="shared" si="36"/>
        <v>185421</v>
      </c>
      <c r="H465" s="368">
        <v>143366</v>
      </c>
      <c r="I465" s="390">
        <v>144943</v>
      </c>
      <c r="J465" s="368">
        <v>0</v>
      </c>
      <c r="K465" s="390">
        <v>249</v>
      </c>
      <c r="L465" s="367">
        <v>36695</v>
      </c>
      <c r="M465" s="367">
        <v>0</v>
      </c>
      <c r="N465" s="367">
        <v>0</v>
      </c>
      <c r="O465" s="390">
        <v>40229</v>
      </c>
      <c r="P465" s="390">
        <v>0</v>
      </c>
      <c r="Q465" s="391">
        <v>0</v>
      </c>
      <c r="R465" s="368"/>
      <c r="S465" s="390"/>
      <c r="T465" s="218">
        <f t="shared" si="37"/>
        <v>22154</v>
      </c>
      <c r="U465" s="219">
        <f t="shared" si="38"/>
        <v>26928</v>
      </c>
      <c r="V465" s="368">
        <v>9640</v>
      </c>
      <c r="W465" s="390">
        <v>10047</v>
      </c>
      <c r="X465" s="368">
        <v>0</v>
      </c>
      <c r="Y465" s="390">
        <v>0</v>
      </c>
      <c r="Z465" s="367">
        <v>12514</v>
      </c>
      <c r="AA465" s="367">
        <v>0</v>
      </c>
      <c r="AB465" s="367">
        <v>0</v>
      </c>
      <c r="AC465" s="390">
        <v>16881</v>
      </c>
      <c r="AD465" s="390">
        <v>0</v>
      </c>
      <c r="AE465" s="391">
        <v>0</v>
      </c>
      <c r="AF465" s="368"/>
      <c r="AG465" s="390"/>
      <c r="AH465" s="389"/>
    </row>
    <row r="466" spans="1:34">
      <c r="A466" s="467" t="s">
        <v>52</v>
      </c>
      <c r="B466" s="460" t="s">
        <v>774</v>
      </c>
      <c r="C466" s="461" t="s">
        <v>531</v>
      </c>
      <c r="D466" s="625">
        <v>483036</v>
      </c>
      <c r="E466" s="463">
        <v>4</v>
      </c>
      <c r="F466" s="217">
        <f t="shared" si="35"/>
        <v>32262</v>
      </c>
      <c r="G466" s="216">
        <f t="shared" si="36"/>
        <v>32674</v>
      </c>
      <c r="H466" s="368">
        <v>21265</v>
      </c>
      <c r="I466" s="390">
        <v>21159</v>
      </c>
      <c r="J466" s="368">
        <v>2640</v>
      </c>
      <c r="K466" s="390">
        <v>1971</v>
      </c>
      <c r="L466" s="367">
        <v>8291</v>
      </c>
      <c r="M466" s="367">
        <v>66</v>
      </c>
      <c r="N466" s="367">
        <v>0</v>
      </c>
      <c r="O466" s="390">
        <v>9409</v>
      </c>
      <c r="P466" s="390">
        <v>135</v>
      </c>
      <c r="Q466" s="391">
        <v>0</v>
      </c>
      <c r="R466" s="368"/>
      <c r="S466" s="390"/>
      <c r="T466" s="218">
        <f t="shared" si="37"/>
        <v>6260</v>
      </c>
      <c r="U466" s="219">
        <f t="shared" si="38"/>
        <v>6348</v>
      </c>
      <c r="V466" s="368">
        <v>2102</v>
      </c>
      <c r="W466" s="390">
        <v>1905</v>
      </c>
      <c r="X466" s="368">
        <v>459</v>
      </c>
      <c r="Y466" s="390">
        <v>552</v>
      </c>
      <c r="Z466" s="367">
        <v>3699</v>
      </c>
      <c r="AA466" s="367">
        <v>0</v>
      </c>
      <c r="AB466" s="367">
        <v>0</v>
      </c>
      <c r="AC466" s="390">
        <v>3891</v>
      </c>
      <c r="AD466" s="390">
        <v>0</v>
      </c>
      <c r="AE466" s="391">
        <v>0</v>
      </c>
      <c r="AF466" s="368"/>
      <c r="AG466" s="390"/>
      <c r="AH466" s="389"/>
    </row>
    <row r="467" spans="1:34">
      <c r="A467" s="467" t="s">
        <v>52</v>
      </c>
      <c r="B467" s="460" t="s">
        <v>775</v>
      </c>
      <c r="C467" s="461" t="s">
        <v>531</v>
      </c>
      <c r="D467" s="615">
        <v>224545</v>
      </c>
      <c r="E467" s="528">
        <v>4</v>
      </c>
      <c r="F467" s="217">
        <f t="shared" si="35"/>
        <v>36664</v>
      </c>
      <c r="G467" s="216">
        <f t="shared" si="36"/>
        <v>36680</v>
      </c>
      <c r="H467" s="368">
        <v>15533</v>
      </c>
      <c r="I467" s="390">
        <v>20448</v>
      </c>
      <c r="J467" s="368">
        <v>5667</v>
      </c>
      <c r="K467" s="390">
        <v>4725</v>
      </c>
      <c r="L467" s="367">
        <v>15350</v>
      </c>
      <c r="M467" s="367">
        <v>114</v>
      </c>
      <c r="N467" s="367">
        <v>0</v>
      </c>
      <c r="O467" s="390">
        <v>11507</v>
      </c>
      <c r="P467" s="390">
        <v>0</v>
      </c>
      <c r="Q467" s="391">
        <v>0</v>
      </c>
      <c r="R467" s="368"/>
      <c r="S467" s="390"/>
      <c r="T467" s="218">
        <f t="shared" si="37"/>
        <v>11676</v>
      </c>
      <c r="U467" s="219">
        <f t="shared" si="38"/>
        <v>9839</v>
      </c>
      <c r="V467" s="368">
        <v>6435</v>
      </c>
      <c r="W467" s="390">
        <v>5861</v>
      </c>
      <c r="X467" s="368">
        <v>306</v>
      </c>
      <c r="Y467" s="390">
        <v>243</v>
      </c>
      <c r="Z467" s="367">
        <v>4935</v>
      </c>
      <c r="AA467" s="367">
        <v>0</v>
      </c>
      <c r="AB467" s="367">
        <v>0</v>
      </c>
      <c r="AC467" s="390">
        <v>3735</v>
      </c>
      <c r="AD467" s="390">
        <v>0</v>
      </c>
      <c r="AE467" s="391">
        <v>0</v>
      </c>
      <c r="AF467" s="368"/>
      <c r="AG467" s="390"/>
      <c r="AH467" s="389"/>
    </row>
    <row r="468" spans="1:34">
      <c r="A468" s="467" t="s">
        <v>52</v>
      </c>
      <c r="B468" s="460" t="s">
        <v>777</v>
      </c>
      <c r="C468" s="461" t="s">
        <v>531</v>
      </c>
      <c r="D468" s="615">
        <v>225502</v>
      </c>
      <c r="E468" s="528">
        <v>4</v>
      </c>
      <c r="F468" s="217">
        <f t="shared" si="35"/>
        <v>63072</v>
      </c>
      <c r="G468" s="216">
        <f t="shared" si="36"/>
        <v>66531</v>
      </c>
      <c r="H468" s="368">
        <v>15636</v>
      </c>
      <c r="I468" s="390">
        <v>18642</v>
      </c>
      <c r="J468" s="368">
        <v>7930</v>
      </c>
      <c r="K468" s="390">
        <v>6679</v>
      </c>
      <c r="L468" s="367">
        <v>34577</v>
      </c>
      <c r="M468" s="367">
        <v>4929</v>
      </c>
      <c r="N468" s="367">
        <v>0</v>
      </c>
      <c r="O468" s="390">
        <v>38430</v>
      </c>
      <c r="P468" s="390">
        <v>2780</v>
      </c>
      <c r="Q468" s="391">
        <v>0</v>
      </c>
      <c r="R468" s="368"/>
      <c r="S468" s="390"/>
      <c r="T468" s="218">
        <f t="shared" si="37"/>
        <v>23508</v>
      </c>
      <c r="U468" s="219">
        <f t="shared" si="38"/>
        <v>21846</v>
      </c>
      <c r="V468" s="368">
        <v>441</v>
      </c>
      <c r="W468" s="390">
        <v>336</v>
      </c>
      <c r="X468" s="368">
        <v>3612</v>
      </c>
      <c r="Y468" s="390">
        <v>3381</v>
      </c>
      <c r="Z468" s="367">
        <v>18324</v>
      </c>
      <c r="AA468" s="367">
        <v>1131</v>
      </c>
      <c r="AB468" s="367">
        <v>0</v>
      </c>
      <c r="AC468" s="390">
        <v>17175</v>
      </c>
      <c r="AD468" s="390">
        <v>954</v>
      </c>
      <c r="AE468" s="391">
        <v>0</v>
      </c>
      <c r="AF468" s="368"/>
      <c r="AG468" s="390"/>
      <c r="AH468" s="389"/>
    </row>
    <row r="469" spans="1:34">
      <c r="A469" s="467" t="s">
        <v>52</v>
      </c>
      <c r="B469" s="460" t="s">
        <v>778</v>
      </c>
      <c r="C469" s="461"/>
      <c r="D469" s="615" t="s">
        <v>779</v>
      </c>
      <c r="E469" s="528">
        <v>5</v>
      </c>
      <c r="F469" s="217">
        <f t="shared" si="35"/>
        <v>13690</v>
      </c>
      <c r="G469" s="216">
        <f t="shared" si="36"/>
        <v>12359</v>
      </c>
      <c r="H469" s="368">
        <v>4600</v>
      </c>
      <c r="I469" s="390">
        <v>3753</v>
      </c>
      <c r="J469" s="368">
        <v>0</v>
      </c>
      <c r="K469" s="390">
        <v>0</v>
      </c>
      <c r="L469" s="367">
        <v>5160</v>
      </c>
      <c r="M469" s="367">
        <v>3930</v>
      </c>
      <c r="N469" s="367">
        <v>0</v>
      </c>
      <c r="O469" s="390">
        <v>4793</v>
      </c>
      <c r="P469" s="390">
        <v>3813</v>
      </c>
      <c r="Q469" s="391">
        <v>0</v>
      </c>
      <c r="R469" s="368"/>
      <c r="S469" s="390"/>
      <c r="T469" s="218">
        <f t="shared" si="37"/>
        <v>2829</v>
      </c>
      <c r="U469" s="219">
        <f t="shared" si="38"/>
        <v>2361</v>
      </c>
      <c r="V469" s="368">
        <v>1569</v>
      </c>
      <c r="W469" s="390">
        <v>1233</v>
      </c>
      <c r="X469" s="368">
        <v>0</v>
      </c>
      <c r="Y469" s="390">
        <v>0</v>
      </c>
      <c r="Z469" s="367">
        <v>1026</v>
      </c>
      <c r="AA469" s="367">
        <v>234</v>
      </c>
      <c r="AB469" s="367">
        <v>0</v>
      </c>
      <c r="AC469" s="390">
        <v>975</v>
      </c>
      <c r="AD469" s="390">
        <v>153</v>
      </c>
      <c r="AE469" s="391">
        <v>0</v>
      </c>
      <c r="AF469" s="368"/>
      <c r="AG469" s="390"/>
      <c r="AH469" s="389"/>
    </row>
    <row r="470" spans="1:34">
      <c r="A470" s="467" t="s">
        <v>52</v>
      </c>
      <c r="B470" s="460" t="s">
        <v>780</v>
      </c>
      <c r="C470" s="616"/>
      <c r="D470" s="462">
        <v>870501</v>
      </c>
      <c r="E470" s="463">
        <v>5</v>
      </c>
      <c r="F470" s="217">
        <f t="shared" si="35"/>
        <v>66544</v>
      </c>
      <c r="G470" s="216">
        <f t="shared" si="36"/>
        <v>69607</v>
      </c>
      <c r="H470" s="368">
        <v>34004</v>
      </c>
      <c r="I470" s="390">
        <v>41818</v>
      </c>
      <c r="J470" s="368">
        <v>3195</v>
      </c>
      <c r="K470" s="390">
        <v>3303</v>
      </c>
      <c r="L470" s="367">
        <v>29345</v>
      </c>
      <c r="M470" s="367">
        <v>0</v>
      </c>
      <c r="N470" s="367">
        <v>0</v>
      </c>
      <c r="O470" s="390">
        <v>24486</v>
      </c>
      <c r="P470" s="390">
        <v>0</v>
      </c>
      <c r="Q470" s="391">
        <v>0</v>
      </c>
      <c r="R470" s="368"/>
      <c r="S470" s="390"/>
      <c r="T470" s="218">
        <f t="shared" si="37"/>
        <v>18773</v>
      </c>
      <c r="U470" s="219">
        <f t="shared" si="38"/>
        <v>17194</v>
      </c>
      <c r="V470" s="368">
        <v>5544</v>
      </c>
      <c r="W470" s="390">
        <v>7552</v>
      </c>
      <c r="X470" s="368">
        <v>537</v>
      </c>
      <c r="Y470" s="390">
        <v>411</v>
      </c>
      <c r="Z470" s="367">
        <v>12515</v>
      </c>
      <c r="AA470" s="367">
        <v>0</v>
      </c>
      <c r="AB470" s="367">
        <v>177</v>
      </c>
      <c r="AC470" s="390">
        <v>9231</v>
      </c>
      <c r="AD470" s="390">
        <v>0</v>
      </c>
      <c r="AE470" s="391">
        <v>0</v>
      </c>
      <c r="AF470" s="368"/>
      <c r="AG470" s="390"/>
      <c r="AH470" s="389"/>
    </row>
    <row r="471" spans="1:34">
      <c r="A471" s="467" t="s">
        <v>52</v>
      </c>
      <c r="B471" s="460" t="s">
        <v>781</v>
      </c>
      <c r="C471" s="461"/>
      <c r="D471" s="615">
        <v>225432</v>
      </c>
      <c r="E471" s="528">
        <v>5</v>
      </c>
      <c r="F471" s="217">
        <f t="shared" si="35"/>
        <v>272269</v>
      </c>
      <c r="G471" s="216">
        <f t="shared" si="36"/>
        <v>281037</v>
      </c>
      <c r="H471" s="368">
        <v>173088</v>
      </c>
      <c r="I471" s="390">
        <v>166386</v>
      </c>
      <c r="J471" s="368">
        <v>9423</v>
      </c>
      <c r="K471" s="390">
        <v>7544</v>
      </c>
      <c r="L471" s="367">
        <v>89740</v>
      </c>
      <c r="M471" s="367">
        <v>18</v>
      </c>
      <c r="N471" s="367">
        <v>0</v>
      </c>
      <c r="O471" s="390">
        <v>107062</v>
      </c>
      <c r="P471" s="390">
        <v>45</v>
      </c>
      <c r="Q471" s="391">
        <v>0</v>
      </c>
      <c r="R471" s="368"/>
      <c r="S471" s="390"/>
      <c r="T471" s="218">
        <f t="shared" si="37"/>
        <v>3678</v>
      </c>
      <c r="U471" s="219">
        <f t="shared" si="38"/>
        <v>5818</v>
      </c>
      <c r="V471" s="368">
        <v>756</v>
      </c>
      <c r="W471" s="390">
        <v>741</v>
      </c>
      <c r="X471" s="368">
        <v>366</v>
      </c>
      <c r="Y471" s="390">
        <v>330</v>
      </c>
      <c r="Z471" s="367">
        <v>2556</v>
      </c>
      <c r="AA471" s="367">
        <v>0</v>
      </c>
      <c r="AB471" s="367">
        <v>0</v>
      </c>
      <c r="AC471" s="390">
        <v>4747</v>
      </c>
      <c r="AD471" s="390">
        <v>0</v>
      </c>
      <c r="AE471" s="391">
        <v>0</v>
      </c>
      <c r="AF471" s="368"/>
      <c r="AG471" s="390"/>
      <c r="AH471" s="389"/>
    </row>
    <row r="472" spans="1:34">
      <c r="A472" s="467" t="s">
        <v>52</v>
      </c>
      <c r="B472" s="460" t="s">
        <v>782</v>
      </c>
      <c r="C472" s="461" t="s">
        <v>463</v>
      </c>
      <c r="D472" s="615">
        <v>228714</v>
      </c>
      <c r="E472" s="528">
        <v>6</v>
      </c>
      <c r="F472" s="217">
        <f t="shared" si="35"/>
        <v>55815</v>
      </c>
      <c r="G472" s="216">
        <f t="shared" si="36"/>
        <v>60520</v>
      </c>
      <c r="H472" s="368">
        <v>55603</v>
      </c>
      <c r="I472" s="390">
        <v>59739</v>
      </c>
      <c r="J472" s="368">
        <v>40</v>
      </c>
      <c r="K472" s="390">
        <v>118</v>
      </c>
      <c r="L472" s="367">
        <v>152</v>
      </c>
      <c r="M472" s="367">
        <v>0</v>
      </c>
      <c r="N472" s="367">
        <v>20</v>
      </c>
      <c r="O472" s="390">
        <v>635</v>
      </c>
      <c r="P472" s="390">
        <v>0</v>
      </c>
      <c r="Q472" s="391">
        <v>28</v>
      </c>
      <c r="R472" s="368"/>
      <c r="S472" s="390"/>
      <c r="T472" s="218">
        <f t="shared" si="37"/>
        <v>1850</v>
      </c>
      <c r="U472" s="219">
        <f t="shared" si="38"/>
        <v>2086</v>
      </c>
      <c r="V472" s="368">
        <v>1564</v>
      </c>
      <c r="W472" s="390">
        <v>1686</v>
      </c>
      <c r="X472" s="368">
        <v>6</v>
      </c>
      <c r="Y472" s="390">
        <v>13</v>
      </c>
      <c r="Z472" s="367">
        <v>280</v>
      </c>
      <c r="AA472" s="367">
        <v>0</v>
      </c>
      <c r="AB472" s="367">
        <v>0</v>
      </c>
      <c r="AC472" s="390">
        <v>384</v>
      </c>
      <c r="AD472" s="390">
        <v>3</v>
      </c>
      <c r="AE472" s="391">
        <v>0</v>
      </c>
      <c r="AF472" s="368"/>
      <c r="AG472" s="390"/>
      <c r="AH472" s="389"/>
    </row>
    <row r="473" spans="1:34">
      <c r="A473" s="467" t="s">
        <v>52</v>
      </c>
      <c r="B473" s="618" t="s">
        <v>783</v>
      </c>
      <c r="C473" s="619"/>
      <c r="D473" s="462">
        <v>223506</v>
      </c>
      <c r="E473" s="463">
        <v>7</v>
      </c>
      <c r="F473" s="217">
        <f t="shared" si="35"/>
        <v>76644</v>
      </c>
      <c r="G473" s="216">
        <f t="shared" si="36"/>
        <v>74948</v>
      </c>
      <c r="H473" s="368">
        <v>56002</v>
      </c>
      <c r="I473" s="390">
        <v>54016</v>
      </c>
      <c r="J473" s="368">
        <v>4935</v>
      </c>
      <c r="K473" s="390">
        <v>4664</v>
      </c>
      <c r="L473" s="367">
        <v>15707</v>
      </c>
      <c r="M473" s="367">
        <v>0</v>
      </c>
      <c r="N473" s="367">
        <v>0</v>
      </c>
      <c r="O473" s="390">
        <v>16268</v>
      </c>
      <c r="P473" s="390">
        <v>0</v>
      </c>
      <c r="Q473" s="391">
        <v>0</v>
      </c>
      <c r="R473" s="368"/>
      <c r="S473" s="390"/>
      <c r="T473" s="218">
        <f t="shared" si="37"/>
        <v>0</v>
      </c>
      <c r="U473" s="219">
        <f t="shared" si="38"/>
        <v>0</v>
      </c>
      <c r="V473" s="368"/>
      <c r="W473" s="390">
        <v>0</v>
      </c>
      <c r="X473" s="368"/>
      <c r="Y473" s="390">
        <v>0</v>
      </c>
      <c r="Z473" s="367"/>
      <c r="AA473" s="367"/>
      <c r="AB473" s="367"/>
      <c r="AC473" s="390">
        <v>0</v>
      </c>
      <c r="AD473" s="390">
        <v>0</v>
      </c>
      <c r="AE473" s="391">
        <v>0</v>
      </c>
      <c r="AF473" s="368"/>
      <c r="AG473" s="390"/>
      <c r="AH473" s="389"/>
    </row>
    <row r="474" spans="1:34">
      <c r="A474" s="467" t="s">
        <v>52</v>
      </c>
      <c r="B474" s="618" t="s">
        <v>784</v>
      </c>
      <c r="C474" s="619"/>
      <c r="D474" s="462">
        <v>226806</v>
      </c>
      <c r="E474" s="463">
        <v>7</v>
      </c>
      <c r="F474" s="217">
        <f t="shared" si="35"/>
        <v>110546</v>
      </c>
      <c r="G474" s="216">
        <f t="shared" si="36"/>
        <v>102071</v>
      </c>
      <c r="H474" s="368">
        <v>65606</v>
      </c>
      <c r="I474" s="390">
        <v>59944</v>
      </c>
      <c r="J474" s="368">
        <v>1435</v>
      </c>
      <c r="K474" s="390">
        <v>1722</v>
      </c>
      <c r="L474" s="367">
        <v>42629</v>
      </c>
      <c r="M474" s="367">
        <v>876</v>
      </c>
      <c r="N474" s="367">
        <v>0</v>
      </c>
      <c r="O474" s="390">
        <v>39613</v>
      </c>
      <c r="P474" s="390">
        <v>792</v>
      </c>
      <c r="Q474" s="391">
        <v>0</v>
      </c>
      <c r="R474" s="368"/>
      <c r="S474" s="390"/>
      <c r="T474" s="218">
        <f t="shared" si="37"/>
        <v>0</v>
      </c>
      <c r="U474" s="219">
        <f t="shared" si="38"/>
        <v>0</v>
      </c>
      <c r="V474" s="368"/>
      <c r="W474" s="390">
        <v>0</v>
      </c>
      <c r="X474" s="368"/>
      <c r="Y474" s="390">
        <v>0</v>
      </c>
      <c r="Z474" s="367"/>
      <c r="AA474" s="367"/>
      <c r="AB474" s="367"/>
      <c r="AC474" s="390">
        <v>0</v>
      </c>
      <c r="AD474" s="390">
        <v>0</v>
      </c>
      <c r="AE474" s="391">
        <v>0</v>
      </c>
      <c r="AF474" s="368"/>
      <c r="AG474" s="390"/>
      <c r="AH474" s="389"/>
    </row>
    <row r="475" spans="1:34">
      <c r="A475" s="467" t="s">
        <v>52</v>
      </c>
      <c r="B475" s="618" t="s">
        <v>785</v>
      </c>
      <c r="C475" s="619"/>
      <c r="D475" s="620">
        <v>409315</v>
      </c>
      <c r="E475" s="621">
        <v>7</v>
      </c>
      <c r="F475" s="217">
        <f t="shared" si="35"/>
        <v>568762</v>
      </c>
      <c r="G475" s="216">
        <f t="shared" si="36"/>
        <v>576236</v>
      </c>
      <c r="H475" s="368">
        <v>471164</v>
      </c>
      <c r="I475" s="390">
        <v>477904</v>
      </c>
      <c r="J475" s="368">
        <v>0</v>
      </c>
      <c r="K475" s="390">
        <v>0</v>
      </c>
      <c r="L475" s="367">
        <v>97598</v>
      </c>
      <c r="M475" s="367">
        <v>0</v>
      </c>
      <c r="N475" s="367">
        <v>0</v>
      </c>
      <c r="O475" s="390">
        <v>98124</v>
      </c>
      <c r="P475" s="390">
        <v>0</v>
      </c>
      <c r="Q475" s="391">
        <v>208</v>
      </c>
      <c r="R475" s="368"/>
      <c r="S475" s="390"/>
      <c r="T475" s="218">
        <f t="shared" si="37"/>
        <v>0</v>
      </c>
      <c r="U475" s="219">
        <f t="shared" si="38"/>
        <v>0</v>
      </c>
      <c r="V475" s="368"/>
      <c r="W475" s="390">
        <v>0</v>
      </c>
      <c r="X475" s="368"/>
      <c r="Y475" s="390">
        <v>0</v>
      </c>
      <c r="Z475" s="367"/>
      <c r="AA475" s="367"/>
      <c r="AB475" s="367"/>
      <c r="AC475" s="390">
        <v>0</v>
      </c>
      <c r="AD475" s="390">
        <v>0</v>
      </c>
      <c r="AE475" s="391">
        <v>0</v>
      </c>
      <c r="AF475" s="368"/>
      <c r="AG475" s="390"/>
      <c r="AH475" s="389"/>
    </row>
    <row r="476" spans="1:34">
      <c r="A476" s="467" t="s">
        <v>52</v>
      </c>
      <c r="B476" s="460" t="s">
        <v>786</v>
      </c>
      <c r="C476" s="622"/>
      <c r="D476" s="462">
        <v>222576</v>
      </c>
      <c r="E476" s="463">
        <v>8</v>
      </c>
      <c r="F476" s="217">
        <f t="shared" si="35"/>
        <v>189392</v>
      </c>
      <c r="G476" s="216">
        <f t="shared" si="36"/>
        <v>176153</v>
      </c>
      <c r="H476" s="368">
        <v>115986</v>
      </c>
      <c r="I476" s="390">
        <v>105934</v>
      </c>
      <c r="J476" s="368">
        <v>14978</v>
      </c>
      <c r="K476" s="390">
        <v>12843</v>
      </c>
      <c r="L476" s="367">
        <v>57231</v>
      </c>
      <c r="M476" s="367">
        <v>45</v>
      </c>
      <c r="N476" s="367">
        <v>1152</v>
      </c>
      <c r="O476" s="390">
        <v>57156</v>
      </c>
      <c r="P476" s="390">
        <v>0</v>
      </c>
      <c r="Q476" s="391">
        <v>220</v>
      </c>
      <c r="R476" s="368"/>
      <c r="S476" s="390"/>
      <c r="T476" s="218">
        <f t="shared" si="37"/>
        <v>0</v>
      </c>
      <c r="U476" s="219">
        <f t="shared" si="38"/>
        <v>0</v>
      </c>
      <c r="V476" s="368"/>
      <c r="W476" s="390">
        <v>0</v>
      </c>
      <c r="X476" s="368"/>
      <c r="Y476" s="390">
        <v>0</v>
      </c>
      <c r="Z476" s="367"/>
      <c r="AA476" s="367"/>
      <c r="AB476" s="367"/>
      <c r="AC476" s="390">
        <v>0</v>
      </c>
      <c r="AD476" s="390">
        <v>0</v>
      </c>
      <c r="AE476" s="391">
        <v>0</v>
      </c>
      <c r="AF476" s="368"/>
      <c r="AG476" s="390"/>
      <c r="AH476" s="389"/>
    </row>
    <row r="477" spans="1:34">
      <c r="A477" s="467" t="s">
        <v>52</v>
      </c>
      <c r="B477" s="460" t="s">
        <v>787</v>
      </c>
      <c r="C477" s="622"/>
      <c r="D477" s="462">
        <v>222992</v>
      </c>
      <c r="E477" s="463">
        <v>8</v>
      </c>
      <c r="F477" s="217">
        <f t="shared" si="35"/>
        <v>749593</v>
      </c>
      <c r="G477" s="216">
        <f t="shared" si="36"/>
        <v>727775</v>
      </c>
      <c r="H477" s="368">
        <v>578944</v>
      </c>
      <c r="I477" s="390">
        <v>559172</v>
      </c>
      <c r="J477" s="368">
        <v>49972</v>
      </c>
      <c r="K477" s="390">
        <v>48717</v>
      </c>
      <c r="L477" s="367">
        <v>120677</v>
      </c>
      <c r="M477" s="367">
        <v>0</v>
      </c>
      <c r="N477" s="367">
        <v>0</v>
      </c>
      <c r="O477" s="390">
        <v>119886</v>
      </c>
      <c r="P477" s="390">
        <v>0</v>
      </c>
      <c r="Q477" s="391">
        <v>0</v>
      </c>
      <c r="R477" s="368"/>
      <c r="S477" s="390"/>
      <c r="T477" s="218">
        <f t="shared" si="37"/>
        <v>0</v>
      </c>
      <c r="U477" s="219">
        <f t="shared" si="38"/>
        <v>0</v>
      </c>
      <c r="V477" s="368"/>
      <c r="W477" s="390">
        <v>0</v>
      </c>
      <c r="X477" s="368"/>
      <c r="Y477" s="390">
        <v>0</v>
      </c>
      <c r="Z477" s="367"/>
      <c r="AA477" s="367"/>
      <c r="AB477" s="367"/>
      <c r="AC477" s="390">
        <v>0</v>
      </c>
      <c r="AD477" s="390">
        <v>0</v>
      </c>
      <c r="AE477" s="391">
        <v>0</v>
      </c>
      <c r="AF477" s="368"/>
      <c r="AG477" s="390"/>
      <c r="AH477" s="389"/>
    </row>
    <row r="478" spans="1:34">
      <c r="A478" s="467" t="s">
        <v>52</v>
      </c>
      <c r="B478" s="460" t="s">
        <v>788</v>
      </c>
      <c r="C478" s="622"/>
      <c r="D478" s="462">
        <v>223427</v>
      </c>
      <c r="E478" s="463">
        <v>8</v>
      </c>
      <c r="F478" s="217">
        <f t="shared" si="35"/>
        <v>400957</v>
      </c>
      <c r="G478" s="216">
        <f t="shared" si="36"/>
        <v>415038</v>
      </c>
      <c r="H478" s="368">
        <v>54118</v>
      </c>
      <c r="I478" s="390">
        <v>54671</v>
      </c>
      <c r="J478" s="368">
        <v>271948</v>
      </c>
      <c r="K478" s="390">
        <v>273421</v>
      </c>
      <c r="L478" s="367">
        <v>74297</v>
      </c>
      <c r="M478" s="367">
        <v>594</v>
      </c>
      <c r="N478" s="367">
        <v>0</v>
      </c>
      <c r="O478" s="390">
        <v>86853</v>
      </c>
      <c r="P478" s="390">
        <v>93</v>
      </c>
      <c r="Q478" s="391">
        <v>0</v>
      </c>
      <c r="R478" s="368"/>
      <c r="S478" s="390"/>
      <c r="T478" s="218">
        <f t="shared" si="37"/>
        <v>0</v>
      </c>
      <c r="U478" s="219">
        <f t="shared" si="38"/>
        <v>0</v>
      </c>
      <c r="V478" s="368"/>
      <c r="W478" s="390">
        <v>0</v>
      </c>
      <c r="X478" s="368"/>
      <c r="Y478" s="390">
        <v>0</v>
      </c>
      <c r="Z478" s="367"/>
      <c r="AA478" s="367"/>
      <c r="AB478" s="367"/>
      <c r="AC478" s="390">
        <v>0</v>
      </c>
      <c r="AD478" s="390">
        <v>0</v>
      </c>
      <c r="AE478" s="391">
        <v>0</v>
      </c>
      <c r="AF478" s="368"/>
      <c r="AG478" s="390"/>
      <c r="AH478" s="389"/>
    </row>
    <row r="479" spans="1:34">
      <c r="A479" s="467" t="s">
        <v>52</v>
      </c>
      <c r="B479" s="460" t="s">
        <v>789</v>
      </c>
      <c r="C479" s="622"/>
      <c r="D479" s="462">
        <v>223524</v>
      </c>
      <c r="E479" s="463">
        <v>8</v>
      </c>
      <c r="F479" s="217">
        <f t="shared" si="35"/>
        <v>192223</v>
      </c>
      <c r="G479" s="216">
        <f t="shared" si="36"/>
        <v>185163</v>
      </c>
      <c r="H479" s="368">
        <v>132139</v>
      </c>
      <c r="I479" s="390">
        <v>125618</v>
      </c>
      <c r="J479" s="368">
        <v>344</v>
      </c>
      <c r="K479" s="390">
        <v>1062</v>
      </c>
      <c r="L479" s="367">
        <v>59671</v>
      </c>
      <c r="M479" s="367">
        <v>0</v>
      </c>
      <c r="N479" s="367">
        <v>69</v>
      </c>
      <c r="O479" s="390">
        <v>58402</v>
      </c>
      <c r="P479" s="390">
        <v>0</v>
      </c>
      <c r="Q479" s="391">
        <v>81</v>
      </c>
      <c r="R479" s="368"/>
      <c r="S479" s="390"/>
      <c r="T479" s="218">
        <f t="shared" si="37"/>
        <v>0</v>
      </c>
      <c r="U479" s="219">
        <f t="shared" si="38"/>
        <v>0</v>
      </c>
      <c r="V479" s="368"/>
      <c r="W479" s="390">
        <v>0</v>
      </c>
      <c r="X479" s="368"/>
      <c r="Y479" s="390">
        <v>0</v>
      </c>
      <c r="Z479" s="367"/>
      <c r="AA479" s="367"/>
      <c r="AB479" s="367"/>
      <c r="AC479" s="390">
        <v>0</v>
      </c>
      <c r="AD479" s="390">
        <v>0</v>
      </c>
      <c r="AE479" s="391">
        <v>0</v>
      </c>
      <c r="AF479" s="368"/>
      <c r="AG479" s="390"/>
      <c r="AH479" s="389"/>
    </row>
    <row r="480" spans="1:34">
      <c r="A480" s="467" t="s">
        <v>52</v>
      </c>
      <c r="B480" s="460" t="s">
        <v>790</v>
      </c>
      <c r="C480" s="622"/>
      <c r="D480" s="462">
        <v>223816</v>
      </c>
      <c r="E480" s="463">
        <v>8</v>
      </c>
      <c r="F480" s="217">
        <f t="shared" si="35"/>
        <v>297076</v>
      </c>
      <c r="G480" s="216">
        <f t="shared" si="36"/>
        <v>273024</v>
      </c>
      <c r="H480" s="368">
        <v>98833</v>
      </c>
      <c r="I480" s="390">
        <v>97837</v>
      </c>
      <c r="J480" s="368">
        <v>55174</v>
      </c>
      <c r="K480" s="390">
        <v>41652</v>
      </c>
      <c r="L480" s="367">
        <v>133553</v>
      </c>
      <c r="M480" s="367">
        <v>894</v>
      </c>
      <c r="N480" s="367">
        <v>8622</v>
      </c>
      <c r="O480" s="390">
        <v>121352</v>
      </c>
      <c r="P480" s="390">
        <v>780</v>
      </c>
      <c r="Q480" s="391">
        <v>11403</v>
      </c>
      <c r="R480" s="368"/>
      <c r="S480" s="390"/>
      <c r="T480" s="218">
        <f t="shared" si="37"/>
        <v>0</v>
      </c>
      <c r="U480" s="219">
        <f t="shared" si="38"/>
        <v>0</v>
      </c>
      <c r="V480" s="368"/>
      <c r="W480" s="390">
        <v>0</v>
      </c>
      <c r="X480" s="368"/>
      <c r="Y480" s="390">
        <v>0</v>
      </c>
      <c r="Z480" s="367"/>
      <c r="AA480" s="367"/>
      <c r="AB480" s="367"/>
      <c r="AC480" s="390">
        <v>0</v>
      </c>
      <c r="AD480" s="390">
        <v>0</v>
      </c>
      <c r="AE480" s="391">
        <v>0</v>
      </c>
      <c r="AF480" s="368"/>
      <c r="AG480" s="390"/>
      <c r="AH480" s="389"/>
    </row>
    <row r="481" spans="1:34">
      <c r="A481" s="467" t="s">
        <v>52</v>
      </c>
      <c r="B481" s="460" t="s">
        <v>791</v>
      </c>
      <c r="C481" s="622"/>
      <c r="D481" s="462">
        <v>247834</v>
      </c>
      <c r="E481" s="463">
        <v>8</v>
      </c>
      <c r="F481" s="217">
        <f t="shared" si="35"/>
        <v>540387</v>
      </c>
      <c r="G481" s="216">
        <f t="shared" si="36"/>
        <v>539402</v>
      </c>
      <c r="H481" s="368">
        <v>442770</v>
      </c>
      <c r="I481" s="390">
        <v>434044</v>
      </c>
      <c r="J481" s="368">
        <v>15955</v>
      </c>
      <c r="K481" s="390">
        <v>18194</v>
      </c>
      <c r="L481" s="367">
        <v>81662</v>
      </c>
      <c r="M481" s="367">
        <v>0</v>
      </c>
      <c r="N481" s="367">
        <v>0</v>
      </c>
      <c r="O481" s="390">
        <v>87164</v>
      </c>
      <c r="P481" s="390">
        <v>0</v>
      </c>
      <c r="Q481" s="391">
        <v>0</v>
      </c>
      <c r="R481" s="368"/>
      <c r="S481" s="390"/>
      <c r="T481" s="218">
        <f t="shared" si="37"/>
        <v>0</v>
      </c>
      <c r="U481" s="219">
        <f t="shared" si="38"/>
        <v>0</v>
      </c>
      <c r="V481" s="368"/>
      <c r="W481" s="390">
        <v>0</v>
      </c>
      <c r="X481" s="368"/>
      <c r="Y481" s="390">
        <v>0</v>
      </c>
      <c r="Z481" s="367"/>
      <c r="AA481" s="367"/>
      <c r="AB481" s="367"/>
      <c r="AC481" s="390">
        <v>0</v>
      </c>
      <c r="AD481" s="390">
        <v>0</v>
      </c>
      <c r="AE481" s="391">
        <v>0</v>
      </c>
      <c r="AF481" s="368"/>
      <c r="AG481" s="390"/>
      <c r="AH481" s="389"/>
    </row>
    <row r="482" spans="1:34">
      <c r="A482" s="467" t="s">
        <v>52</v>
      </c>
      <c r="B482" s="460" t="s">
        <v>792</v>
      </c>
      <c r="C482" s="622"/>
      <c r="D482" s="462">
        <v>224350</v>
      </c>
      <c r="E482" s="463">
        <v>8</v>
      </c>
      <c r="F482" s="217">
        <f t="shared" si="35"/>
        <v>198890</v>
      </c>
      <c r="G482" s="216">
        <f t="shared" si="36"/>
        <v>192070</v>
      </c>
      <c r="H482" s="368">
        <v>171837</v>
      </c>
      <c r="I482" s="390">
        <v>165759</v>
      </c>
      <c r="J482" s="368">
        <v>4255</v>
      </c>
      <c r="K482" s="390">
        <v>3906</v>
      </c>
      <c r="L482" s="367">
        <v>22798</v>
      </c>
      <c r="M482" s="367">
        <v>0</v>
      </c>
      <c r="N482" s="367">
        <v>0</v>
      </c>
      <c r="O482" s="390">
        <v>22405</v>
      </c>
      <c r="P482" s="390">
        <v>0</v>
      </c>
      <c r="Q482" s="391">
        <v>0</v>
      </c>
      <c r="R482" s="368"/>
      <c r="S482" s="390"/>
      <c r="T482" s="218">
        <f t="shared" si="37"/>
        <v>0</v>
      </c>
      <c r="U482" s="219">
        <f t="shared" si="38"/>
        <v>0</v>
      </c>
      <c r="V482" s="368"/>
      <c r="W482" s="390">
        <v>0</v>
      </c>
      <c r="X482" s="368"/>
      <c r="Y482" s="390">
        <v>0</v>
      </c>
      <c r="Z482" s="367"/>
      <c r="AA482" s="367"/>
      <c r="AB482" s="367"/>
      <c r="AC482" s="390">
        <v>0</v>
      </c>
      <c r="AD482" s="390">
        <v>0</v>
      </c>
      <c r="AE482" s="391">
        <v>0</v>
      </c>
      <c r="AF482" s="368"/>
      <c r="AG482" s="390"/>
      <c r="AH482" s="389"/>
    </row>
    <row r="483" spans="1:34">
      <c r="A483" s="467" t="s">
        <v>52</v>
      </c>
      <c r="B483" s="460" t="s">
        <v>793</v>
      </c>
      <c r="C483" s="622"/>
      <c r="D483" s="462">
        <v>224572</v>
      </c>
      <c r="E483" s="463">
        <v>8</v>
      </c>
      <c r="F483" s="217">
        <f t="shared" si="35"/>
        <v>238904</v>
      </c>
      <c r="G483" s="216">
        <f t="shared" si="36"/>
        <v>236577</v>
      </c>
      <c r="H483" s="368">
        <v>154881</v>
      </c>
      <c r="I483" s="390">
        <v>147768</v>
      </c>
      <c r="J483" s="368">
        <v>0</v>
      </c>
      <c r="K483" s="390">
        <v>258</v>
      </c>
      <c r="L483" s="367">
        <v>83772</v>
      </c>
      <c r="M483" s="367">
        <v>0</v>
      </c>
      <c r="N483" s="367">
        <v>251</v>
      </c>
      <c r="O483" s="390">
        <v>88490</v>
      </c>
      <c r="P483" s="390">
        <v>0</v>
      </c>
      <c r="Q483" s="391">
        <v>61</v>
      </c>
      <c r="R483" s="368"/>
      <c r="S483" s="390"/>
      <c r="T483" s="218">
        <f t="shared" si="37"/>
        <v>0</v>
      </c>
      <c r="U483" s="219">
        <f t="shared" si="38"/>
        <v>0</v>
      </c>
      <c r="V483" s="368"/>
      <c r="W483" s="390">
        <v>0</v>
      </c>
      <c r="X483" s="368"/>
      <c r="Y483" s="390">
        <v>0</v>
      </c>
      <c r="Z483" s="367"/>
      <c r="AA483" s="367"/>
      <c r="AB483" s="367"/>
      <c r="AC483" s="390">
        <v>0</v>
      </c>
      <c r="AD483" s="390">
        <v>0</v>
      </c>
      <c r="AE483" s="391">
        <v>0</v>
      </c>
      <c r="AF483" s="368"/>
      <c r="AG483" s="390"/>
      <c r="AH483" s="389"/>
    </row>
    <row r="484" spans="1:34">
      <c r="A484" s="467" t="s">
        <v>52</v>
      </c>
      <c r="B484" s="618" t="s">
        <v>794</v>
      </c>
      <c r="C484" s="619"/>
      <c r="D484" s="615">
        <v>224615</v>
      </c>
      <c r="E484" s="528">
        <v>8</v>
      </c>
      <c r="F484" s="217">
        <f t="shared" si="35"/>
        <v>174634</v>
      </c>
      <c r="G484" s="216">
        <f t="shared" si="36"/>
        <v>163681</v>
      </c>
      <c r="H484" s="368">
        <v>133097</v>
      </c>
      <c r="I484" s="390">
        <v>118662</v>
      </c>
      <c r="J484" s="368">
        <v>1069</v>
      </c>
      <c r="K484" s="390">
        <v>3346</v>
      </c>
      <c r="L484" s="367">
        <v>40468</v>
      </c>
      <c r="M484" s="367">
        <v>0</v>
      </c>
      <c r="N484" s="367">
        <v>0</v>
      </c>
      <c r="O484" s="390">
        <v>41673</v>
      </c>
      <c r="P484" s="390">
        <v>0</v>
      </c>
      <c r="Q484" s="391">
        <v>0</v>
      </c>
      <c r="R484" s="368"/>
      <c r="S484" s="390"/>
      <c r="T484" s="218">
        <f t="shared" si="37"/>
        <v>0</v>
      </c>
      <c r="U484" s="219">
        <f t="shared" si="38"/>
        <v>0</v>
      </c>
      <c r="V484" s="368"/>
      <c r="W484" s="390">
        <v>0</v>
      </c>
      <c r="X484" s="368"/>
      <c r="Y484" s="390">
        <v>0</v>
      </c>
      <c r="Z484" s="367"/>
      <c r="AA484" s="367"/>
      <c r="AB484" s="367"/>
      <c r="AC484" s="390">
        <v>0</v>
      </c>
      <c r="AD484" s="390">
        <v>0</v>
      </c>
      <c r="AE484" s="391">
        <v>0</v>
      </c>
      <c r="AF484" s="368"/>
      <c r="AG484" s="390"/>
      <c r="AH484" s="389"/>
    </row>
    <row r="485" spans="1:34">
      <c r="A485" s="467" t="s">
        <v>52</v>
      </c>
      <c r="B485" s="460" t="s">
        <v>795</v>
      </c>
      <c r="C485" s="622"/>
      <c r="D485" s="462">
        <v>224642</v>
      </c>
      <c r="E485" s="463">
        <v>8</v>
      </c>
      <c r="F485" s="217">
        <f t="shared" si="35"/>
        <v>552601</v>
      </c>
      <c r="G485" s="216">
        <f t="shared" si="36"/>
        <v>529978</v>
      </c>
      <c r="H485" s="368">
        <v>461249</v>
      </c>
      <c r="I485" s="390">
        <v>433505</v>
      </c>
      <c r="J485" s="368">
        <v>36809</v>
      </c>
      <c r="K485" s="390">
        <v>36042</v>
      </c>
      <c r="L485" s="367">
        <v>54348</v>
      </c>
      <c r="M485" s="367">
        <v>195</v>
      </c>
      <c r="N485" s="367">
        <v>0</v>
      </c>
      <c r="O485" s="390">
        <v>60311</v>
      </c>
      <c r="P485" s="390">
        <v>120</v>
      </c>
      <c r="Q485" s="391">
        <v>0</v>
      </c>
      <c r="R485" s="368"/>
      <c r="S485" s="390"/>
      <c r="T485" s="218">
        <f t="shared" si="37"/>
        <v>0</v>
      </c>
      <c r="U485" s="219">
        <f t="shared" si="38"/>
        <v>0</v>
      </c>
      <c r="V485" s="368"/>
      <c r="W485" s="390">
        <v>0</v>
      </c>
      <c r="X485" s="368"/>
      <c r="Y485" s="390">
        <v>0</v>
      </c>
      <c r="Z485" s="367"/>
      <c r="AA485" s="367"/>
      <c r="AB485" s="367"/>
      <c r="AC485" s="390">
        <v>0</v>
      </c>
      <c r="AD485" s="390">
        <v>0</v>
      </c>
      <c r="AE485" s="391">
        <v>0</v>
      </c>
      <c r="AF485" s="368"/>
      <c r="AG485" s="390"/>
      <c r="AH485" s="389"/>
    </row>
    <row r="486" spans="1:34">
      <c r="A486" s="459" t="s">
        <v>52</v>
      </c>
      <c r="B486" s="460" t="s">
        <v>796</v>
      </c>
      <c r="C486" s="622"/>
      <c r="D486" s="462">
        <v>225423</v>
      </c>
      <c r="E486" s="463">
        <v>8</v>
      </c>
      <c r="F486" s="217">
        <f t="shared" si="35"/>
        <v>1098061</v>
      </c>
      <c r="G486" s="216">
        <f t="shared" si="36"/>
        <v>1090521</v>
      </c>
      <c r="H486" s="368">
        <v>571109</v>
      </c>
      <c r="I486" s="390">
        <v>550645</v>
      </c>
      <c r="J486" s="368">
        <v>199181</v>
      </c>
      <c r="K486" s="390">
        <v>190794</v>
      </c>
      <c r="L486" s="367">
        <v>326958</v>
      </c>
      <c r="M486" s="367">
        <v>0</v>
      </c>
      <c r="N486" s="367">
        <v>813</v>
      </c>
      <c r="O486" s="390">
        <v>348710</v>
      </c>
      <c r="P486" s="390">
        <v>0</v>
      </c>
      <c r="Q486" s="391">
        <v>372</v>
      </c>
      <c r="R486" s="368"/>
      <c r="S486" s="390"/>
      <c r="T486" s="218">
        <f t="shared" si="37"/>
        <v>0</v>
      </c>
      <c r="U486" s="219">
        <f t="shared" si="38"/>
        <v>0</v>
      </c>
      <c r="V486" s="368"/>
      <c r="W486" s="390">
        <v>0</v>
      </c>
      <c r="X486" s="368"/>
      <c r="Y486" s="390">
        <v>0</v>
      </c>
      <c r="Z486" s="367"/>
      <c r="AA486" s="367"/>
      <c r="AB486" s="367"/>
      <c r="AC486" s="390">
        <v>0</v>
      </c>
      <c r="AD486" s="390">
        <v>0</v>
      </c>
      <c r="AE486" s="391">
        <v>0</v>
      </c>
      <c r="AF486" s="368"/>
      <c r="AG486" s="390"/>
      <c r="AH486" s="389"/>
    </row>
    <row r="487" spans="1:34">
      <c r="A487" s="459" t="s">
        <v>52</v>
      </c>
      <c r="B487" s="460" t="s">
        <v>797</v>
      </c>
      <c r="C487" s="461" t="s">
        <v>532</v>
      </c>
      <c r="D487" s="462">
        <v>226019</v>
      </c>
      <c r="E487" s="528">
        <v>8</v>
      </c>
      <c r="F487" s="217">
        <f t="shared" si="35"/>
        <v>126432</v>
      </c>
      <c r="G487" s="216">
        <f t="shared" si="36"/>
        <v>122666</v>
      </c>
      <c r="H487" s="368">
        <v>73126</v>
      </c>
      <c r="I487" s="390">
        <v>72702</v>
      </c>
      <c r="J487" s="368">
        <v>33011</v>
      </c>
      <c r="K487" s="390">
        <v>32849</v>
      </c>
      <c r="L487" s="367">
        <v>19542</v>
      </c>
      <c r="M487" s="367">
        <v>753</v>
      </c>
      <c r="N487" s="367">
        <v>0</v>
      </c>
      <c r="O487" s="390">
        <v>16818</v>
      </c>
      <c r="P487" s="390">
        <v>297</v>
      </c>
      <c r="Q487" s="391">
        <v>0</v>
      </c>
      <c r="R487" s="368"/>
      <c r="S487" s="390"/>
      <c r="T487" s="218">
        <f t="shared" si="37"/>
        <v>0</v>
      </c>
      <c r="U487" s="219">
        <f t="shared" si="38"/>
        <v>0</v>
      </c>
      <c r="V487" s="368"/>
      <c r="W487" s="390">
        <v>0</v>
      </c>
      <c r="X487" s="368"/>
      <c r="Y487" s="390">
        <v>0</v>
      </c>
      <c r="Z487" s="367"/>
      <c r="AA487" s="367"/>
      <c r="AB487" s="367"/>
      <c r="AC487" s="390">
        <v>0</v>
      </c>
      <c r="AD487" s="390">
        <v>0</v>
      </c>
      <c r="AE487" s="391">
        <v>0</v>
      </c>
      <c r="AF487" s="368"/>
      <c r="AG487" s="390"/>
      <c r="AH487" s="389"/>
    </row>
    <row r="488" spans="1:34">
      <c r="A488" s="459" t="s">
        <v>52</v>
      </c>
      <c r="B488" s="460" t="s">
        <v>798</v>
      </c>
      <c r="C488" s="622"/>
      <c r="D488" s="462">
        <v>226134</v>
      </c>
      <c r="E488" s="463">
        <v>8</v>
      </c>
      <c r="F488" s="217">
        <f t="shared" si="35"/>
        <v>166123</v>
      </c>
      <c r="G488" s="216">
        <f t="shared" si="36"/>
        <v>155660</v>
      </c>
      <c r="H488" s="368">
        <v>139584</v>
      </c>
      <c r="I488" s="390">
        <v>130760</v>
      </c>
      <c r="J488" s="368">
        <v>3544</v>
      </c>
      <c r="K488" s="390">
        <v>4276</v>
      </c>
      <c r="L488" s="367">
        <v>21894</v>
      </c>
      <c r="M488" s="367">
        <v>1101</v>
      </c>
      <c r="N488" s="367">
        <v>0</v>
      </c>
      <c r="O488" s="390">
        <v>19682</v>
      </c>
      <c r="P488" s="390">
        <v>942</v>
      </c>
      <c r="Q488" s="391">
        <v>0</v>
      </c>
      <c r="R488" s="368"/>
      <c r="S488" s="390"/>
      <c r="T488" s="218">
        <f t="shared" si="37"/>
        <v>0</v>
      </c>
      <c r="U488" s="219">
        <f t="shared" si="38"/>
        <v>0</v>
      </c>
      <c r="V488" s="368"/>
      <c r="W488" s="390">
        <v>0</v>
      </c>
      <c r="X488" s="368"/>
      <c r="Y488" s="390">
        <v>0</v>
      </c>
      <c r="Z488" s="367"/>
      <c r="AA488" s="367"/>
      <c r="AB488" s="367"/>
      <c r="AC488" s="390">
        <v>0</v>
      </c>
      <c r="AD488" s="390">
        <v>0</v>
      </c>
      <c r="AE488" s="391">
        <v>0</v>
      </c>
      <c r="AF488" s="368"/>
      <c r="AG488" s="390"/>
      <c r="AH488" s="389"/>
    </row>
    <row r="489" spans="1:34">
      <c r="A489" s="459" t="s">
        <v>52</v>
      </c>
      <c r="B489" s="460" t="s">
        <v>799</v>
      </c>
      <c r="C489" s="461"/>
      <c r="D489" s="462">
        <v>227182</v>
      </c>
      <c r="E489" s="463">
        <v>8</v>
      </c>
      <c r="F489" s="217">
        <f t="shared" si="35"/>
        <v>1234537</v>
      </c>
      <c r="G489" s="216">
        <f t="shared" si="36"/>
        <v>1258581</v>
      </c>
      <c r="H489" s="368">
        <v>866645</v>
      </c>
      <c r="I489" s="390">
        <v>869349</v>
      </c>
      <c r="J489" s="368">
        <v>58727</v>
      </c>
      <c r="K489" s="390">
        <v>67843</v>
      </c>
      <c r="L489" s="367">
        <v>309165</v>
      </c>
      <c r="M489" s="367">
        <v>0</v>
      </c>
      <c r="N489" s="367">
        <v>0</v>
      </c>
      <c r="O489" s="390">
        <v>321389</v>
      </c>
      <c r="P489" s="390">
        <v>0</v>
      </c>
      <c r="Q489" s="391">
        <v>0</v>
      </c>
      <c r="R489" s="368"/>
      <c r="S489" s="390"/>
      <c r="T489" s="218">
        <f t="shared" si="37"/>
        <v>0</v>
      </c>
      <c r="U489" s="219">
        <f t="shared" si="38"/>
        <v>0</v>
      </c>
      <c r="V489" s="368"/>
      <c r="W489" s="390">
        <v>0</v>
      </c>
      <c r="X489" s="368"/>
      <c r="Y489" s="390">
        <v>0</v>
      </c>
      <c r="Z489" s="367"/>
      <c r="AA489" s="367"/>
      <c r="AB489" s="367"/>
      <c r="AC489" s="390">
        <v>0</v>
      </c>
      <c r="AD489" s="390">
        <v>0</v>
      </c>
      <c r="AE489" s="391">
        <v>0</v>
      </c>
      <c r="AF489" s="368"/>
      <c r="AG489" s="390"/>
      <c r="AH489" s="389"/>
    </row>
    <row r="490" spans="1:34">
      <c r="A490" s="459" t="s">
        <v>52</v>
      </c>
      <c r="B490" s="460" t="s">
        <v>800</v>
      </c>
      <c r="C490" s="622"/>
      <c r="D490" s="462">
        <v>226578</v>
      </c>
      <c r="E490" s="463">
        <v>8</v>
      </c>
      <c r="F490" s="217">
        <f t="shared" si="35"/>
        <v>192256</v>
      </c>
      <c r="G490" s="216">
        <f t="shared" si="36"/>
        <v>180193</v>
      </c>
      <c r="H490" s="368">
        <v>134915</v>
      </c>
      <c r="I490" s="390">
        <v>124832</v>
      </c>
      <c r="J490" s="368">
        <v>42</v>
      </c>
      <c r="K490" s="390">
        <v>27</v>
      </c>
      <c r="L490" s="367">
        <v>56332</v>
      </c>
      <c r="M490" s="367">
        <v>967</v>
      </c>
      <c r="N490" s="367">
        <v>0</v>
      </c>
      <c r="O490" s="390">
        <v>54626</v>
      </c>
      <c r="P490" s="390">
        <v>708</v>
      </c>
      <c r="Q490" s="391">
        <v>0</v>
      </c>
      <c r="R490" s="368"/>
      <c r="S490" s="390"/>
      <c r="T490" s="218">
        <f t="shared" si="37"/>
        <v>0</v>
      </c>
      <c r="U490" s="219">
        <f t="shared" si="38"/>
        <v>0</v>
      </c>
      <c r="V490" s="368"/>
      <c r="W490" s="390">
        <v>0</v>
      </c>
      <c r="X490" s="368"/>
      <c r="Y490" s="390">
        <v>0</v>
      </c>
      <c r="Z490" s="367"/>
      <c r="AA490" s="367"/>
      <c r="AB490" s="367"/>
      <c r="AC490" s="390">
        <v>0</v>
      </c>
      <c r="AD490" s="390">
        <v>0</v>
      </c>
      <c r="AE490" s="391">
        <v>0</v>
      </c>
      <c r="AF490" s="368"/>
      <c r="AG490" s="390"/>
      <c r="AH490" s="389"/>
    </row>
    <row r="491" spans="1:34">
      <c r="A491" s="459" t="s">
        <v>52</v>
      </c>
      <c r="B491" s="623" t="s">
        <v>801</v>
      </c>
      <c r="C491" s="624"/>
      <c r="D491" s="620">
        <v>227146</v>
      </c>
      <c r="E491" s="621">
        <v>8</v>
      </c>
      <c r="F491" s="217">
        <f t="shared" si="35"/>
        <v>225332</v>
      </c>
      <c r="G491" s="216">
        <f t="shared" si="36"/>
        <v>213383</v>
      </c>
      <c r="H491" s="368">
        <v>76395</v>
      </c>
      <c r="I491" s="390">
        <v>69007</v>
      </c>
      <c r="J491" s="368">
        <v>85382</v>
      </c>
      <c r="K491" s="390">
        <v>84898</v>
      </c>
      <c r="L491" s="367">
        <v>61733</v>
      </c>
      <c r="M491" s="367">
        <v>23</v>
      </c>
      <c r="N491" s="367">
        <v>1799</v>
      </c>
      <c r="O491" s="390">
        <v>58156</v>
      </c>
      <c r="P491" s="390">
        <v>14</v>
      </c>
      <c r="Q491" s="391">
        <v>1308</v>
      </c>
      <c r="R491" s="368"/>
      <c r="S491" s="390"/>
      <c r="T491" s="218">
        <f t="shared" si="37"/>
        <v>0</v>
      </c>
      <c r="U491" s="219">
        <f t="shared" si="38"/>
        <v>0</v>
      </c>
      <c r="V491" s="368"/>
      <c r="W491" s="390">
        <v>0</v>
      </c>
      <c r="X491" s="368"/>
      <c r="Y491" s="390">
        <v>0</v>
      </c>
      <c r="Z491" s="367"/>
      <c r="AA491" s="367"/>
      <c r="AB491" s="367"/>
      <c r="AC491" s="390">
        <v>0</v>
      </c>
      <c r="AD491" s="390">
        <v>0</v>
      </c>
      <c r="AE491" s="391">
        <v>0</v>
      </c>
      <c r="AF491" s="368"/>
      <c r="AG491" s="390"/>
      <c r="AH491" s="389"/>
    </row>
    <row r="492" spans="1:34">
      <c r="A492" s="459" t="s">
        <v>52</v>
      </c>
      <c r="B492" s="618" t="s">
        <v>802</v>
      </c>
      <c r="C492" s="619"/>
      <c r="D492" s="615">
        <v>224110</v>
      </c>
      <c r="E492" s="528">
        <v>8</v>
      </c>
      <c r="F492" s="217">
        <f t="shared" si="35"/>
        <v>192986</v>
      </c>
      <c r="G492" s="216">
        <f t="shared" si="36"/>
        <v>188617</v>
      </c>
      <c r="H492" s="368">
        <v>32035</v>
      </c>
      <c r="I492" s="390">
        <v>27388</v>
      </c>
      <c r="J492" s="368">
        <v>139002</v>
      </c>
      <c r="K492" s="390">
        <v>135834</v>
      </c>
      <c r="L492" s="367">
        <v>21476</v>
      </c>
      <c r="M492" s="367">
        <v>222</v>
      </c>
      <c r="N492" s="367">
        <v>251</v>
      </c>
      <c r="O492" s="390">
        <v>24922</v>
      </c>
      <c r="P492" s="390">
        <v>161</v>
      </c>
      <c r="Q492" s="391">
        <v>312</v>
      </c>
      <c r="R492" s="368"/>
      <c r="S492" s="390"/>
      <c r="T492" s="218">
        <f t="shared" si="37"/>
        <v>0</v>
      </c>
      <c r="U492" s="219">
        <f t="shared" si="38"/>
        <v>0</v>
      </c>
      <c r="V492" s="368"/>
      <c r="W492" s="390">
        <v>0</v>
      </c>
      <c r="X492" s="368"/>
      <c r="Y492" s="390">
        <v>0</v>
      </c>
      <c r="Z492" s="367"/>
      <c r="AA492" s="367"/>
      <c r="AB492" s="367"/>
      <c r="AC492" s="390">
        <v>0</v>
      </c>
      <c r="AD492" s="390">
        <v>0</v>
      </c>
      <c r="AE492" s="391">
        <v>0</v>
      </c>
      <c r="AF492" s="368"/>
      <c r="AG492" s="390"/>
      <c r="AH492" s="389"/>
    </row>
    <row r="493" spans="1:34">
      <c r="A493" s="459" t="s">
        <v>52</v>
      </c>
      <c r="B493" s="460" t="s">
        <v>803</v>
      </c>
      <c r="C493" s="622"/>
      <c r="D493" s="462">
        <v>227191</v>
      </c>
      <c r="E493" s="463">
        <v>8</v>
      </c>
      <c r="F493" s="217">
        <f t="shared" si="35"/>
        <v>171543</v>
      </c>
      <c r="G493" s="216">
        <f t="shared" si="36"/>
        <v>175919</v>
      </c>
      <c r="H493" s="368">
        <v>124391</v>
      </c>
      <c r="I493" s="390">
        <v>121316</v>
      </c>
      <c r="J493" s="368">
        <v>1525</v>
      </c>
      <c r="K493" s="390">
        <v>1607</v>
      </c>
      <c r="L493" s="367">
        <v>45462</v>
      </c>
      <c r="M493" s="367">
        <v>0</v>
      </c>
      <c r="N493" s="367">
        <v>165</v>
      </c>
      <c r="O493" s="390">
        <v>52873</v>
      </c>
      <c r="P493" s="390">
        <v>0</v>
      </c>
      <c r="Q493" s="391">
        <v>123</v>
      </c>
      <c r="R493" s="368"/>
      <c r="S493" s="390"/>
      <c r="T493" s="218">
        <f t="shared" si="37"/>
        <v>0</v>
      </c>
      <c r="U493" s="219">
        <f t="shared" si="38"/>
        <v>0</v>
      </c>
      <c r="V493" s="368"/>
      <c r="W493" s="390">
        <v>0</v>
      </c>
      <c r="X493" s="368"/>
      <c r="Y493" s="390">
        <v>0</v>
      </c>
      <c r="Z493" s="367"/>
      <c r="AA493" s="367"/>
      <c r="AB493" s="367"/>
      <c r="AC493" s="390">
        <v>0</v>
      </c>
      <c r="AD493" s="390">
        <v>0</v>
      </c>
      <c r="AE493" s="391">
        <v>0</v>
      </c>
      <c r="AF493" s="368"/>
      <c r="AG493" s="390"/>
      <c r="AH493" s="389"/>
    </row>
    <row r="494" spans="1:34">
      <c r="A494" s="459" t="s">
        <v>52</v>
      </c>
      <c r="B494" s="460" t="s">
        <v>804</v>
      </c>
      <c r="C494" s="622"/>
      <c r="D494" s="462">
        <v>420398</v>
      </c>
      <c r="E494" s="463">
        <v>8</v>
      </c>
      <c r="F494" s="217">
        <f t="shared" si="35"/>
        <v>284436</v>
      </c>
      <c r="G494" s="216">
        <f t="shared" si="36"/>
        <v>281326</v>
      </c>
      <c r="H494" s="368">
        <v>218824</v>
      </c>
      <c r="I494" s="390">
        <v>210747</v>
      </c>
      <c r="J494" s="368">
        <v>24170</v>
      </c>
      <c r="K494" s="390">
        <v>24470</v>
      </c>
      <c r="L494" s="367">
        <v>41442</v>
      </c>
      <c r="M494" s="367">
        <v>0</v>
      </c>
      <c r="N494" s="367">
        <v>0</v>
      </c>
      <c r="O494" s="390">
        <v>46109</v>
      </c>
      <c r="P494" s="390">
        <v>0</v>
      </c>
      <c r="Q494" s="391">
        <v>0</v>
      </c>
      <c r="R494" s="368"/>
      <c r="S494" s="390"/>
      <c r="T494" s="218">
        <f t="shared" si="37"/>
        <v>0</v>
      </c>
      <c r="U494" s="219">
        <f t="shared" si="38"/>
        <v>0</v>
      </c>
      <c r="V494" s="368"/>
      <c r="W494" s="390">
        <v>0</v>
      </c>
      <c r="X494" s="368"/>
      <c r="Y494" s="390">
        <v>0</v>
      </c>
      <c r="Z494" s="367"/>
      <c r="AA494" s="367"/>
      <c r="AB494" s="367"/>
      <c r="AC494" s="390">
        <v>0</v>
      </c>
      <c r="AD494" s="390">
        <v>0</v>
      </c>
      <c r="AE494" s="391">
        <v>0</v>
      </c>
      <c r="AF494" s="368"/>
      <c r="AG494" s="390"/>
      <c r="AH494" s="389"/>
    </row>
    <row r="495" spans="1:34">
      <c r="A495" s="459" t="s">
        <v>52</v>
      </c>
      <c r="B495" s="460" t="s">
        <v>805</v>
      </c>
      <c r="C495" s="461" t="s">
        <v>466</v>
      </c>
      <c r="D495" s="462">
        <v>246354</v>
      </c>
      <c r="E495" s="463">
        <v>8</v>
      </c>
      <c r="F495" s="217">
        <f t="shared" si="35"/>
        <v>147419</v>
      </c>
      <c r="G495" s="216">
        <f t="shared" si="36"/>
        <v>145511</v>
      </c>
      <c r="H495" s="368">
        <v>86682</v>
      </c>
      <c r="I495" s="390">
        <v>85030</v>
      </c>
      <c r="J495" s="368">
        <v>8680</v>
      </c>
      <c r="K495" s="390">
        <v>5953</v>
      </c>
      <c r="L495" s="367">
        <v>49843</v>
      </c>
      <c r="M495" s="367">
        <v>510</v>
      </c>
      <c r="N495" s="367">
        <v>1704</v>
      </c>
      <c r="O495" s="390">
        <v>53070</v>
      </c>
      <c r="P495" s="390">
        <v>306</v>
      </c>
      <c r="Q495" s="391">
        <v>1152</v>
      </c>
      <c r="R495" s="368"/>
      <c r="S495" s="390"/>
      <c r="T495" s="218">
        <f t="shared" si="37"/>
        <v>0</v>
      </c>
      <c r="U495" s="219">
        <f t="shared" si="38"/>
        <v>0</v>
      </c>
      <c r="V495" s="368"/>
      <c r="W495" s="390">
        <v>0</v>
      </c>
      <c r="X495" s="368"/>
      <c r="Y495" s="390">
        <v>0</v>
      </c>
      <c r="Z495" s="367"/>
      <c r="AA495" s="367"/>
      <c r="AB495" s="367"/>
      <c r="AC495" s="390">
        <v>0</v>
      </c>
      <c r="AD495" s="390">
        <v>0</v>
      </c>
      <c r="AE495" s="391">
        <v>0</v>
      </c>
      <c r="AF495" s="368"/>
      <c r="AG495" s="390"/>
      <c r="AH495" s="389"/>
    </row>
    <row r="496" spans="1:34">
      <c r="A496" s="459" t="s">
        <v>52</v>
      </c>
      <c r="B496" s="460" t="s">
        <v>806</v>
      </c>
      <c r="C496" s="622"/>
      <c r="D496" s="462">
        <v>227766</v>
      </c>
      <c r="E496" s="463">
        <v>8</v>
      </c>
      <c r="F496" s="217">
        <f t="shared" si="35"/>
        <v>326765</v>
      </c>
      <c r="G496" s="216">
        <f t="shared" si="36"/>
        <v>323031</v>
      </c>
      <c r="H496" s="368">
        <v>230349</v>
      </c>
      <c r="I496" s="390">
        <v>222889</v>
      </c>
      <c r="J496" s="368">
        <v>225</v>
      </c>
      <c r="K496" s="390">
        <v>249</v>
      </c>
      <c r="L496" s="367">
        <v>96191</v>
      </c>
      <c r="M496" s="367">
        <v>0</v>
      </c>
      <c r="N496" s="367">
        <v>0</v>
      </c>
      <c r="O496" s="390">
        <v>99893</v>
      </c>
      <c r="P496" s="390">
        <v>0</v>
      </c>
      <c r="Q496" s="391">
        <v>0</v>
      </c>
      <c r="R496" s="368"/>
      <c r="S496" s="390"/>
      <c r="T496" s="218">
        <f t="shared" si="37"/>
        <v>0</v>
      </c>
      <c r="U496" s="219">
        <f t="shared" si="38"/>
        <v>0</v>
      </c>
      <c r="V496" s="368"/>
      <c r="W496" s="390">
        <v>0</v>
      </c>
      <c r="X496" s="368"/>
      <c r="Y496" s="390">
        <v>0</v>
      </c>
      <c r="Z496" s="367"/>
      <c r="AA496" s="367"/>
      <c r="AB496" s="367"/>
      <c r="AC496" s="390">
        <v>0</v>
      </c>
      <c r="AD496" s="390">
        <v>0</v>
      </c>
      <c r="AE496" s="391">
        <v>0</v>
      </c>
      <c r="AF496" s="368"/>
      <c r="AG496" s="390"/>
      <c r="AH496" s="389"/>
    </row>
    <row r="497" spans="1:34">
      <c r="A497" s="459" t="s">
        <v>52</v>
      </c>
      <c r="B497" s="460" t="s">
        <v>807</v>
      </c>
      <c r="C497" s="622"/>
      <c r="D497" s="462">
        <v>227924</v>
      </c>
      <c r="E497" s="463">
        <v>8</v>
      </c>
      <c r="F497" s="217">
        <f t="shared" si="35"/>
        <v>443475</v>
      </c>
      <c r="G497" s="216">
        <f t="shared" si="36"/>
        <v>404138</v>
      </c>
      <c r="H497" s="368">
        <v>343030</v>
      </c>
      <c r="I497" s="390">
        <v>297373</v>
      </c>
      <c r="J497" s="368">
        <v>12568</v>
      </c>
      <c r="K497" s="390">
        <v>13496</v>
      </c>
      <c r="L497" s="367">
        <v>87877</v>
      </c>
      <c r="M497" s="367">
        <v>0</v>
      </c>
      <c r="N497" s="367">
        <v>0</v>
      </c>
      <c r="O497" s="390">
        <v>93269</v>
      </c>
      <c r="P497" s="390">
        <v>0</v>
      </c>
      <c r="Q497" s="391">
        <v>0</v>
      </c>
      <c r="R497" s="368"/>
      <c r="S497" s="390"/>
      <c r="T497" s="218">
        <f t="shared" si="37"/>
        <v>0</v>
      </c>
      <c r="U497" s="219">
        <f t="shared" si="38"/>
        <v>0</v>
      </c>
      <c r="V497" s="368"/>
      <c r="W497" s="390">
        <v>0</v>
      </c>
      <c r="X497" s="368"/>
      <c r="Y497" s="390">
        <v>0</v>
      </c>
      <c r="Z497" s="367"/>
      <c r="AA497" s="367"/>
      <c r="AB497" s="367"/>
      <c r="AC497" s="390">
        <v>0</v>
      </c>
      <c r="AD497" s="390">
        <v>0</v>
      </c>
      <c r="AE497" s="391">
        <v>0</v>
      </c>
      <c r="AF497" s="368"/>
      <c r="AG497" s="390"/>
      <c r="AH497" s="389"/>
    </row>
    <row r="498" spans="1:34">
      <c r="A498" s="459" t="s">
        <v>52</v>
      </c>
      <c r="B498" s="460" t="s">
        <v>808</v>
      </c>
      <c r="C498" s="622"/>
      <c r="D498" s="462">
        <v>227979</v>
      </c>
      <c r="E498" s="463">
        <v>8</v>
      </c>
      <c r="F498" s="217">
        <f t="shared" si="35"/>
        <v>565429</v>
      </c>
      <c r="G498" s="216">
        <f t="shared" si="36"/>
        <v>561496</v>
      </c>
      <c r="H498" s="368">
        <v>447495</v>
      </c>
      <c r="I498" s="390">
        <v>468011</v>
      </c>
      <c r="J498" s="368">
        <v>9556</v>
      </c>
      <c r="K498" s="390">
        <v>8600</v>
      </c>
      <c r="L498" s="367">
        <v>108378</v>
      </c>
      <c r="M498" s="367">
        <v>0</v>
      </c>
      <c r="N498" s="367">
        <v>0</v>
      </c>
      <c r="O498" s="390">
        <v>84846</v>
      </c>
      <c r="P498" s="390">
        <v>39</v>
      </c>
      <c r="Q498" s="391">
        <v>0</v>
      </c>
      <c r="R498" s="368"/>
      <c r="S498" s="390"/>
      <c r="T498" s="218">
        <f t="shared" si="37"/>
        <v>0</v>
      </c>
      <c r="U498" s="219">
        <f t="shared" si="38"/>
        <v>0</v>
      </c>
      <c r="V498" s="368"/>
      <c r="W498" s="390">
        <v>0</v>
      </c>
      <c r="X498" s="368"/>
      <c r="Y498" s="390">
        <v>0</v>
      </c>
      <c r="Z498" s="367"/>
      <c r="AA498" s="367"/>
      <c r="AB498" s="367"/>
      <c r="AC498" s="390">
        <v>0</v>
      </c>
      <c r="AD498" s="390">
        <v>0</v>
      </c>
      <c r="AE498" s="391">
        <v>0</v>
      </c>
      <c r="AF498" s="368"/>
      <c r="AG498" s="390"/>
      <c r="AH498" s="389"/>
    </row>
    <row r="499" spans="1:34">
      <c r="A499" s="459" t="s">
        <v>52</v>
      </c>
      <c r="B499" s="460" t="s">
        <v>809</v>
      </c>
      <c r="C499" s="622"/>
      <c r="D499" s="462">
        <v>228158</v>
      </c>
      <c r="E499" s="463">
        <v>8</v>
      </c>
      <c r="F499" s="217">
        <f t="shared" si="35"/>
        <v>204644</v>
      </c>
      <c r="G499" s="216">
        <f t="shared" si="36"/>
        <v>200024</v>
      </c>
      <c r="H499" s="368">
        <v>89172</v>
      </c>
      <c r="I499" s="390">
        <v>87211</v>
      </c>
      <c r="J499" s="368">
        <v>77106</v>
      </c>
      <c r="K499" s="390">
        <v>73554</v>
      </c>
      <c r="L499" s="367">
        <v>33822</v>
      </c>
      <c r="M499" s="367">
        <v>1818</v>
      </c>
      <c r="N499" s="367">
        <v>2726</v>
      </c>
      <c r="O499" s="390">
        <v>34287</v>
      </c>
      <c r="P499" s="390">
        <v>1782</v>
      </c>
      <c r="Q499" s="391">
        <v>3190</v>
      </c>
      <c r="R499" s="368"/>
      <c r="S499" s="390"/>
      <c r="T499" s="218">
        <f t="shared" si="37"/>
        <v>0</v>
      </c>
      <c r="U499" s="219">
        <f t="shared" si="38"/>
        <v>0</v>
      </c>
      <c r="V499" s="368"/>
      <c r="W499" s="390">
        <v>0</v>
      </c>
      <c r="X499" s="368"/>
      <c r="Y499" s="390">
        <v>0</v>
      </c>
      <c r="Z499" s="367"/>
      <c r="AA499" s="367"/>
      <c r="AB499" s="367"/>
      <c r="AC499" s="390">
        <v>0</v>
      </c>
      <c r="AD499" s="390">
        <v>0</v>
      </c>
      <c r="AE499" s="391">
        <v>0</v>
      </c>
      <c r="AF499" s="368"/>
      <c r="AG499" s="390"/>
      <c r="AH499" s="389"/>
    </row>
    <row r="500" spans="1:34">
      <c r="A500" s="459" t="s">
        <v>52</v>
      </c>
      <c r="B500" s="460" t="s">
        <v>810</v>
      </c>
      <c r="C500" s="622"/>
      <c r="D500" s="462">
        <v>227854</v>
      </c>
      <c r="E500" s="463">
        <v>8</v>
      </c>
      <c r="F500" s="217">
        <f t="shared" si="35"/>
        <v>176513</v>
      </c>
      <c r="G500" s="216">
        <f t="shared" si="36"/>
        <v>173817</v>
      </c>
      <c r="H500" s="368">
        <v>107638</v>
      </c>
      <c r="I500" s="390">
        <v>100112</v>
      </c>
      <c r="J500" s="368">
        <v>13441</v>
      </c>
      <c r="K500" s="390">
        <v>13902</v>
      </c>
      <c r="L500" s="367">
        <v>55434</v>
      </c>
      <c r="M500" s="367">
        <v>0</v>
      </c>
      <c r="N500" s="367">
        <v>0</v>
      </c>
      <c r="O500" s="390">
        <v>59803</v>
      </c>
      <c r="P500" s="390">
        <v>0</v>
      </c>
      <c r="Q500" s="391">
        <v>0</v>
      </c>
      <c r="R500" s="368"/>
      <c r="S500" s="390"/>
      <c r="T500" s="218">
        <f t="shared" si="37"/>
        <v>0</v>
      </c>
      <c r="U500" s="219">
        <f t="shared" si="38"/>
        <v>0</v>
      </c>
      <c r="V500" s="368"/>
      <c r="W500" s="390">
        <v>0</v>
      </c>
      <c r="X500" s="368"/>
      <c r="Y500" s="390">
        <v>0</v>
      </c>
      <c r="Z500" s="367"/>
      <c r="AA500" s="367"/>
      <c r="AB500" s="367"/>
      <c r="AC500" s="390">
        <v>0</v>
      </c>
      <c r="AD500" s="390">
        <v>0</v>
      </c>
      <c r="AE500" s="391">
        <v>0</v>
      </c>
      <c r="AF500" s="368"/>
      <c r="AG500" s="390"/>
      <c r="AH500" s="389"/>
    </row>
    <row r="501" spans="1:34">
      <c r="A501" s="459" t="s">
        <v>52</v>
      </c>
      <c r="B501" s="460" t="s">
        <v>811</v>
      </c>
      <c r="C501" s="622"/>
      <c r="D501" s="462">
        <v>228547</v>
      </c>
      <c r="E501" s="463">
        <v>8</v>
      </c>
      <c r="F501" s="217">
        <f t="shared" si="35"/>
        <v>993277</v>
      </c>
      <c r="G501" s="216">
        <f t="shared" si="36"/>
        <v>967173</v>
      </c>
      <c r="H501" s="368">
        <v>756955</v>
      </c>
      <c r="I501" s="390">
        <v>731548</v>
      </c>
      <c r="J501" s="368">
        <v>37660</v>
      </c>
      <c r="K501" s="390">
        <v>40582</v>
      </c>
      <c r="L501" s="367">
        <v>187391</v>
      </c>
      <c r="M501" s="367">
        <v>0</v>
      </c>
      <c r="N501" s="367">
        <v>11271</v>
      </c>
      <c r="O501" s="390">
        <v>195040</v>
      </c>
      <c r="P501" s="390">
        <v>0</v>
      </c>
      <c r="Q501" s="391">
        <v>3</v>
      </c>
      <c r="R501" s="368"/>
      <c r="S501" s="390"/>
      <c r="T501" s="218">
        <f t="shared" si="37"/>
        <v>0</v>
      </c>
      <c r="U501" s="219">
        <f t="shared" si="38"/>
        <v>0</v>
      </c>
      <c r="V501" s="368"/>
      <c r="W501" s="390">
        <v>0</v>
      </c>
      <c r="X501" s="368"/>
      <c r="Y501" s="390">
        <v>0</v>
      </c>
      <c r="Z501" s="367"/>
      <c r="AA501" s="367"/>
      <c r="AB501" s="367"/>
      <c r="AC501" s="390">
        <v>0</v>
      </c>
      <c r="AD501" s="390">
        <v>0</v>
      </c>
      <c r="AE501" s="391">
        <v>0</v>
      </c>
      <c r="AF501" s="368"/>
      <c r="AG501" s="390"/>
      <c r="AH501" s="389"/>
    </row>
    <row r="502" spans="1:34">
      <c r="A502" s="459" t="s">
        <v>52</v>
      </c>
      <c r="B502" s="460" t="s">
        <v>812</v>
      </c>
      <c r="C502" s="626" t="s">
        <v>533</v>
      </c>
      <c r="D502" s="462">
        <v>229072</v>
      </c>
      <c r="E502" s="627">
        <v>9</v>
      </c>
      <c r="F502" s="217">
        <f t="shared" si="35"/>
        <v>67085</v>
      </c>
      <c r="G502" s="216">
        <f t="shared" si="36"/>
        <v>68330</v>
      </c>
      <c r="H502" s="368">
        <v>60201</v>
      </c>
      <c r="I502" s="390">
        <v>61073</v>
      </c>
      <c r="J502" s="368">
        <v>5396</v>
      </c>
      <c r="K502" s="390">
        <v>7257</v>
      </c>
      <c r="L502" s="367">
        <v>1488</v>
      </c>
      <c r="M502" s="367">
        <v>0</v>
      </c>
      <c r="N502" s="367">
        <v>0</v>
      </c>
      <c r="O502" s="390">
        <v>0</v>
      </c>
      <c r="P502" s="390">
        <v>0</v>
      </c>
      <c r="Q502" s="391">
        <v>0</v>
      </c>
      <c r="R502" s="368"/>
      <c r="S502" s="390"/>
      <c r="T502" s="218">
        <f t="shared" si="37"/>
        <v>0</v>
      </c>
      <c r="U502" s="219">
        <f t="shared" si="38"/>
        <v>0</v>
      </c>
      <c r="V502" s="368"/>
      <c r="W502" s="390">
        <v>0</v>
      </c>
      <c r="X502" s="368"/>
      <c r="Y502" s="390">
        <v>0</v>
      </c>
      <c r="Z502" s="367"/>
      <c r="AA502" s="367"/>
      <c r="AB502" s="367"/>
      <c r="AC502" s="390">
        <v>0</v>
      </c>
      <c r="AD502" s="390">
        <v>0</v>
      </c>
      <c r="AE502" s="391">
        <v>0</v>
      </c>
      <c r="AF502" s="368"/>
      <c r="AG502" s="390"/>
      <c r="AH502" s="389"/>
    </row>
    <row r="503" spans="1:34">
      <c r="A503" s="459" t="s">
        <v>52</v>
      </c>
      <c r="B503" s="460" t="s">
        <v>813</v>
      </c>
      <c r="C503" s="626" t="s">
        <v>533</v>
      </c>
      <c r="D503" s="462">
        <v>228680</v>
      </c>
      <c r="E503" s="532">
        <v>9</v>
      </c>
      <c r="F503" s="217">
        <f t="shared" si="35"/>
        <v>120670</v>
      </c>
      <c r="G503" s="216">
        <f t="shared" si="36"/>
        <v>117460</v>
      </c>
      <c r="H503" s="368">
        <v>108886</v>
      </c>
      <c r="I503" s="390">
        <v>101308</v>
      </c>
      <c r="J503" s="368">
        <v>2747</v>
      </c>
      <c r="K503" s="390">
        <v>2028</v>
      </c>
      <c r="L503" s="367">
        <v>9037</v>
      </c>
      <c r="M503" s="367">
        <v>0</v>
      </c>
      <c r="N503" s="367">
        <v>0</v>
      </c>
      <c r="O503" s="390">
        <v>14124</v>
      </c>
      <c r="P503" s="390">
        <v>0</v>
      </c>
      <c r="Q503" s="391">
        <v>0</v>
      </c>
      <c r="R503" s="368"/>
      <c r="S503" s="390"/>
      <c r="T503" s="218">
        <f t="shared" si="37"/>
        <v>0</v>
      </c>
      <c r="U503" s="219">
        <f t="shared" si="38"/>
        <v>0</v>
      </c>
      <c r="V503" s="368"/>
      <c r="W503" s="390">
        <v>0</v>
      </c>
      <c r="X503" s="368"/>
      <c r="Y503" s="390">
        <v>0</v>
      </c>
      <c r="Z503" s="367"/>
      <c r="AA503" s="367"/>
      <c r="AB503" s="367"/>
      <c r="AC503" s="390">
        <v>0</v>
      </c>
      <c r="AD503" s="390">
        <v>0</v>
      </c>
      <c r="AE503" s="391">
        <v>0</v>
      </c>
      <c r="AF503" s="368"/>
      <c r="AG503" s="390"/>
      <c r="AH503" s="389"/>
    </row>
    <row r="504" spans="1:34">
      <c r="A504" s="459" t="s">
        <v>52</v>
      </c>
      <c r="B504" s="460" t="s">
        <v>814</v>
      </c>
      <c r="C504" s="616"/>
      <c r="D504" s="462">
        <v>225308</v>
      </c>
      <c r="E504" s="528">
        <v>8</v>
      </c>
      <c r="F504" s="217">
        <f t="shared" si="35"/>
        <v>155869</v>
      </c>
      <c r="G504" s="216">
        <f t="shared" si="36"/>
        <v>148335</v>
      </c>
      <c r="H504" s="368">
        <v>86988</v>
      </c>
      <c r="I504" s="390">
        <v>74793</v>
      </c>
      <c r="J504" s="368">
        <v>29996</v>
      </c>
      <c r="K504" s="390">
        <v>32109</v>
      </c>
      <c r="L504" s="367">
        <v>38885</v>
      </c>
      <c r="M504" s="367">
        <v>0</v>
      </c>
      <c r="N504" s="367">
        <v>0</v>
      </c>
      <c r="O504" s="390">
        <v>41433</v>
      </c>
      <c r="P504" s="390">
        <v>0</v>
      </c>
      <c r="Q504" s="391">
        <v>0</v>
      </c>
      <c r="R504" s="368"/>
      <c r="S504" s="390"/>
      <c r="T504" s="218">
        <f t="shared" si="37"/>
        <v>0</v>
      </c>
      <c r="U504" s="219">
        <f t="shared" si="38"/>
        <v>0</v>
      </c>
      <c r="V504" s="368"/>
      <c r="W504" s="390">
        <v>0</v>
      </c>
      <c r="X504" s="368"/>
      <c r="Y504" s="390">
        <v>0</v>
      </c>
      <c r="Z504" s="367"/>
      <c r="AA504" s="367"/>
      <c r="AB504" s="367"/>
      <c r="AC504" s="390">
        <v>0</v>
      </c>
      <c r="AD504" s="390">
        <v>0</v>
      </c>
      <c r="AE504" s="391">
        <v>0</v>
      </c>
      <c r="AF504" s="368"/>
      <c r="AG504" s="390"/>
      <c r="AH504" s="389"/>
    </row>
    <row r="505" spans="1:34">
      <c r="A505" s="459" t="s">
        <v>52</v>
      </c>
      <c r="B505" s="460" t="s">
        <v>815</v>
      </c>
      <c r="C505" s="622"/>
      <c r="D505" s="462">
        <v>229355</v>
      </c>
      <c r="E505" s="463">
        <v>8</v>
      </c>
      <c r="F505" s="217">
        <f t="shared" si="35"/>
        <v>239835</v>
      </c>
      <c r="G505" s="216">
        <f t="shared" si="36"/>
        <v>237997</v>
      </c>
      <c r="H505" s="368">
        <v>164371</v>
      </c>
      <c r="I505" s="390">
        <v>148690</v>
      </c>
      <c r="J505" s="368">
        <v>9673</v>
      </c>
      <c r="K505" s="390">
        <v>19773</v>
      </c>
      <c r="L505" s="367">
        <v>65752</v>
      </c>
      <c r="M505" s="367">
        <v>0</v>
      </c>
      <c r="N505" s="367">
        <v>39</v>
      </c>
      <c r="O505" s="390">
        <v>69534</v>
      </c>
      <c r="P505" s="390">
        <v>0</v>
      </c>
      <c r="Q505" s="391">
        <v>0</v>
      </c>
      <c r="R505" s="368"/>
      <c r="S505" s="390"/>
      <c r="T505" s="218">
        <f t="shared" si="37"/>
        <v>0</v>
      </c>
      <c r="U505" s="219">
        <f t="shared" si="38"/>
        <v>0</v>
      </c>
      <c r="V505" s="368"/>
      <c r="W505" s="390">
        <v>0</v>
      </c>
      <c r="X505" s="368"/>
      <c r="Y505" s="390">
        <v>0</v>
      </c>
      <c r="Z505" s="367"/>
      <c r="AA505" s="367"/>
      <c r="AB505" s="367"/>
      <c r="AC505" s="390">
        <v>0</v>
      </c>
      <c r="AD505" s="390">
        <v>0</v>
      </c>
      <c r="AE505" s="391">
        <v>0</v>
      </c>
      <c r="AF505" s="368"/>
      <c r="AG505" s="390"/>
      <c r="AH505" s="389"/>
    </row>
    <row r="506" spans="1:34">
      <c r="A506" s="459" t="s">
        <v>52</v>
      </c>
      <c r="B506" s="460" t="s">
        <v>816</v>
      </c>
      <c r="C506" s="622"/>
      <c r="D506" s="462">
        <v>222567</v>
      </c>
      <c r="E506" s="463">
        <v>9</v>
      </c>
      <c r="F506" s="217">
        <f t="shared" si="35"/>
        <v>99560</v>
      </c>
      <c r="G506" s="216">
        <f t="shared" si="36"/>
        <v>98010</v>
      </c>
      <c r="H506" s="368">
        <v>70597</v>
      </c>
      <c r="I506" s="390">
        <v>59099</v>
      </c>
      <c r="J506" s="368">
        <v>18467</v>
      </c>
      <c r="K506" s="390">
        <v>21176</v>
      </c>
      <c r="L506" s="367">
        <v>10496</v>
      </c>
      <c r="M506" s="367">
        <v>0</v>
      </c>
      <c r="N506" s="367">
        <v>0</v>
      </c>
      <c r="O506" s="390">
        <v>17735</v>
      </c>
      <c r="P506" s="390">
        <v>0</v>
      </c>
      <c r="Q506" s="391">
        <v>0</v>
      </c>
      <c r="R506" s="368"/>
      <c r="S506" s="390"/>
      <c r="T506" s="218">
        <f t="shared" si="37"/>
        <v>0</v>
      </c>
      <c r="U506" s="219">
        <f t="shared" si="38"/>
        <v>0</v>
      </c>
      <c r="V506" s="368"/>
      <c r="W506" s="390">
        <v>0</v>
      </c>
      <c r="X506" s="368"/>
      <c r="Y506" s="390">
        <v>0</v>
      </c>
      <c r="Z506" s="367"/>
      <c r="AA506" s="367"/>
      <c r="AB506" s="367"/>
      <c r="AC506" s="390">
        <v>0</v>
      </c>
      <c r="AD506" s="390">
        <v>0</v>
      </c>
      <c r="AE506" s="391">
        <v>0</v>
      </c>
      <c r="AF506" s="368"/>
      <c r="AG506" s="390"/>
      <c r="AH506" s="389"/>
    </row>
    <row r="507" spans="1:34">
      <c r="A507" s="459" t="s">
        <v>52</v>
      </c>
      <c r="B507" s="460" t="s">
        <v>817</v>
      </c>
      <c r="C507" s="622"/>
      <c r="D507" s="462">
        <v>222822</v>
      </c>
      <c r="E507" s="463">
        <v>9</v>
      </c>
      <c r="F507" s="217">
        <f t="shared" si="35"/>
        <v>103593</v>
      </c>
      <c r="G507" s="216">
        <f t="shared" si="36"/>
        <v>97791</v>
      </c>
      <c r="H507" s="368">
        <v>61208</v>
      </c>
      <c r="I507" s="390">
        <v>54743</v>
      </c>
      <c r="J507" s="368">
        <v>11896</v>
      </c>
      <c r="K507" s="390">
        <v>10935</v>
      </c>
      <c r="L507" s="367">
        <v>22436</v>
      </c>
      <c r="M507" s="367">
        <v>8035</v>
      </c>
      <c r="N507" s="367">
        <v>18</v>
      </c>
      <c r="O507" s="390">
        <v>23033</v>
      </c>
      <c r="P507" s="390">
        <v>8981</v>
      </c>
      <c r="Q507" s="391">
        <v>99</v>
      </c>
      <c r="R507" s="368"/>
      <c r="S507" s="390"/>
      <c r="T507" s="218">
        <f t="shared" si="37"/>
        <v>0</v>
      </c>
      <c r="U507" s="219">
        <f t="shared" si="38"/>
        <v>0</v>
      </c>
      <c r="V507" s="368"/>
      <c r="W507" s="390">
        <v>0</v>
      </c>
      <c r="X507" s="368"/>
      <c r="Y507" s="390">
        <v>0</v>
      </c>
      <c r="Z507" s="367"/>
      <c r="AA507" s="367"/>
      <c r="AB507" s="367"/>
      <c r="AC507" s="390">
        <v>0</v>
      </c>
      <c r="AD507" s="390">
        <v>0</v>
      </c>
      <c r="AE507" s="391">
        <v>0</v>
      </c>
      <c r="AF507" s="368"/>
      <c r="AG507" s="390"/>
      <c r="AH507" s="389"/>
    </row>
    <row r="508" spans="1:34">
      <c r="A508" s="459" t="s">
        <v>52</v>
      </c>
      <c r="B508" s="460" t="s">
        <v>818</v>
      </c>
      <c r="C508" s="622"/>
      <c r="D508" s="462">
        <v>223773</v>
      </c>
      <c r="E508" s="463">
        <v>9</v>
      </c>
      <c r="F508" s="217">
        <f t="shared" si="35"/>
        <v>101726</v>
      </c>
      <c r="G508" s="216">
        <f t="shared" si="36"/>
        <v>103899</v>
      </c>
      <c r="H508" s="368">
        <v>59347</v>
      </c>
      <c r="I508" s="390">
        <v>57782</v>
      </c>
      <c r="J508" s="368">
        <v>0</v>
      </c>
      <c r="K508" s="390">
        <v>0</v>
      </c>
      <c r="L508" s="367">
        <v>42379</v>
      </c>
      <c r="M508" s="367">
        <v>0</v>
      </c>
      <c r="N508" s="367">
        <v>0</v>
      </c>
      <c r="O508" s="390">
        <v>46117</v>
      </c>
      <c r="P508" s="390">
        <v>0</v>
      </c>
      <c r="Q508" s="391">
        <v>0</v>
      </c>
      <c r="R508" s="368"/>
      <c r="S508" s="390"/>
      <c r="T508" s="218">
        <f t="shared" si="37"/>
        <v>0</v>
      </c>
      <c r="U508" s="219">
        <f t="shared" si="38"/>
        <v>0</v>
      </c>
      <c r="V508" s="368"/>
      <c r="W508" s="390">
        <v>0</v>
      </c>
      <c r="X508" s="368"/>
      <c r="Y508" s="390">
        <v>0</v>
      </c>
      <c r="Z508" s="367"/>
      <c r="AA508" s="367"/>
      <c r="AB508" s="367"/>
      <c r="AC508" s="390">
        <v>0</v>
      </c>
      <c r="AD508" s="390">
        <v>0</v>
      </c>
      <c r="AE508" s="391">
        <v>0</v>
      </c>
      <c r="AF508" s="368"/>
      <c r="AG508" s="390"/>
      <c r="AH508" s="389"/>
    </row>
    <row r="509" spans="1:34">
      <c r="A509" s="459" t="s">
        <v>52</v>
      </c>
      <c r="B509" s="460" t="s">
        <v>819</v>
      </c>
      <c r="C509" s="622"/>
      <c r="D509" s="462">
        <v>223898</v>
      </c>
      <c r="E509" s="463">
        <v>9</v>
      </c>
      <c r="F509" s="217">
        <f t="shared" si="35"/>
        <v>76113</v>
      </c>
      <c r="G509" s="216">
        <f t="shared" si="36"/>
        <v>75103</v>
      </c>
      <c r="H509" s="368">
        <v>11221</v>
      </c>
      <c r="I509" s="390">
        <v>11619</v>
      </c>
      <c r="J509" s="368">
        <v>43568</v>
      </c>
      <c r="K509" s="390">
        <v>42795</v>
      </c>
      <c r="L509" s="367">
        <v>20455</v>
      </c>
      <c r="M509" s="367">
        <v>869</v>
      </c>
      <c r="N509" s="367">
        <v>0</v>
      </c>
      <c r="O509" s="390">
        <v>19952</v>
      </c>
      <c r="P509" s="390">
        <v>737</v>
      </c>
      <c r="Q509" s="391">
        <v>0</v>
      </c>
      <c r="R509" s="368"/>
      <c r="S509" s="390"/>
      <c r="T509" s="218">
        <f t="shared" si="37"/>
        <v>0</v>
      </c>
      <c r="U509" s="219">
        <f t="shared" si="38"/>
        <v>0</v>
      </c>
      <c r="V509" s="368"/>
      <c r="W509" s="390">
        <v>0</v>
      </c>
      <c r="X509" s="368"/>
      <c r="Y509" s="390">
        <v>0</v>
      </c>
      <c r="Z509" s="367"/>
      <c r="AA509" s="367"/>
      <c r="AB509" s="367"/>
      <c r="AC509" s="390">
        <v>0</v>
      </c>
      <c r="AD509" s="390">
        <v>0</v>
      </c>
      <c r="AE509" s="391">
        <v>0</v>
      </c>
      <c r="AF509" s="368"/>
      <c r="AG509" s="390"/>
      <c r="AH509" s="389"/>
    </row>
    <row r="510" spans="1:34">
      <c r="A510" s="459" t="s">
        <v>52</v>
      </c>
      <c r="B510" s="460" t="s">
        <v>820</v>
      </c>
      <c r="C510" s="622"/>
      <c r="D510" s="462">
        <v>223320</v>
      </c>
      <c r="E510" s="463">
        <v>9</v>
      </c>
      <c r="F510" s="217">
        <f t="shared" si="35"/>
        <v>68922</v>
      </c>
      <c r="G510" s="216">
        <f t="shared" si="36"/>
        <v>70675</v>
      </c>
      <c r="H510" s="368">
        <v>20456</v>
      </c>
      <c r="I510" s="390">
        <v>20597</v>
      </c>
      <c r="J510" s="368">
        <v>26736</v>
      </c>
      <c r="K510" s="390">
        <v>24506</v>
      </c>
      <c r="L510" s="367">
        <v>14976</v>
      </c>
      <c r="M510" s="367">
        <v>4698</v>
      </c>
      <c r="N510" s="367">
        <v>2056</v>
      </c>
      <c r="O510" s="390">
        <v>16783</v>
      </c>
      <c r="P510" s="390">
        <v>6229</v>
      </c>
      <c r="Q510" s="391">
        <v>2560</v>
      </c>
      <c r="R510" s="368"/>
      <c r="S510" s="390"/>
      <c r="T510" s="218">
        <f t="shared" si="37"/>
        <v>0</v>
      </c>
      <c r="U510" s="219">
        <f t="shared" si="38"/>
        <v>0</v>
      </c>
      <c r="V510" s="368"/>
      <c r="W510" s="390">
        <v>0</v>
      </c>
      <c r="X510" s="368"/>
      <c r="Y510" s="390">
        <v>0</v>
      </c>
      <c r="Z510" s="367"/>
      <c r="AA510" s="367"/>
      <c r="AB510" s="367"/>
      <c r="AC510" s="390">
        <v>0</v>
      </c>
      <c r="AD510" s="390">
        <v>0</v>
      </c>
      <c r="AE510" s="391">
        <v>0</v>
      </c>
      <c r="AF510" s="368"/>
      <c r="AG510" s="390"/>
      <c r="AH510" s="389"/>
    </row>
    <row r="511" spans="1:34">
      <c r="A511" s="459" t="s">
        <v>52</v>
      </c>
      <c r="B511" s="460" t="s">
        <v>821</v>
      </c>
      <c r="C511" s="622"/>
      <c r="D511" s="462">
        <v>226408</v>
      </c>
      <c r="E511" s="463">
        <v>9</v>
      </c>
      <c r="F511" s="217">
        <f t="shared" si="35"/>
        <v>84023</v>
      </c>
      <c r="G511" s="216">
        <f t="shared" si="36"/>
        <v>79162</v>
      </c>
      <c r="H511" s="368">
        <v>75402</v>
      </c>
      <c r="I511" s="390">
        <v>59417</v>
      </c>
      <c r="J511" s="368">
        <v>8621</v>
      </c>
      <c r="K511" s="390">
        <v>9614</v>
      </c>
      <c r="L511" s="367">
        <v>0</v>
      </c>
      <c r="M511" s="367">
        <v>0</v>
      </c>
      <c r="N511" s="367">
        <v>0</v>
      </c>
      <c r="O511" s="390">
        <v>10131</v>
      </c>
      <c r="P511" s="390">
        <v>0</v>
      </c>
      <c r="Q511" s="391">
        <v>0</v>
      </c>
      <c r="R511" s="368"/>
      <c r="S511" s="390"/>
      <c r="T511" s="218">
        <f t="shared" si="37"/>
        <v>0</v>
      </c>
      <c r="U511" s="219">
        <f t="shared" si="38"/>
        <v>0</v>
      </c>
      <c r="V511" s="368"/>
      <c r="W511" s="390">
        <v>0</v>
      </c>
      <c r="X511" s="368"/>
      <c r="Y511" s="390">
        <v>0</v>
      </c>
      <c r="Z511" s="367"/>
      <c r="AA511" s="367"/>
      <c r="AB511" s="367"/>
      <c r="AC511" s="390">
        <v>0</v>
      </c>
      <c r="AD511" s="390">
        <v>0</v>
      </c>
      <c r="AE511" s="391">
        <v>0</v>
      </c>
      <c r="AF511" s="368"/>
      <c r="AG511" s="390"/>
      <c r="AH511" s="389"/>
    </row>
    <row r="512" spans="1:34">
      <c r="A512" s="459" t="s">
        <v>52</v>
      </c>
      <c r="B512" s="460" t="s">
        <v>822</v>
      </c>
      <c r="C512" s="622"/>
      <c r="D512" s="462">
        <v>225070</v>
      </c>
      <c r="E512" s="463">
        <v>9</v>
      </c>
      <c r="F512" s="217">
        <f t="shared" si="35"/>
        <v>104019</v>
      </c>
      <c r="G512" s="216">
        <f t="shared" si="36"/>
        <v>98061</v>
      </c>
      <c r="H512" s="368">
        <v>64549</v>
      </c>
      <c r="I512" s="390">
        <v>60204</v>
      </c>
      <c r="J512" s="368">
        <v>2970</v>
      </c>
      <c r="K512" s="390">
        <v>3300</v>
      </c>
      <c r="L512" s="367">
        <v>33665</v>
      </c>
      <c r="M512" s="367">
        <v>0</v>
      </c>
      <c r="N512" s="367">
        <v>2835</v>
      </c>
      <c r="O512" s="390">
        <v>31653</v>
      </c>
      <c r="P512" s="390">
        <v>0</v>
      </c>
      <c r="Q512" s="391">
        <v>2904</v>
      </c>
      <c r="R512" s="368"/>
      <c r="S512" s="390"/>
      <c r="T512" s="218">
        <f t="shared" si="37"/>
        <v>0</v>
      </c>
      <c r="U512" s="219">
        <f t="shared" si="38"/>
        <v>0</v>
      </c>
      <c r="V512" s="368"/>
      <c r="W512" s="390">
        <v>0</v>
      </c>
      <c r="X512" s="368"/>
      <c r="Y512" s="390">
        <v>0</v>
      </c>
      <c r="Z512" s="367"/>
      <c r="AA512" s="367"/>
      <c r="AB512" s="367"/>
      <c r="AC512" s="390">
        <v>0</v>
      </c>
      <c r="AD512" s="390">
        <v>0</v>
      </c>
      <c r="AE512" s="391">
        <v>0</v>
      </c>
      <c r="AF512" s="368"/>
      <c r="AG512" s="390"/>
      <c r="AH512" s="389"/>
    </row>
    <row r="513" spans="1:34">
      <c r="A513" s="459" t="s">
        <v>52</v>
      </c>
      <c r="B513" s="460" t="s">
        <v>823</v>
      </c>
      <c r="C513" s="622"/>
      <c r="D513" s="462">
        <v>225371</v>
      </c>
      <c r="E513" s="463">
        <v>9</v>
      </c>
      <c r="F513" s="217">
        <f t="shared" si="35"/>
        <v>95481</v>
      </c>
      <c r="G513" s="216">
        <f t="shared" si="36"/>
        <v>86028</v>
      </c>
      <c r="H513" s="368">
        <v>18908</v>
      </c>
      <c r="I513" s="390">
        <v>17322</v>
      </c>
      <c r="J513" s="368">
        <v>39528</v>
      </c>
      <c r="K513" s="390">
        <v>35920</v>
      </c>
      <c r="L513" s="367">
        <v>35595</v>
      </c>
      <c r="M513" s="367">
        <v>1450</v>
      </c>
      <c r="N513" s="367">
        <v>0</v>
      </c>
      <c r="O513" s="390">
        <v>31739</v>
      </c>
      <c r="P513" s="390">
        <v>1047</v>
      </c>
      <c r="Q513" s="391">
        <v>0</v>
      </c>
      <c r="R513" s="368"/>
      <c r="S513" s="390"/>
      <c r="T513" s="218">
        <f t="shared" si="37"/>
        <v>0</v>
      </c>
      <c r="U513" s="219">
        <f t="shared" si="38"/>
        <v>0</v>
      </c>
      <c r="V513" s="368"/>
      <c r="W513" s="390">
        <v>0</v>
      </c>
      <c r="X513" s="368"/>
      <c r="Y513" s="390">
        <v>0</v>
      </c>
      <c r="Z513" s="367"/>
      <c r="AA513" s="367"/>
      <c r="AB513" s="367"/>
      <c r="AC513" s="390">
        <v>0</v>
      </c>
      <c r="AD513" s="390">
        <v>0</v>
      </c>
      <c r="AE513" s="391">
        <v>0</v>
      </c>
      <c r="AF513" s="368"/>
      <c r="AG513" s="390"/>
      <c r="AH513" s="389"/>
    </row>
    <row r="514" spans="1:34">
      <c r="A514" s="467" t="s">
        <v>52</v>
      </c>
      <c r="B514" s="460" t="s">
        <v>824</v>
      </c>
      <c r="C514" s="622"/>
      <c r="D514" s="462">
        <v>225520</v>
      </c>
      <c r="E514" s="463">
        <v>9</v>
      </c>
      <c r="F514" s="217">
        <f t="shared" si="35"/>
        <v>72201</v>
      </c>
      <c r="G514" s="216">
        <f t="shared" si="36"/>
        <v>64441</v>
      </c>
      <c r="H514" s="368">
        <v>15996</v>
      </c>
      <c r="I514" s="390">
        <v>16181</v>
      </c>
      <c r="J514" s="368">
        <v>29979</v>
      </c>
      <c r="K514" s="390">
        <v>25507</v>
      </c>
      <c r="L514" s="367">
        <v>22774</v>
      </c>
      <c r="M514" s="367">
        <v>3347</v>
      </c>
      <c r="N514" s="367">
        <v>105</v>
      </c>
      <c r="O514" s="390">
        <v>19486</v>
      </c>
      <c r="P514" s="390">
        <v>3249</v>
      </c>
      <c r="Q514" s="391">
        <v>18</v>
      </c>
      <c r="R514" s="368"/>
      <c r="S514" s="390"/>
      <c r="T514" s="218">
        <f t="shared" si="37"/>
        <v>0</v>
      </c>
      <c r="U514" s="219">
        <f t="shared" si="38"/>
        <v>0</v>
      </c>
      <c r="V514" s="368"/>
      <c r="W514" s="390">
        <v>0</v>
      </c>
      <c r="X514" s="368"/>
      <c r="Y514" s="390">
        <v>0</v>
      </c>
      <c r="Z514" s="367"/>
      <c r="AA514" s="367"/>
      <c r="AB514" s="367"/>
      <c r="AC514" s="390">
        <v>0</v>
      </c>
      <c r="AD514" s="390">
        <v>0</v>
      </c>
      <c r="AE514" s="391">
        <v>0</v>
      </c>
      <c r="AF514" s="368"/>
      <c r="AG514" s="390"/>
      <c r="AH514" s="389"/>
    </row>
    <row r="515" spans="1:34">
      <c r="A515" s="467" t="s">
        <v>52</v>
      </c>
      <c r="B515" s="623" t="s">
        <v>825</v>
      </c>
      <c r="C515" s="624"/>
      <c r="D515" s="620">
        <v>441760</v>
      </c>
      <c r="E515" s="621">
        <v>9</v>
      </c>
      <c r="F515" s="217">
        <f t="shared" si="35"/>
        <v>57478</v>
      </c>
      <c r="G515" s="216">
        <f t="shared" si="36"/>
        <v>58972</v>
      </c>
      <c r="H515" s="368">
        <v>52856</v>
      </c>
      <c r="I515" s="390">
        <v>54435</v>
      </c>
      <c r="J515" s="368">
        <v>2099</v>
      </c>
      <c r="K515" s="390">
        <v>1610</v>
      </c>
      <c r="L515" s="367">
        <v>2481</v>
      </c>
      <c r="M515" s="367">
        <v>27</v>
      </c>
      <c r="N515" s="367">
        <v>15</v>
      </c>
      <c r="O515" s="390">
        <v>2891</v>
      </c>
      <c r="P515" s="390">
        <v>30</v>
      </c>
      <c r="Q515" s="391">
        <v>6</v>
      </c>
      <c r="R515" s="368"/>
      <c r="S515" s="390"/>
      <c r="T515" s="218">
        <f t="shared" si="37"/>
        <v>0</v>
      </c>
      <c r="U515" s="219">
        <f t="shared" si="38"/>
        <v>0</v>
      </c>
      <c r="V515" s="368"/>
      <c r="W515" s="390">
        <v>0</v>
      </c>
      <c r="X515" s="368"/>
      <c r="Y515" s="390">
        <v>0</v>
      </c>
      <c r="Z515" s="367"/>
      <c r="AA515" s="367"/>
      <c r="AB515" s="367"/>
      <c r="AC515" s="390">
        <v>0</v>
      </c>
      <c r="AD515" s="390">
        <v>0</v>
      </c>
      <c r="AE515" s="391">
        <v>0</v>
      </c>
      <c r="AF515" s="368"/>
      <c r="AG515" s="390"/>
      <c r="AH515" s="389"/>
    </row>
    <row r="516" spans="1:34">
      <c r="A516" s="467" t="s">
        <v>52</v>
      </c>
      <c r="B516" s="623" t="s">
        <v>826</v>
      </c>
      <c r="C516" s="624" t="s">
        <v>357</v>
      </c>
      <c r="D516" s="620">
        <v>226116</v>
      </c>
      <c r="E516" s="621">
        <v>9</v>
      </c>
      <c r="F516" s="217">
        <f t="shared" si="35"/>
        <v>66859</v>
      </c>
      <c r="G516" s="216">
        <f t="shared" si="36"/>
        <v>46343</v>
      </c>
      <c r="H516" s="368">
        <v>35802</v>
      </c>
      <c r="I516" s="390">
        <v>30790</v>
      </c>
      <c r="J516" s="368">
        <v>3785</v>
      </c>
      <c r="K516" s="390">
        <v>3054</v>
      </c>
      <c r="L516" s="367">
        <v>27272</v>
      </c>
      <c r="M516" s="367">
        <v>0</v>
      </c>
      <c r="N516" s="367">
        <v>0</v>
      </c>
      <c r="O516" s="390">
        <v>12499</v>
      </c>
      <c r="P516" s="390">
        <v>0</v>
      </c>
      <c r="Q516" s="391">
        <v>0</v>
      </c>
      <c r="R516" s="368"/>
      <c r="S516" s="390"/>
      <c r="T516" s="218">
        <f t="shared" si="37"/>
        <v>0</v>
      </c>
      <c r="U516" s="219">
        <f t="shared" si="38"/>
        <v>0</v>
      </c>
      <c r="V516" s="368"/>
      <c r="W516" s="390">
        <v>0</v>
      </c>
      <c r="X516" s="368"/>
      <c r="Y516" s="390">
        <v>0</v>
      </c>
      <c r="Z516" s="367"/>
      <c r="AA516" s="367"/>
      <c r="AB516" s="367"/>
      <c r="AC516" s="390">
        <v>0</v>
      </c>
      <c r="AD516" s="390">
        <v>0</v>
      </c>
      <c r="AE516" s="391">
        <v>0</v>
      </c>
      <c r="AF516" s="368"/>
      <c r="AG516" s="390"/>
      <c r="AH516" s="389"/>
    </row>
    <row r="517" spans="1:34">
      <c r="A517" s="467" t="s">
        <v>52</v>
      </c>
      <c r="B517" s="460" t="s">
        <v>827</v>
      </c>
      <c r="C517" s="622"/>
      <c r="D517" s="462">
        <v>226204</v>
      </c>
      <c r="E517" s="463">
        <v>9</v>
      </c>
      <c r="F517" s="217">
        <f t="shared" si="35"/>
        <v>123816</v>
      </c>
      <c r="G517" s="216">
        <f t="shared" si="36"/>
        <v>130977</v>
      </c>
      <c r="H517" s="368">
        <v>88872</v>
      </c>
      <c r="I517" s="390">
        <v>89946</v>
      </c>
      <c r="J517" s="368">
        <v>19621</v>
      </c>
      <c r="K517" s="390">
        <v>25946</v>
      </c>
      <c r="L517" s="367">
        <v>15323</v>
      </c>
      <c r="M517" s="367">
        <v>0</v>
      </c>
      <c r="N517" s="367">
        <v>0</v>
      </c>
      <c r="O517" s="390">
        <v>15085</v>
      </c>
      <c r="P517" s="390">
        <v>0</v>
      </c>
      <c r="Q517" s="391">
        <v>0</v>
      </c>
      <c r="R517" s="368"/>
      <c r="S517" s="390"/>
      <c r="T517" s="218">
        <f t="shared" si="37"/>
        <v>0</v>
      </c>
      <c r="U517" s="219">
        <f t="shared" si="38"/>
        <v>0</v>
      </c>
      <c r="V517" s="368"/>
      <c r="W517" s="390">
        <v>0</v>
      </c>
      <c r="X517" s="368"/>
      <c r="Y517" s="390">
        <v>0</v>
      </c>
      <c r="Z517" s="367"/>
      <c r="AA517" s="367"/>
      <c r="AB517" s="367"/>
      <c r="AC517" s="390">
        <v>0</v>
      </c>
      <c r="AD517" s="390">
        <v>0</v>
      </c>
      <c r="AE517" s="391">
        <v>0</v>
      </c>
      <c r="AF517" s="368"/>
      <c r="AG517" s="390"/>
      <c r="AH517" s="389"/>
    </row>
    <row r="518" spans="1:34">
      <c r="A518" s="467" t="s">
        <v>52</v>
      </c>
      <c r="B518" s="618" t="s">
        <v>828</v>
      </c>
      <c r="C518" s="619"/>
      <c r="D518" s="462">
        <v>226930</v>
      </c>
      <c r="E518" s="463">
        <v>9</v>
      </c>
      <c r="F518" s="217">
        <f t="shared" si="35"/>
        <v>138980</v>
      </c>
      <c r="G518" s="216">
        <f t="shared" si="36"/>
        <v>139257</v>
      </c>
      <c r="H518" s="368">
        <v>98748</v>
      </c>
      <c r="I518" s="390">
        <v>97433</v>
      </c>
      <c r="J518" s="368">
        <v>0</v>
      </c>
      <c r="K518" s="390">
        <v>0</v>
      </c>
      <c r="L518" s="367">
        <v>40232</v>
      </c>
      <c r="M518" s="367">
        <v>0</v>
      </c>
      <c r="N518" s="367">
        <v>0</v>
      </c>
      <c r="O518" s="390">
        <v>41824</v>
      </c>
      <c r="P518" s="390">
        <v>0</v>
      </c>
      <c r="Q518" s="391">
        <v>0</v>
      </c>
      <c r="R518" s="368"/>
      <c r="S518" s="390"/>
      <c r="T518" s="218">
        <f t="shared" si="37"/>
        <v>0</v>
      </c>
      <c r="U518" s="219">
        <f t="shared" si="38"/>
        <v>0</v>
      </c>
      <c r="V518" s="368"/>
      <c r="W518" s="390">
        <v>0</v>
      </c>
      <c r="X518" s="368"/>
      <c r="Y518" s="390">
        <v>0</v>
      </c>
      <c r="Z518" s="367"/>
      <c r="AA518" s="367"/>
      <c r="AB518" s="367"/>
      <c r="AC518" s="390">
        <v>0</v>
      </c>
      <c r="AD518" s="390">
        <v>0</v>
      </c>
      <c r="AE518" s="391">
        <v>0</v>
      </c>
      <c r="AF518" s="368"/>
      <c r="AG518" s="390"/>
      <c r="AH518" s="389"/>
    </row>
    <row r="519" spans="1:34">
      <c r="A519" s="467" t="s">
        <v>52</v>
      </c>
      <c r="B519" s="460" t="s">
        <v>829</v>
      </c>
      <c r="C519" s="616"/>
      <c r="D519" s="462">
        <v>227225</v>
      </c>
      <c r="E519" s="528">
        <v>9</v>
      </c>
      <c r="F519" s="217">
        <f t="shared" si="35"/>
        <v>67500</v>
      </c>
      <c r="G519" s="216">
        <f t="shared" si="36"/>
        <v>67291</v>
      </c>
      <c r="H519" s="368">
        <v>49051</v>
      </c>
      <c r="I519" s="390">
        <v>41651</v>
      </c>
      <c r="J519" s="368">
        <v>1996</v>
      </c>
      <c r="K519" s="390">
        <v>1966</v>
      </c>
      <c r="L519" s="367">
        <v>16453</v>
      </c>
      <c r="M519" s="367">
        <v>0</v>
      </c>
      <c r="N519" s="367">
        <v>0</v>
      </c>
      <c r="O519" s="390">
        <v>23674</v>
      </c>
      <c r="P519" s="390">
        <v>0</v>
      </c>
      <c r="Q519" s="391">
        <v>0</v>
      </c>
      <c r="R519" s="368"/>
      <c r="S519" s="390"/>
      <c r="T519" s="218">
        <f t="shared" si="37"/>
        <v>0</v>
      </c>
      <c r="U519" s="219">
        <f t="shared" si="38"/>
        <v>0</v>
      </c>
      <c r="V519" s="368"/>
      <c r="W519" s="390">
        <v>0</v>
      </c>
      <c r="X519" s="368"/>
      <c r="Y519" s="390">
        <v>0</v>
      </c>
      <c r="Z519" s="367"/>
      <c r="AA519" s="367"/>
      <c r="AB519" s="367"/>
      <c r="AC519" s="390">
        <v>0</v>
      </c>
      <c r="AD519" s="390">
        <v>0</v>
      </c>
      <c r="AE519" s="391">
        <v>0</v>
      </c>
      <c r="AF519" s="368"/>
      <c r="AG519" s="390"/>
      <c r="AH519" s="389"/>
    </row>
    <row r="520" spans="1:34">
      <c r="A520" s="467" t="s">
        <v>52</v>
      </c>
      <c r="B520" s="460" t="s">
        <v>830</v>
      </c>
      <c r="C520" s="622"/>
      <c r="D520" s="462">
        <v>227304</v>
      </c>
      <c r="E520" s="463">
        <v>9</v>
      </c>
      <c r="F520" s="217">
        <f t="shared" ref="F520:F583" si="39">SUM(H520,J520,L520,M520,N520,R520)</f>
        <v>92156</v>
      </c>
      <c r="G520" s="216">
        <f t="shared" ref="G520:G583" si="40">SUM(I520,K520,O520,P520,Q520,S520)</f>
        <v>81883</v>
      </c>
      <c r="H520" s="368">
        <v>49412</v>
      </c>
      <c r="I520" s="390">
        <v>37448</v>
      </c>
      <c r="J520" s="368">
        <v>8453</v>
      </c>
      <c r="K520" s="390">
        <v>9403</v>
      </c>
      <c r="L520" s="367">
        <v>34291</v>
      </c>
      <c r="M520" s="367">
        <v>0</v>
      </c>
      <c r="N520" s="367">
        <v>0</v>
      </c>
      <c r="O520" s="390">
        <v>35032</v>
      </c>
      <c r="P520" s="390">
        <v>0</v>
      </c>
      <c r="Q520" s="391">
        <v>0</v>
      </c>
      <c r="R520" s="368"/>
      <c r="S520" s="390"/>
      <c r="T520" s="218">
        <f t="shared" ref="T520:T583" si="41">SUM(V520,X520,Z520,AA520,AB520,AF520)</f>
        <v>0</v>
      </c>
      <c r="U520" s="219">
        <f t="shared" ref="U520:U583" si="42">SUM(W520,Y520,AC520,AD520,AE520,AG520)</f>
        <v>0</v>
      </c>
      <c r="V520" s="368"/>
      <c r="W520" s="390">
        <v>0</v>
      </c>
      <c r="X520" s="368"/>
      <c r="Y520" s="390">
        <v>0</v>
      </c>
      <c r="Z520" s="367"/>
      <c r="AA520" s="367"/>
      <c r="AB520" s="367"/>
      <c r="AC520" s="390">
        <v>0</v>
      </c>
      <c r="AD520" s="390">
        <v>0</v>
      </c>
      <c r="AE520" s="391">
        <v>0</v>
      </c>
      <c r="AF520" s="368"/>
      <c r="AG520" s="390"/>
      <c r="AH520" s="389"/>
    </row>
    <row r="521" spans="1:34">
      <c r="A521" s="467" t="s">
        <v>52</v>
      </c>
      <c r="B521" s="460" t="s">
        <v>831</v>
      </c>
      <c r="C521" s="622"/>
      <c r="D521" s="462">
        <v>227401</v>
      </c>
      <c r="E521" s="463">
        <v>9</v>
      </c>
      <c r="F521" s="217">
        <f t="shared" si="39"/>
        <v>113353</v>
      </c>
      <c r="G521" s="216">
        <f t="shared" si="40"/>
        <v>112101</v>
      </c>
      <c r="H521" s="368">
        <v>40736</v>
      </c>
      <c r="I521" s="390">
        <v>35792</v>
      </c>
      <c r="J521" s="368">
        <v>36881</v>
      </c>
      <c r="K521" s="390">
        <v>34242</v>
      </c>
      <c r="L521" s="367">
        <v>32652</v>
      </c>
      <c r="M521" s="367">
        <v>3084</v>
      </c>
      <c r="N521" s="367">
        <v>0</v>
      </c>
      <c r="O521" s="390">
        <v>39194</v>
      </c>
      <c r="P521" s="390">
        <v>2873</v>
      </c>
      <c r="Q521" s="391">
        <v>0</v>
      </c>
      <c r="R521" s="368"/>
      <c r="S521" s="390"/>
      <c r="T521" s="218">
        <f t="shared" si="41"/>
        <v>0</v>
      </c>
      <c r="U521" s="219">
        <f t="shared" si="42"/>
        <v>0</v>
      </c>
      <c r="V521" s="368"/>
      <c r="W521" s="390">
        <v>0</v>
      </c>
      <c r="X521" s="368"/>
      <c r="Y521" s="390">
        <v>0</v>
      </c>
      <c r="Z521" s="367"/>
      <c r="AA521" s="367"/>
      <c r="AB521" s="367"/>
      <c r="AC521" s="390">
        <v>0</v>
      </c>
      <c r="AD521" s="390">
        <v>0</v>
      </c>
      <c r="AE521" s="391">
        <v>0</v>
      </c>
      <c r="AF521" s="368"/>
      <c r="AG521" s="390"/>
      <c r="AH521" s="389"/>
    </row>
    <row r="522" spans="1:34">
      <c r="A522" s="467" t="s">
        <v>52</v>
      </c>
      <c r="B522" s="460" t="s">
        <v>832</v>
      </c>
      <c r="C522" s="622"/>
      <c r="D522" s="462">
        <v>228316</v>
      </c>
      <c r="E522" s="463">
        <v>9</v>
      </c>
      <c r="F522" s="217">
        <f t="shared" si="39"/>
        <v>102183</v>
      </c>
      <c r="G522" s="216">
        <f t="shared" si="40"/>
        <v>98586</v>
      </c>
      <c r="H522" s="368">
        <v>25723</v>
      </c>
      <c r="I522" s="390">
        <v>24595</v>
      </c>
      <c r="J522" s="368">
        <v>49736</v>
      </c>
      <c r="K522" s="390">
        <v>48416</v>
      </c>
      <c r="L522" s="367">
        <v>10665</v>
      </c>
      <c r="M522" s="367">
        <v>16059</v>
      </c>
      <c r="N522" s="367">
        <v>0</v>
      </c>
      <c r="O522" s="390">
        <v>10028</v>
      </c>
      <c r="P522" s="390">
        <v>15547</v>
      </c>
      <c r="Q522" s="391">
        <v>0</v>
      </c>
      <c r="R522" s="368"/>
      <c r="S522" s="390"/>
      <c r="T522" s="218">
        <f t="shared" si="41"/>
        <v>0</v>
      </c>
      <c r="U522" s="219">
        <f t="shared" si="42"/>
        <v>0</v>
      </c>
      <c r="V522" s="368"/>
      <c r="W522" s="390">
        <v>0</v>
      </c>
      <c r="X522" s="368"/>
      <c r="Y522" s="390">
        <v>0</v>
      </c>
      <c r="Z522" s="367"/>
      <c r="AA522" s="367"/>
      <c r="AB522" s="367"/>
      <c r="AC522" s="390">
        <v>0</v>
      </c>
      <c r="AD522" s="390">
        <v>0</v>
      </c>
      <c r="AE522" s="391">
        <v>0</v>
      </c>
      <c r="AF522" s="368"/>
      <c r="AG522" s="390"/>
      <c r="AH522" s="389"/>
    </row>
    <row r="523" spans="1:34">
      <c r="A523" s="467" t="s">
        <v>52</v>
      </c>
      <c r="B523" s="460" t="s">
        <v>833</v>
      </c>
      <c r="C523" s="622"/>
      <c r="D523" s="462">
        <v>228608</v>
      </c>
      <c r="E523" s="463">
        <v>9</v>
      </c>
      <c r="F523" s="217">
        <f t="shared" si="39"/>
        <v>113034</v>
      </c>
      <c r="G523" s="216">
        <f t="shared" si="40"/>
        <v>108589</v>
      </c>
      <c r="H523" s="368">
        <v>63129</v>
      </c>
      <c r="I523" s="390">
        <v>60435</v>
      </c>
      <c r="J523" s="368">
        <v>13333</v>
      </c>
      <c r="K523" s="390">
        <v>13370</v>
      </c>
      <c r="L523" s="367">
        <v>36395</v>
      </c>
      <c r="M523" s="367">
        <v>177</v>
      </c>
      <c r="N523" s="367">
        <v>0</v>
      </c>
      <c r="O523" s="390">
        <v>34618</v>
      </c>
      <c r="P523" s="390">
        <v>166</v>
      </c>
      <c r="Q523" s="391">
        <v>0</v>
      </c>
      <c r="R523" s="368"/>
      <c r="S523" s="390"/>
      <c r="T523" s="218">
        <f t="shared" si="41"/>
        <v>0</v>
      </c>
      <c r="U523" s="219">
        <f t="shared" si="42"/>
        <v>0</v>
      </c>
      <c r="V523" s="368"/>
      <c r="W523" s="390">
        <v>0</v>
      </c>
      <c r="X523" s="368"/>
      <c r="Y523" s="390">
        <v>0</v>
      </c>
      <c r="Z523" s="367"/>
      <c r="AA523" s="367"/>
      <c r="AB523" s="367"/>
      <c r="AC523" s="390">
        <v>0</v>
      </c>
      <c r="AD523" s="390">
        <v>0</v>
      </c>
      <c r="AE523" s="391">
        <v>0</v>
      </c>
      <c r="AF523" s="368"/>
      <c r="AG523" s="390"/>
      <c r="AH523" s="389"/>
    </row>
    <row r="524" spans="1:34">
      <c r="A524" s="467" t="s">
        <v>52</v>
      </c>
      <c r="B524" s="460" t="s">
        <v>834</v>
      </c>
      <c r="C524" s="622"/>
      <c r="D524" s="462">
        <v>228699</v>
      </c>
      <c r="E524" s="463">
        <v>9</v>
      </c>
      <c r="F524" s="217">
        <f t="shared" si="39"/>
        <v>77458</v>
      </c>
      <c r="G524" s="216">
        <f t="shared" si="40"/>
        <v>78255</v>
      </c>
      <c r="H524" s="368">
        <v>57446</v>
      </c>
      <c r="I524" s="390">
        <v>63231</v>
      </c>
      <c r="J524" s="368">
        <v>11714</v>
      </c>
      <c r="K524" s="390">
        <v>6072</v>
      </c>
      <c r="L524" s="367">
        <v>8268</v>
      </c>
      <c r="M524" s="367">
        <v>30</v>
      </c>
      <c r="N524" s="367">
        <v>0</v>
      </c>
      <c r="O524" s="390">
        <v>8916</v>
      </c>
      <c r="P524" s="390">
        <v>0</v>
      </c>
      <c r="Q524" s="391">
        <v>36</v>
      </c>
      <c r="R524" s="368"/>
      <c r="S524" s="390"/>
      <c r="T524" s="218">
        <f t="shared" si="41"/>
        <v>0</v>
      </c>
      <c r="U524" s="219">
        <f t="shared" si="42"/>
        <v>0</v>
      </c>
      <c r="V524" s="368"/>
      <c r="W524" s="390">
        <v>0</v>
      </c>
      <c r="X524" s="368"/>
      <c r="Y524" s="390">
        <v>0</v>
      </c>
      <c r="Z524" s="367"/>
      <c r="AA524" s="367"/>
      <c r="AB524" s="367"/>
      <c r="AC524" s="390">
        <v>0</v>
      </c>
      <c r="AD524" s="390">
        <v>0</v>
      </c>
      <c r="AE524" s="391">
        <v>0</v>
      </c>
      <c r="AF524" s="368"/>
      <c r="AG524" s="390"/>
      <c r="AH524" s="389"/>
    </row>
    <row r="525" spans="1:34">
      <c r="A525" s="467" t="s">
        <v>52</v>
      </c>
      <c r="B525" s="460" t="s">
        <v>835</v>
      </c>
      <c r="C525" s="616"/>
      <c r="D525" s="462">
        <v>229319</v>
      </c>
      <c r="E525" s="463">
        <v>9</v>
      </c>
      <c r="F525" s="217">
        <f t="shared" si="39"/>
        <v>120340</v>
      </c>
      <c r="G525" s="216">
        <f t="shared" si="40"/>
        <v>121406</v>
      </c>
      <c r="H525" s="368">
        <v>108351</v>
      </c>
      <c r="I525" s="390">
        <v>105600</v>
      </c>
      <c r="J525" s="368">
        <v>4814</v>
      </c>
      <c r="K525" s="390">
        <v>8470</v>
      </c>
      <c r="L525" s="367">
        <v>7175</v>
      </c>
      <c r="M525" s="367">
        <v>0</v>
      </c>
      <c r="N525" s="367">
        <v>0</v>
      </c>
      <c r="O525" s="390">
        <v>7336</v>
      </c>
      <c r="P525" s="390">
        <v>0</v>
      </c>
      <c r="Q525" s="391">
        <v>0</v>
      </c>
      <c r="R525" s="368"/>
      <c r="S525" s="390"/>
      <c r="T525" s="218">
        <f t="shared" si="41"/>
        <v>0</v>
      </c>
      <c r="U525" s="219">
        <f t="shared" si="42"/>
        <v>0</v>
      </c>
      <c r="V525" s="368"/>
      <c r="W525" s="390">
        <v>0</v>
      </c>
      <c r="X525" s="368"/>
      <c r="Y525" s="390">
        <v>0</v>
      </c>
      <c r="Z525" s="367"/>
      <c r="AA525" s="367"/>
      <c r="AB525" s="367"/>
      <c r="AC525" s="390">
        <v>0</v>
      </c>
      <c r="AD525" s="390">
        <v>0</v>
      </c>
      <c r="AE525" s="391">
        <v>0</v>
      </c>
      <c r="AF525" s="368"/>
      <c r="AG525" s="390"/>
      <c r="AH525" s="389"/>
    </row>
    <row r="526" spans="1:34">
      <c r="A526" s="467" t="s">
        <v>52</v>
      </c>
      <c r="B526" s="460" t="s">
        <v>836</v>
      </c>
      <c r="C526" s="624"/>
      <c r="D526" s="620">
        <v>229504</v>
      </c>
      <c r="E526" s="621">
        <v>9</v>
      </c>
      <c r="F526" s="217">
        <f t="shared" si="39"/>
        <v>64253</v>
      </c>
      <c r="G526" s="216">
        <f t="shared" si="40"/>
        <v>62837</v>
      </c>
      <c r="H526" s="368">
        <v>8704</v>
      </c>
      <c r="I526" s="390">
        <v>9708</v>
      </c>
      <c r="J526" s="368">
        <v>30997</v>
      </c>
      <c r="K526" s="390">
        <v>33583</v>
      </c>
      <c r="L526" s="367">
        <v>20098</v>
      </c>
      <c r="M526" s="367">
        <v>4454</v>
      </c>
      <c r="N526" s="367">
        <v>0</v>
      </c>
      <c r="O526" s="390">
        <v>16877</v>
      </c>
      <c r="P526" s="390">
        <v>2597</v>
      </c>
      <c r="Q526" s="391">
        <v>72</v>
      </c>
      <c r="R526" s="368"/>
      <c r="S526" s="390"/>
      <c r="T526" s="218">
        <f t="shared" si="41"/>
        <v>0</v>
      </c>
      <c r="U526" s="219">
        <f t="shared" si="42"/>
        <v>0</v>
      </c>
      <c r="V526" s="368"/>
      <c r="W526" s="390">
        <v>0</v>
      </c>
      <c r="X526" s="368"/>
      <c r="Y526" s="390">
        <v>0</v>
      </c>
      <c r="Z526" s="367"/>
      <c r="AA526" s="367"/>
      <c r="AB526" s="367"/>
      <c r="AC526" s="390">
        <v>0</v>
      </c>
      <c r="AD526" s="390">
        <v>0</v>
      </c>
      <c r="AE526" s="391">
        <v>0</v>
      </c>
      <c r="AF526" s="368"/>
      <c r="AG526" s="390"/>
      <c r="AH526" s="389"/>
    </row>
    <row r="527" spans="1:34">
      <c r="A527" s="467" t="s">
        <v>52</v>
      </c>
      <c r="B527" s="460" t="s">
        <v>837</v>
      </c>
      <c r="C527" s="622"/>
      <c r="D527" s="462">
        <v>229540</v>
      </c>
      <c r="E527" s="463">
        <v>9</v>
      </c>
      <c r="F527" s="217">
        <f t="shared" si="39"/>
        <v>79922</v>
      </c>
      <c r="G527" s="216">
        <f t="shared" si="40"/>
        <v>73904</v>
      </c>
      <c r="H527" s="368">
        <v>51936</v>
      </c>
      <c r="I527" s="390">
        <v>47430</v>
      </c>
      <c r="J527" s="368">
        <v>5204</v>
      </c>
      <c r="K527" s="390">
        <v>5029</v>
      </c>
      <c r="L527" s="367">
        <v>18847</v>
      </c>
      <c r="M527" s="367">
        <v>3935</v>
      </c>
      <c r="N527" s="367">
        <v>0</v>
      </c>
      <c r="O527" s="390">
        <v>17761</v>
      </c>
      <c r="P527" s="390">
        <v>3684</v>
      </c>
      <c r="Q527" s="391">
        <v>0</v>
      </c>
      <c r="R527" s="368"/>
      <c r="S527" s="390"/>
      <c r="T527" s="218">
        <f t="shared" si="41"/>
        <v>0</v>
      </c>
      <c r="U527" s="219">
        <f t="shared" si="42"/>
        <v>0</v>
      </c>
      <c r="V527" s="368"/>
      <c r="W527" s="390">
        <v>0</v>
      </c>
      <c r="X527" s="368"/>
      <c r="Y527" s="390">
        <v>0</v>
      </c>
      <c r="Z527" s="367"/>
      <c r="AA527" s="367"/>
      <c r="AB527" s="367"/>
      <c r="AC527" s="390">
        <v>0</v>
      </c>
      <c r="AD527" s="390">
        <v>0</v>
      </c>
      <c r="AE527" s="391">
        <v>0</v>
      </c>
      <c r="AF527" s="368"/>
      <c r="AG527" s="390"/>
      <c r="AH527" s="389"/>
    </row>
    <row r="528" spans="1:34">
      <c r="A528" s="467" t="s">
        <v>52</v>
      </c>
      <c r="B528" s="460" t="s">
        <v>838</v>
      </c>
      <c r="C528" s="622"/>
      <c r="D528" s="462">
        <v>229799</v>
      </c>
      <c r="E528" s="463">
        <v>9</v>
      </c>
      <c r="F528" s="217">
        <f t="shared" si="39"/>
        <v>114287</v>
      </c>
      <c r="G528" s="216">
        <f t="shared" si="40"/>
        <v>113019</v>
      </c>
      <c r="H528" s="368">
        <v>61434</v>
      </c>
      <c r="I528" s="390">
        <v>59747</v>
      </c>
      <c r="J528" s="368">
        <v>18564</v>
      </c>
      <c r="K528" s="390">
        <v>17668</v>
      </c>
      <c r="L528" s="367">
        <v>32050</v>
      </c>
      <c r="M528" s="367">
        <v>2239</v>
      </c>
      <c r="N528" s="367">
        <v>0</v>
      </c>
      <c r="O528" s="390">
        <v>33551</v>
      </c>
      <c r="P528" s="390">
        <v>2053</v>
      </c>
      <c r="Q528" s="391">
        <v>0</v>
      </c>
      <c r="R528" s="368"/>
      <c r="S528" s="390"/>
      <c r="T528" s="218">
        <f t="shared" si="41"/>
        <v>0</v>
      </c>
      <c r="U528" s="219">
        <f t="shared" si="42"/>
        <v>0</v>
      </c>
      <c r="V528" s="368"/>
      <c r="W528" s="390">
        <v>0</v>
      </c>
      <c r="X528" s="368"/>
      <c r="Y528" s="390">
        <v>0</v>
      </c>
      <c r="Z528" s="367"/>
      <c r="AA528" s="367"/>
      <c r="AB528" s="367"/>
      <c r="AC528" s="390">
        <v>0</v>
      </c>
      <c r="AD528" s="390">
        <v>0</v>
      </c>
      <c r="AE528" s="391">
        <v>0</v>
      </c>
      <c r="AF528" s="368"/>
      <c r="AG528" s="390"/>
      <c r="AH528" s="389"/>
    </row>
    <row r="529" spans="1:34">
      <c r="A529" s="467" t="s">
        <v>52</v>
      </c>
      <c r="B529" s="460" t="s">
        <v>839</v>
      </c>
      <c r="C529" s="622"/>
      <c r="D529" s="462">
        <v>229841</v>
      </c>
      <c r="E529" s="463">
        <v>9</v>
      </c>
      <c r="F529" s="217">
        <f t="shared" si="39"/>
        <v>146652</v>
      </c>
      <c r="G529" s="216">
        <f t="shared" si="40"/>
        <v>145055</v>
      </c>
      <c r="H529" s="368">
        <v>37209</v>
      </c>
      <c r="I529" s="390">
        <v>35467</v>
      </c>
      <c r="J529" s="368">
        <v>83202</v>
      </c>
      <c r="K529" s="390">
        <v>83314</v>
      </c>
      <c r="L529" s="367">
        <v>23645</v>
      </c>
      <c r="M529" s="367">
        <v>2590</v>
      </c>
      <c r="N529" s="367">
        <v>6</v>
      </c>
      <c r="O529" s="390">
        <v>23601</v>
      </c>
      <c r="P529" s="390">
        <v>2673</v>
      </c>
      <c r="Q529" s="391">
        <v>0</v>
      </c>
      <c r="R529" s="368"/>
      <c r="S529" s="390"/>
      <c r="T529" s="218">
        <f t="shared" si="41"/>
        <v>0</v>
      </c>
      <c r="U529" s="219">
        <f t="shared" si="42"/>
        <v>0</v>
      </c>
      <c r="V529" s="368"/>
      <c r="W529" s="390">
        <v>0</v>
      </c>
      <c r="X529" s="368"/>
      <c r="Y529" s="390">
        <v>0</v>
      </c>
      <c r="Z529" s="367"/>
      <c r="AA529" s="367"/>
      <c r="AB529" s="367"/>
      <c r="AC529" s="390">
        <v>0</v>
      </c>
      <c r="AD529" s="390">
        <v>0</v>
      </c>
      <c r="AE529" s="391">
        <v>0</v>
      </c>
      <c r="AF529" s="368"/>
      <c r="AG529" s="390"/>
      <c r="AH529" s="389"/>
    </row>
    <row r="530" spans="1:34">
      <c r="A530" s="467" t="s">
        <v>52</v>
      </c>
      <c r="B530" s="460" t="s">
        <v>840</v>
      </c>
      <c r="C530" s="622"/>
      <c r="D530" s="462">
        <v>223922</v>
      </c>
      <c r="E530" s="463">
        <v>10</v>
      </c>
      <c r="F530" s="217">
        <f t="shared" si="39"/>
        <v>27995</v>
      </c>
      <c r="G530" s="216">
        <f t="shared" si="40"/>
        <v>28445</v>
      </c>
      <c r="H530" s="368">
        <v>9437</v>
      </c>
      <c r="I530" s="390">
        <v>11449</v>
      </c>
      <c r="J530" s="368">
        <v>10026</v>
      </c>
      <c r="K530" s="390">
        <v>9854</v>
      </c>
      <c r="L530" s="367">
        <v>7924</v>
      </c>
      <c r="M530" s="367">
        <v>608</v>
      </c>
      <c r="N530" s="367">
        <v>0</v>
      </c>
      <c r="O530" s="390">
        <v>6538</v>
      </c>
      <c r="P530" s="390">
        <v>604</v>
      </c>
      <c r="Q530" s="391">
        <v>0</v>
      </c>
      <c r="R530" s="368"/>
      <c r="S530" s="390"/>
      <c r="T530" s="218">
        <f t="shared" si="41"/>
        <v>0</v>
      </c>
      <c r="U530" s="219">
        <f t="shared" si="42"/>
        <v>0</v>
      </c>
      <c r="V530" s="368"/>
      <c r="W530" s="390">
        <v>0</v>
      </c>
      <c r="X530" s="368"/>
      <c r="Y530" s="390">
        <v>0</v>
      </c>
      <c r="Z530" s="367"/>
      <c r="AA530" s="367"/>
      <c r="AB530" s="367"/>
      <c r="AC530" s="390">
        <v>0</v>
      </c>
      <c r="AD530" s="390">
        <v>0</v>
      </c>
      <c r="AE530" s="391">
        <v>0</v>
      </c>
      <c r="AF530" s="368"/>
      <c r="AG530" s="390"/>
      <c r="AH530" s="389"/>
    </row>
    <row r="531" spans="1:34">
      <c r="A531" s="467" t="s">
        <v>52</v>
      </c>
      <c r="B531" s="460" t="s">
        <v>841</v>
      </c>
      <c r="C531" s="622"/>
      <c r="D531" s="462">
        <v>224891</v>
      </c>
      <c r="E531" s="463">
        <v>10</v>
      </c>
      <c r="F531" s="217">
        <f t="shared" si="39"/>
        <v>23096</v>
      </c>
      <c r="G531" s="216">
        <f t="shared" si="40"/>
        <v>23649</v>
      </c>
      <c r="H531" s="368">
        <v>15333</v>
      </c>
      <c r="I531" s="390">
        <v>15014</v>
      </c>
      <c r="J531" s="368">
        <v>2524</v>
      </c>
      <c r="K531" s="390">
        <v>2570</v>
      </c>
      <c r="L531" s="367">
        <v>1728</v>
      </c>
      <c r="M531" s="367">
        <v>0</v>
      </c>
      <c r="N531" s="367">
        <v>3511</v>
      </c>
      <c r="O531" s="390">
        <v>1789</v>
      </c>
      <c r="P531" s="390">
        <v>36</v>
      </c>
      <c r="Q531" s="391">
        <v>4240</v>
      </c>
      <c r="R531" s="368"/>
      <c r="S531" s="390"/>
      <c r="T531" s="218">
        <f t="shared" si="41"/>
        <v>0</v>
      </c>
      <c r="U531" s="219">
        <f t="shared" si="42"/>
        <v>0</v>
      </c>
      <c r="V531" s="368"/>
      <c r="W531" s="390">
        <v>0</v>
      </c>
      <c r="X531" s="368"/>
      <c r="Y531" s="390">
        <v>0</v>
      </c>
      <c r="Z531" s="367"/>
      <c r="AA531" s="367"/>
      <c r="AB531" s="367"/>
      <c r="AC531" s="390">
        <v>0</v>
      </c>
      <c r="AD531" s="390">
        <v>0</v>
      </c>
      <c r="AE531" s="391">
        <v>0</v>
      </c>
      <c r="AF531" s="368"/>
      <c r="AG531" s="390"/>
      <c r="AH531" s="389"/>
    </row>
    <row r="532" spans="1:34">
      <c r="A532" s="467" t="s">
        <v>52</v>
      </c>
      <c r="B532" s="460" t="s">
        <v>842</v>
      </c>
      <c r="C532" s="622"/>
      <c r="D532" s="462">
        <v>224961</v>
      </c>
      <c r="E532" s="463">
        <v>10</v>
      </c>
      <c r="F532" s="217">
        <f t="shared" si="39"/>
        <v>46135</v>
      </c>
      <c r="G532" s="216">
        <f t="shared" si="40"/>
        <v>43185</v>
      </c>
      <c r="H532" s="368">
        <v>45625</v>
      </c>
      <c r="I532" s="390">
        <v>37102</v>
      </c>
      <c r="J532" s="368">
        <v>380</v>
      </c>
      <c r="K532" s="390">
        <v>313</v>
      </c>
      <c r="L532" s="367">
        <v>91</v>
      </c>
      <c r="M532" s="367">
        <v>0</v>
      </c>
      <c r="N532" s="367">
        <v>39</v>
      </c>
      <c r="O532" s="390">
        <v>5770</v>
      </c>
      <c r="P532" s="390">
        <v>0</v>
      </c>
      <c r="Q532" s="391">
        <v>0</v>
      </c>
      <c r="R532" s="368"/>
      <c r="S532" s="390"/>
      <c r="T532" s="218">
        <f t="shared" si="41"/>
        <v>0</v>
      </c>
      <c r="U532" s="219">
        <f t="shared" si="42"/>
        <v>0</v>
      </c>
      <c r="V532" s="368"/>
      <c r="W532" s="390">
        <v>0</v>
      </c>
      <c r="X532" s="368"/>
      <c r="Y532" s="390">
        <v>0</v>
      </c>
      <c r="Z532" s="367"/>
      <c r="AA532" s="367"/>
      <c r="AB532" s="367"/>
      <c r="AC532" s="390">
        <v>0</v>
      </c>
      <c r="AD532" s="390">
        <v>0</v>
      </c>
      <c r="AE532" s="391">
        <v>0</v>
      </c>
      <c r="AF532" s="368"/>
      <c r="AG532" s="390"/>
      <c r="AH532" s="389"/>
    </row>
    <row r="533" spans="1:34">
      <c r="A533" s="467" t="s">
        <v>52</v>
      </c>
      <c r="B533" s="460" t="s">
        <v>843</v>
      </c>
      <c r="C533" s="624"/>
      <c r="D533" s="620">
        <v>226107</v>
      </c>
      <c r="E533" s="621">
        <v>10</v>
      </c>
      <c r="F533" s="217">
        <f t="shared" si="39"/>
        <v>49973</v>
      </c>
      <c r="G533" s="216">
        <f t="shared" si="40"/>
        <v>46760</v>
      </c>
      <c r="H533" s="368">
        <v>36445</v>
      </c>
      <c r="I533" s="390">
        <v>35212</v>
      </c>
      <c r="J533" s="368">
        <v>2636</v>
      </c>
      <c r="K533" s="390">
        <v>1853</v>
      </c>
      <c r="L533" s="367">
        <v>10892</v>
      </c>
      <c r="M533" s="367">
        <v>0</v>
      </c>
      <c r="N533" s="367">
        <v>0</v>
      </c>
      <c r="O533" s="390">
        <v>9695</v>
      </c>
      <c r="P533" s="390">
        <v>0</v>
      </c>
      <c r="Q533" s="391">
        <v>0</v>
      </c>
      <c r="R533" s="368"/>
      <c r="S533" s="390"/>
      <c r="T533" s="218">
        <f t="shared" si="41"/>
        <v>0</v>
      </c>
      <c r="U533" s="219">
        <f t="shared" si="42"/>
        <v>0</v>
      </c>
      <c r="V533" s="368"/>
      <c r="W533" s="390">
        <v>0</v>
      </c>
      <c r="X533" s="368"/>
      <c r="Y533" s="390">
        <v>0</v>
      </c>
      <c r="Z533" s="367"/>
      <c r="AA533" s="367"/>
      <c r="AB533" s="367"/>
      <c r="AC533" s="390">
        <v>0</v>
      </c>
      <c r="AD533" s="390">
        <v>0</v>
      </c>
      <c r="AE533" s="391">
        <v>0</v>
      </c>
      <c r="AF533" s="368"/>
      <c r="AG533" s="390"/>
      <c r="AH533" s="389"/>
    </row>
    <row r="534" spans="1:34">
      <c r="A534" s="467" t="s">
        <v>52</v>
      </c>
      <c r="B534" s="623" t="s">
        <v>844</v>
      </c>
      <c r="C534" s="624"/>
      <c r="D534" s="617" t="s">
        <v>776</v>
      </c>
      <c r="E534" s="621">
        <v>10</v>
      </c>
      <c r="F534" s="217">
        <f t="shared" si="39"/>
        <v>11853</v>
      </c>
      <c r="G534" s="216">
        <f t="shared" si="40"/>
        <v>28066</v>
      </c>
      <c r="H534" s="368">
        <v>11620</v>
      </c>
      <c r="I534" s="390">
        <v>25260</v>
      </c>
      <c r="J534" s="368">
        <v>0</v>
      </c>
      <c r="K534" s="390">
        <v>0</v>
      </c>
      <c r="L534" s="367">
        <v>233</v>
      </c>
      <c r="M534" s="367">
        <v>0</v>
      </c>
      <c r="N534" s="367">
        <v>0</v>
      </c>
      <c r="O534" s="390">
        <v>2806</v>
      </c>
      <c r="P534" s="390">
        <v>0</v>
      </c>
      <c r="Q534" s="391">
        <v>0</v>
      </c>
      <c r="R534" s="368"/>
      <c r="S534" s="390"/>
      <c r="T534" s="218">
        <f t="shared" si="41"/>
        <v>0</v>
      </c>
      <c r="U534" s="219">
        <f t="shared" si="42"/>
        <v>0</v>
      </c>
      <c r="V534" s="368"/>
      <c r="W534" s="390">
        <v>0</v>
      </c>
      <c r="X534" s="368"/>
      <c r="Y534" s="390">
        <v>0</v>
      </c>
      <c r="Z534" s="367"/>
      <c r="AA534" s="367"/>
      <c r="AB534" s="367"/>
      <c r="AC534" s="390">
        <v>0</v>
      </c>
      <c r="AD534" s="390">
        <v>0</v>
      </c>
      <c r="AE534" s="391">
        <v>0</v>
      </c>
      <c r="AF534" s="368"/>
      <c r="AG534" s="390"/>
      <c r="AH534" s="389"/>
    </row>
    <row r="535" spans="1:34">
      <c r="A535" s="467" t="s">
        <v>52</v>
      </c>
      <c r="B535" s="460" t="s">
        <v>845</v>
      </c>
      <c r="C535" s="622"/>
      <c r="D535" s="462">
        <v>227386</v>
      </c>
      <c r="E535" s="463">
        <v>10</v>
      </c>
      <c r="F535" s="217">
        <f t="shared" si="39"/>
        <v>55745</v>
      </c>
      <c r="G535" s="216">
        <f t="shared" si="40"/>
        <v>55868</v>
      </c>
      <c r="H535" s="368">
        <v>24605</v>
      </c>
      <c r="I535" s="390">
        <v>23987</v>
      </c>
      <c r="J535" s="368">
        <v>8190</v>
      </c>
      <c r="K535" s="390">
        <v>7719</v>
      </c>
      <c r="L535" s="367">
        <v>21861</v>
      </c>
      <c r="M535" s="367">
        <v>1089</v>
      </c>
      <c r="N535" s="367">
        <v>0</v>
      </c>
      <c r="O535" s="390">
        <v>23137</v>
      </c>
      <c r="P535" s="390">
        <v>1025</v>
      </c>
      <c r="Q535" s="391">
        <v>0</v>
      </c>
      <c r="R535" s="368"/>
      <c r="S535" s="390"/>
      <c r="T535" s="218">
        <f t="shared" si="41"/>
        <v>0</v>
      </c>
      <c r="U535" s="219">
        <f t="shared" si="42"/>
        <v>0</v>
      </c>
      <c r="V535" s="368"/>
      <c r="W535" s="390">
        <v>0</v>
      </c>
      <c r="X535" s="368"/>
      <c r="Y535" s="390">
        <v>0</v>
      </c>
      <c r="Z535" s="367"/>
      <c r="AA535" s="367"/>
      <c r="AB535" s="367"/>
      <c r="AC535" s="390">
        <v>0</v>
      </c>
      <c r="AD535" s="390">
        <v>0</v>
      </c>
      <c r="AE535" s="391">
        <v>0</v>
      </c>
      <c r="AF535" s="368"/>
      <c r="AG535" s="390"/>
      <c r="AH535" s="389"/>
    </row>
    <row r="536" spans="1:34">
      <c r="A536" s="467" t="s">
        <v>52</v>
      </c>
      <c r="B536" s="460" t="s">
        <v>846</v>
      </c>
      <c r="C536" s="622"/>
      <c r="D536" s="462">
        <v>227687</v>
      </c>
      <c r="E536" s="463">
        <v>10</v>
      </c>
      <c r="F536" s="217">
        <f t="shared" si="39"/>
        <v>42454</v>
      </c>
      <c r="G536" s="216">
        <f t="shared" si="40"/>
        <v>42905</v>
      </c>
      <c r="H536" s="368">
        <v>12553</v>
      </c>
      <c r="I536" s="390">
        <v>12924</v>
      </c>
      <c r="J536" s="368">
        <v>15462</v>
      </c>
      <c r="K536" s="390">
        <v>16306</v>
      </c>
      <c r="L536" s="367">
        <v>10731</v>
      </c>
      <c r="M536" s="367">
        <v>2958</v>
      </c>
      <c r="N536" s="367">
        <v>750</v>
      </c>
      <c r="O536" s="390">
        <v>10745</v>
      </c>
      <c r="P536" s="390">
        <v>2651</v>
      </c>
      <c r="Q536" s="391">
        <v>279</v>
      </c>
      <c r="R536" s="368"/>
      <c r="S536" s="390"/>
      <c r="T536" s="218">
        <f t="shared" si="41"/>
        <v>0</v>
      </c>
      <c r="U536" s="219">
        <f t="shared" si="42"/>
        <v>0</v>
      </c>
      <c r="V536" s="368"/>
      <c r="W536" s="390">
        <v>0</v>
      </c>
      <c r="X536" s="368"/>
      <c r="Y536" s="390">
        <v>0</v>
      </c>
      <c r="Z536" s="367"/>
      <c r="AA536" s="367"/>
      <c r="AB536" s="367"/>
      <c r="AC536" s="390">
        <v>0</v>
      </c>
      <c r="AD536" s="390">
        <v>0</v>
      </c>
      <c r="AE536" s="391">
        <v>0</v>
      </c>
      <c r="AF536" s="368"/>
      <c r="AG536" s="390"/>
      <c r="AH536" s="389"/>
    </row>
    <row r="537" spans="1:34">
      <c r="A537" s="467" t="s">
        <v>52</v>
      </c>
      <c r="B537" s="460" t="s">
        <v>847</v>
      </c>
      <c r="C537" s="622"/>
      <c r="D537" s="462">
        <v>382911</v>
      </c>
      <c r="E537" s="463">
        <v>10</v>
      </c>
      <c r="F537" s="217">
        <f t="shared" si="39"/>
        <v>2842</v>
      </c>
      <c r="G537" s="216">
        <f t="shared" si="40"/>
        <v>2735</v>
      </c>
      <c r="H537" s="368">
        <v>2815</v>
      </c>
      <c r="I537" s="390">
        <v>2567</v>
      </c>
      <c r="J537" s="368">
        <v>0</v>
      </c>
      <c r="K537" s="390">
        <v>123</v>
      </c>
      <c r="L537" s="367">
        <v>24</v>
      </c>
      <c r="M537" s="367">
        <v>3</v>
      </c>
      <c r="N537" s="367">
        <v>0</v>
      </c>
      <c r="O537" s="390">
        <v>9</v>
      </c>
      <c r="P537" s="390">
        <v>36</v>
      </c>
      <c r="Q537" s="391">
        <v>0</v>
      </c>
      <c r="R537" s="368"/>
      <c r="S537" s="390"/>
      <c r="T537" s="218">
        <f t="shared" si="41"/>
        <v>0</v>
      </c>
      <c r="U537" s="219">
        <f t="shared" si="42"/>
        <v>0</v>
      </c>
      <c r="V537" s="368"/>
      <c r="W537" s="390">
        <v>0</v>
      </c>
      <c r="X537" s="368"/>
      <c r="Y537" s="390">
        <v>0</v>
      </c>
      <c r="Z537" s="367"/>
      <c r="AA537" s="367"/>
      <c r="AB537" s="367"/>
      <c r="AC537" s="390">
        <v>0</v>
      </c>
      <c r="AD537" s="390">
        <v>0</v>
      </c>
      <c r="AE537" s="391">
        <v>0</v>
      </c>
      <c r="AF537" s="368"/>
      <c r="AG537" s="390"/>
      <c r="AH537" s="389"/>
    </row>
    <row r="538" spans="1:34">
      <c r="A538" s="467" t="s">
        <v>52</v>
      </c>
      <c r="B538" s="460" t="s">
        <v>848</v>
      </c>
      <c r="C538" s="622"/>
      <c r="D538" s="462">
        <v>408394</v>
      </c>
      <c r="E538" s="463">
        <v>10</v>
      </c>
      <c r="F538" s="217">
        <f t="shared" si="39"/>
        <v>18824</v>
      </c>
      <c r="G538" s="216">
        <f t="shared" si="40"/>
        <v>19057</v>
      </c>
      <c r="H538" s="485">
        <v>12748</v>
      </c>
      <c r="I538" s="390">
        <v>11517</v>
      </c>
      <c r="J538" s="485">
        <v>621</v>
      </c>
      <c r="K538" s="390">
        <v>1406</v>
      </c>
      <c r="L538" s="367">
        <v>5455</v>
      </c>
      <c r="M538" s="367">
        <v>0</v>
      </c>
      <c r="N538" s="367">
        <v>0</v>
      </c>
      <c r="O538" s="390">
        <v>6134</v>
      </c>
      <c r="P538" s="390">
        <v>0</v>
      </c>
      <c r="Q538" s="391">
        <v>0</v>
      </c>
      <c r="R538" s="485"/>
      <c r="S538" s="390"/>
      <c r="T538" s="218">
        <f t="shared" si="41"/>
        <v>0</v>
      </c>
      <c r="U538" s="219">
        <f t="shared" si="42"/>
        <v>0</v>
      </c>
      <c r="V538" s="485"/>
      <c r="W538" s="390">
        <v>0</v>
      </c>
      <c r="X538" s="485"/>
      <c r="Y538" s="390">
        <v>0</v>
      </c>
      <c r="Z538" s="367"/>
      <c r="AA538" s="367"/>
      <c r="AB538" s="367"/>
      <c r="AC538" s="390">
        <v>0</v>
      </c>
      <c r="AD538" s="390">
        <v>0</v>
      </c>
      <c r="AE538" s="391">
        <v>0</v>
      </c>
      <c r="AF538" s="485"/>
      <c r="AG538" s="390"/>
      <c r="AH538" s="389"/>
    </row>
    <row r="539" spans="1:34">
      <c r="A539" s="467" t="s">
        <v>52</v>
      </c>
      <c r="B539" s="460" t="s">
        <v>849</v>
      </c>
      <c r="C539" s="624"/>
      <c r="D539" s="620">
        <v>229328</v>
      </c>
      <c r="E539" s="621">
        <v>10</v>
      </c>
      <c r="F539" s="217">
        <f t="shared" si="39"/>
        <v>26348</v>
      </c>
      <c r="G539" s="216">
        <f t="shared" si="40"/>
        <v>29183</v>
      </c>
      <c r="H539" s="485">
        <v>5456</v>
      </c>
      <c r="I539" s="390">
        <v>6337</v>
      </c>
      <c r="J539" s="485">
        <v>6388</v>
      </c>
      <c r="K539" s="390">
        <v>6540</v>
      </c>
      <c r="L539" s="367">
        <v>14410</v>
      </c>
      <c r="M539" s="367">
        <v>94</v>
      </c>
      <c r="N539" s="367">
        <v>0</v>
      </c>
      <c r="O539" s="390">
        <v>16288</v>
      </c>
      <c r="P539" s="390">
        <v>18</v>
      </c>
      <c r="Q539" s="391">
        <v>0</v>
      </c>
      <c r="R539" s="485"/>
      <c r="S539" s="390"/>
      <c r="T539" s="218">
        <f t="shared" si="41"/>
        <v>0</v>
      </c>
      <c r="U539" s="219">
        <f t="shared" si="42"/>
        <v>0</v>
      </c>
      <c r="V539" s="485"/>
      <c r="W539" s="390">
        <v>0</v>
      </c>
      <c r="X539" s="485"/>
      <c r="Y539" s="390">
        <v>0</v>
      </c>
      <c r="Z539" s="367"/>
      <c r="AA539" s="367"/>
      <c r="AB539" s="367"/>
      <c r="AC539" s="390">
        <v>0</v>
      </c>
      <c r="AD539" s="390">
        <v>0</v>
      </c>
      <c r="AE539" s="391">
        <v>0</v>
      </c>
      <c r="AF539" s="485"/>
      <c r="AG539" s="390"/>
      <c r="AH539" s="389"/>
    </row>
    <row r="540" spans="1:34">
      <c r="A540" s="467" t="s">
        <v>52</v>
      </c>
      <c r="B540" s="460" t="s">
        <v>850</v>
      </c>
      <c r="C540" s="622"/>
      <c r="D540" s="462">
        <v>229832</v>
      </c>
      <c r="E540" s="463">
        <v>10</v>
      </c>
      <c r="F540" s="217">
        <f t="shared" si="39"/>
        <v>46104</v>
      </c>
      <c r="G540" s="216">
        <f t="shared" si="40"/>
        <v>43246</v>
      </c>
      <c r="H540" s="485">
        <v>13623</v>
      </c>
      <c r="I540" s="390">
        <v>13074</v>
      </c>
      <c r="J540" s="485">
        <v>6840</v>
      </c>
      <c r="K540" s="390">
        <v>6779</v>
      </c>
      <c r="L540" s="367">
        <v>22257</v>
      </c>
      <c r="M540" s="367">
        <v>3378</v>
      </c>
      <c r="N540" s="367">
        <v>6</v>
      </c>
      <c r="O540" s="390">
        <v>19814</v>
      </c>
      <c r="P540" s="390">
        <v>3579</v>
      </c>
      <c r="Q540" s="391">
        <v>0</v>
      </c>
      <c r="R540" s="485"/>
      <c r="S540" s="390"/>
      <c r="T540" s="218">
        <f t="shared" si="41"/>
        <v>0</v>
      </c>
      <c r="U540" s="219">
        <f t="shared" si="42"/>
        <v>0</v>
      </c>
      <c r="V540" s="485"/>
      <c r="W540" s="390">
        <v>0</v>
      </c>
      <c r="X540" s="485"/>
      <c r="Y540" s="390">
        <v>0</v>
      </c>
      <c r="Z540" s="367"/>
      <c r="AA540" s="367"/>
      <c r="AB540" s="367"/>
      <c r="AC540" s="390">
        <v>0</v>
      </c>
      <c r="AD540" s="390">
        <v>0</v>
      </c>
      <c r="AE540" s="391">
        <v>0</v>
      </c>
      <c r="AF540" s="485"/>
      <c r="AG540" s="390"/>
      <c r="AH540" s="389"/>
    </row>
    <row r="541" spans="1:34">
      <c r="A541" s="459" t="s">
        <v>52</v>
      </c>
      <c r="B541" s="460" t="s">
        <v>851</v>
      </c>
      <c r="C541" s="461" t="s">
        <v>852</v>
      </c>
      <c r="D541" s="617" t="s">
        <v>776</v>
      </c>
      <c r="E541" s="463">
        <v>99</v>
      </c>
      <c r="F541" s="217">
        <f t="shared" si="39"/>
        <v>34170</v>
      </c>
      <c r="G541" s="216">
        <f t="shared" si="40"/>
        <v>37352</v>
      </c>
      <c r="H541" s="368">
        <v>33162</v>
      </c>
      <c r="I541" s="390">
        <v>28243</v>
      </c>
      <c r="J541" s="368">
        <v>288</v>
      </c>
      <c r="K541" s="390">
        <v>231</v>
      </c>
      <c r="L541" s="367">
        <v>720</v>
      </c>
      <c r="M541" s="367">
        <v>0</v>
      </c>
      <c r="N541" s="367">
        <v>0</v>
      </c>
      <c r="O541" s="390">
        <v>8797</v>
      </c>
      <c r="P541" s="390">
        <v>81</v>
      </c>
      <c r="Q541" s="391">
        <v>0</v>
      </c>
      <c r="R541" s="368"/>
      <c r="S541" s="390"/>
      <c r="T541" s="218">
        <f t="shared" si="41"/>
        <v>3894</v>
      </c>
      <c r="U541" s="219">
        <f t="shared" si="42"/>
        <v>4624</v>
      </c>
      <c r="V541" s="368">
        <v>3456</v>
      </c>
      <c r="W541" s="390">
        <v>3340</v>
      </c>
      <c r="X541" s="368">
        <v>27</v>
      </c>
      <c r="Y541" s="390">
        <v>75</v>
      </c>
      <c r="Z541" s="367">
        <v>411</v>
      </c>
      <c r="AA541" s="367">
        <v>0</v>
      </c>
      <c r="AB541" s="367">
        <v>0</v>
      </c>
      <c r="AC541" s="390">
        <v>1209</v>
      </c>
      <c r="AD541" s="390">
        <v>0</v>
      </c>
      <c r="AE541" s="391">
        <v>0</v>
      </c>
      <c r="AF541" s="368"/>
      <c r="AG541" s="390"/>
      <c r="AH541" s="389"/>
    </row>
    <row r="542" spans="1:34">
      <c r="A542" s="459" t="s">
        <v>52</v>
      </c>
      <c r="B542" s="499" t="s">
        <v>853</v>
      </c>
      <c r="C542" s="461" t="s">
        <v>854</v>
      </c>
      <c r="D542" s="617" t="s">
        <v>776</v>
      </c>
      <c r="E542" s="463">
        <v>99</v>
      </c>
      <c r="F542" s="217">
        <f t="shared" si="39"/>
        <v>0</v>
      </c>
      <c r="G542" s="216">
        <f t="shared" si="40"/>
        <v>0</v>
      </c>
      <c r="H542" s="368"/>
      <c r="I542" s="390">
        <v>0</v>
      </c>
      <c r="J542" s="368"/>
      <c r="K542" s="390">
        <v>0</v>
      </c>
      <c r="L542" s="367"/>
      <c r="M542" s="367"/>
      <c r="N542" s="367"/>
      <c r="O542" s="390">
        <v>0</v>
      </c>
      <c r="P542" s="390">
        <v>0</v>
      </c>
      <c r="Q542" s="391">
        <v>0</v>
      </c>
      <c r="R542" s="368"/>
      <c r="S542" s="390"/>
      <c r="T542" s="218">
        <f t="shared" si="41"/>
        <v>0</v>
      </c>
      <c r="U542" s="219">
        <f t="shared" si="42"/>
        <v>2191</v>
      </c>
      <c r="V542" s="368"/>
      <c r="W542" s="390">
        <v>2191</v>
      </c>
      <c r="X542" s="368"/>
      <c r="Y542" s="390">
        <v>0</v>
      </c>
      <c r="Z542" s="367"/>
      <c r="AA542" s="367"/>
      <c r="AB542" s="367"/>
      <c r="AC542" s="390">
        <v>0</v>
      </c>
      <c r="AD542" s="390">
        <v>0</v>
      </c>
      <c r="AE542" s="391">
        <v>0</v>
      </c>
      <c r="AF542" s="368"/>
      <c r="AG542" s="390"/>
      <c r="AH542" s="389"/>
    </row>
    <row r="543" spans="1:34" ht="15">
      <c r="A543" s="629" t="s">
        <v>53</v>
      </c>
      <c r="B543" s="630" t="s">
        <v>857</v>
      </c>
      <c r="C543" s="631"/>
      <c r="D543" s="632">
        <v>232186</v>
      </c>
      <c r="E543" s="536">
        <v>1</v>
      </c>
      <c r="F543" s="217">
        <f t="shared" si="39"/>
        <v>601513</v>
      </c>
      <c r="G543" s="216">
        <f t="shared" si="40"/>
        <v>620785.5</v>
      </c>
      <c r="H543" s="368">
        <v>542533</v>
      </c>
      <c r="I543" s="633">
        <v>554395</v>
      </c>
      <c r="J543" s="368">
        <v>20354</v>
      </c>
      <c r="K543" s="634">
        <v>20408.5</v>
      </c>
      <c r="L543" s="367">
        <v>33469</v>
      </c>
      <c r="M543" s="367">
        <v>5157</v>
      </c>
      <c r="N543" s="367"/>
      <c r="O543" s="635">
        <v>41311</v>
      </c>
      <c r="P543" s="636">
        <v>4671</v>
      </c>
      <c r="Q543" s="391"/>
      <c r="R543" s="368"/>
      <c r="S543" s="633"/>
      <c r="T543" s="218">
        <f t="shared" si="41"/>
        <v>171885.6</v>
      </c>
      <c r="U543" s="219">
        <f t="shared" si="42"/>
        <v>166366.5</v>
      </c>
      <c r="V543" s="368">
        <v>130479.6</v>
      </c>
      <c r="W543" s="637">
        <v>123347</v>
      </c>
      <c r="X543" s="368">
        <v>25485</v>
      </c>
      <c r="Y543" s="638">
        <v>24837.5</v>
      </c>
      <c r="Z543" s="367">
        <v>12220</v>
      </c>
      <c r="AA543" s="367">
        <v>3701</v>
      </c>
      <c r="AB543" s="367"/>
      <c r="AC543" s="647">
        <v>14670</v>
      </c>
      <c r="AD543" s="639">
        <v>3512</v>
      </c>
      <c r="AE543" s="391"/>
      <c r="AF543" s="368"/>
      <c r="AG543" s="633"/>
      <c r="AH543" s="389"/>
    </row>
    <row r="544" spans="1:34" ht="15">
      <c r="A544" s="629" t="s">
        <v>53</v>
      </c>
      <c r="B544" s="585" t="s">
        <v>858</v>
      </c>
      <c r="C544" s="586"/>
      <c r="D544" s="632">
        <v>232982</v>
      </c>
      <c r="E544" s="536">
        <v>1</v>
      </c>
      <c r="F544" s="217">
        <f t="shared" si="39"/>
        <v>516289</v>
      </c>
      <c r="G544" s="216">
        <f t="shared" si="40"/>
        <v>523299</v>
      </c>
      <c r="H544" s="368">
        <v>432956</v>
      </c>
      <c r="I544" s="633">
        <v>431867</v>
      </c>
      <c r="J544" s="368">
        <v>1045</v>
      </c>
      <c r="K544" s="634">
        <v>838</v>
      </c>
      <c r="L544" s="367">
        <v>55834</v>
      </c>
      <c r="M544" s="367">
        <v>26454</v>
      </c>
      <c r="N544" s="367"/>
      <c r="O544" s="635">
        <v>64847</v>
      </c>
      <c r="P544" s="636">
        <v>25747</v>
      </c>
      <c r="Q544" s="391"/>
      <c r="R544" s="368"/>
      <c r="S544" s="633"/>
      <c r="T544" s="218">
        <f t="shared" si="41"/>
        <v>72248</v>
      </c>
      <c r="U544" s="219">
        <f t="shared" si="42"/>
        <v>69982</v>
      </c>
      <c r="V544" s="368">
        <v>46156</v>
      </c>
      <c r="W544" s="637">
        <v>42556</v>
      </c>
      <c r="X544" s="368">
        <v>2635</v>
      </c>
      <c r="Y544" s="638">
        <v>1920</v>
      </c>
      <c r="Z544" s="367">
        <v>12808</v>
      </c>
      <c r="AA544" s="367">
        <v>10649</v>
      </c>
      <c r="AB544" s="367"/>
      <c r="AC544" s="647">
        <v>14476</v>
      </c>
      <c r="AD544" s="639">
        <v>11030</v>
      </c>
      <c r="AE544" s="391"/>
      <c r="AF544" s="368"/>
      <c r="AG544" s="633"/>
      <c r="AH544" s="389"/>
    </row>
    <row r="545" spans="1:34" ht="15">
      <c r="A545" s="629" t="s">
        <v>53</v>
      </c>
      <c r="B545" s="585" t="s">
        <v>859</v>
      </c>
      <c r="C545" s="586"/>
      <c r="D545" s="632">
        <v>234076</v>
      </c>
      <c r="E545" s="536">
        <v>1</v>
      </c>
      <c r="F545" s="217">
        <f t="shared" si="39"/>
        <v>470209</v>
      </c>
      <c r="G545" s="216">
        <f t="shared" si="40"/>
        <v>483467.5</v>
      </c>
      <c r="H545" s="368">
        <v>434404</v>
      </c>
      <c r="I545" s="633">
        <v>444796</v>
      </c>
      <c r="J545" s="368">
        <v>32728</v>
      </c>
      <c r="K545" s="634">
        <v>35646.5</v>
      </c>
      <c r="L545" s="367">
        <v>2936</v>
      </c>
      <c r="M545" s="367">
        <v>141</v>
      </c>
      <c r="N545" s="367"/>
      <c r="O545" s="635">
        <v>2884</v>
      </c>
      <c r="P545" s="636">
        <v>141</v>
      </c>
      <c r="Q545" s="391"/>
      <c r="R545" s="368"/>
      <c r="S545" s="633"/>
      <c r="T545" s="218">
        <f t="shared" si="41"/>
        <v>187517.5</v>
      </c>
      <c r="U545" s="219">
        <f t="shared" si="42"/>
        <v>183654.9</v>
      </c>
      <c r="V545" s="368">
        <v>168677.5</v>
      </c>
      <c r="W545" s="637">
        <v>165697.1</v>
      </c>
      <c r="X545" s="368">
        <v>10719</v>
      </c>
      <c r="Y545" s="638">
        <v>9858</v>
      </c>
      <c r="Z545" s="367">
        <v>7198</v>
      </c>
      <c r="AA545" s="367">
        <v>923</v>
      </c>
      <c r="AB545" s="367"/>
      <c r="AC545" s="647">
        <v>6597</v>
      </c>
      <c r="AD545" s="639">
        <v>1502.8</v>
      </c>
      <c r="AE545" s="391"/>
      <c r="AF545" s="368"/>
      <c r="AG545" s="633"/>
      <c r="AH545" s="389"/>
    </row>
    <row r="546" spans="1:34" ht="15">
      <c r="A546" s="629" t="s">
        <v>53</v>
      </c>
      <c r="B546" s="585" t="s">
        <v>860</v>
      </c>
      <c r="C546" s="586"/>
      <c r="D546" s="632">
        <v>233921</v>
      </c>
      <c r="E546" s="536">
        <v>1</v>
      </c>
      <c r="F546" s="217">
        <f t="shared" si="39"/>
        <v>757119</v>
      </c>
      <c r="G546" s="216">
        <f t="shared" si="40"/>
        <v>761729</v>
      </c>
      <c r="H546" s="368">
        <v>745471</v>
      </c>
      <c r="I546" s="633">
        <v>745439</v>
      </c>
      <c r="J546" s="368">
        <v>278</v>
      </c>
      <c r="K546" s="634">
        <v>394</v>
      </c>
      <c r="L546" s="367">
        <v>10572</v>
      </c>
      <c r="M546" s="367">
        <v>798</v>
      </c>
      <c r="N546" s="367"/>
      <c r="O546" s="635">
        <v>15151</v>
      </c>
      <c r="P546" s="636">
        <v>745</v>
      </c>
      <c r="Q546" s="391"/>
      <c r="R546" s="368"/>
      <c r="S546" s="633"/>
      <c r="T546" s="218">
        <f t="shared" si="41"/>
        <v>146427.4</v>
      </c>
      <c r="U546" s="219">
        <f t="shared" si="42"/>
        <v>144439</v>
      </c>
      <c r="V546" s="368">
        <v>111028.4</v>
      </c>
      <c r="W546" s="637">
        <v>110389</v>
      </c>
      <c r="X546" s="368">
        <v>21839</v>
      </c>
      <c r="Y546" s="638">
        <v>21116</v>
      </c>
      <c r="Z546" s="367">
        <v>9041</v>
      </c>
      <c r="AA546" s="367">
        <v>4519</v>
      </c>
      <c r="AB546" s="367"/>
      <c r="AC546" s="647">
        <v>8784</v>
      </c>
      <c r="AD546" s="639">
        <v>4150</v>
      </c>
      <c r="AE546" s="391"/>
      <c r="AF546" s="368"/>
      <c r="AG546" s="633"/>
      <c r="AH546" s="389"/>
    </row>
    <row r="547" spans="1:34" ht="15">
      <c r="A547" s="629" t="s">
        <v>53</v>
      </c>
      <c r="B547" s="585" t="s">
        <v>861</v>
      </c>
      <c r="C547" s="586"/>
      <c r="D547" s="632">
        <v>231624</v>
      </c>
      <c r="E547" s="536">
        <v>2</v>
      </c>
      <c r="F547" s="217">
        <f t="shared" si="39"/>
        <v>183796.4</v>
      </c>
      <c r="G547" s="216">
        <f t="shared" si="40"/>
        <v>184836.8</v>
      </c>
      <c r="H547" s="368">
        <v>179647</v>
      </c>
      <c r="I547" s="633">
        <v>180540.5</v>
      </c>
      <c r="J547" s="368">
        <v>4099.3999999999996</v>
      </c>
      <c r="K547" s="634">
        <v>4173.3</v>
      </c>
      <c r="L547" s="367">
        <v>0</v>
      </c>
      <c r="M547" s="367">
        <v>50</v>
      </c>
      <c r="N547" s="367"/>
      <c r="O547" s="635">
        <v>69</v>
      </c>
      <c r="P547" s="636">
        <v>54</v>
      </c>
      <c r="Q547" s="391"/>
      <c r="R547" s="368"/>
      <c r="S547" s="633"/>
      <c r="T547" s="218">
        <f t="shared" si="41"/>
        <v>54881</v>
      </c>
      <c r="U547" s="219">
        <f t="shared" si="42"/>
        <v>55441.5</v>
      </c>
      <c r="V547" s="368">
        <v>50030.5</v>
      </c>
      <c r="W547" s="637">
        <v>50737</v>
      </c>
      <c r="X547" s="368">
        <v>4757.5</v>
      </c>
      <c r="Y547" s="638">
        <v>4587.5</v>
      </c>
      <c r="Z547" s="367">
        <v>0</v>
      </c>
      <c r="AA547" s="367">
        <v>93</v>
      </c>
      <c r="AB547" s="367"/>
      <c r="AC547" s="647">
        <v>0</v>
      </c>
      <c r="AD547" s="639">
        <v>117</v>
      </c>
      <c r="AE547" s="391"/>
      <c r="AF547" s="368"/>
      <c r="AG547" s="633"/>
      <c r="AH547" s="389"/>
    </row>
    <row r="548" spans="1:34" ht="15">
      <c r="A548" s="629" t="s">
        <v>53</v>
      </c>
      <c r="B548" s="585" t="s">
        <v>862</v>
      </c>
      <c r="C548" s="586" t="s">
        <v>895</v>
      </c>
      <c r="D548" s="632">
        <v>234030</v>
      </c>
      <c r="E548" s="536">
        <v>2</v>
      </c>
      <c r="F548" s="217">
        <f t="shared" si="39"/>
        <v>651527.5</v>
      </c>
      <c r="G548" s="216">
        <f t="shared" si="40"/>
        <v>655957.5</v>
      </c>
      <c r="H548" s="368">
        <v>608404</v>
      </c>
      <c r="I548" s="633">
        <v>602045.5</v>
      </c>
      <c r="J548" s="368">
        <v>8221</v>
      </c>
      <c r="K548" s="634">
        <v>8065</v>
      </c>
      <c r="L548" s="367">
        <v>34902.5</v>
      </c>
      <c r="M548" s="367">
        <v>0</v>
      </c>
      <c r="N548" s="367"/>
      <c r="O548" s="635">
        <v>44890</v>
      </c>
      <c r="P548" s="636">
        <v>957</v>
      </c>
      <c r="Q548" s="391"/>
      <c r="R548" s="368"/>
      <c r="S548" s="633"/>
      <c r="T548" s="218">
        <f t="shared" si="41"/>
        <v>132733.5</v>
      </c>
      <c r="U548" s="219">
        <f t="shared" si="42"/>
        <v>131586.5</v>
      </c>
      <c r="V548" s="368">
        <v>116745.5</v>
      </c>
      <c r="W548" s="637">
        <v>116352.5</v>
      </c>
      <c r="X548" s="368">
        <v>7056</v>
      </c>
      <c r="Y548" s="638">
        <v>5443</v>
      </c>
      <c r="Z548" s="367">
        <v>8932</v>
      </c>
      <c r="AA548" s="367">
        <v>0</v>
      </c>
      <c r="AB548" s="367"/>
      <c r="AC548" s="647">
        <v>8670</v>
      </c>
      <c r="AD548" s="639">
        <v>1121</v>
      </c>
      <c r="AE548" s="391"/>
      <c r="AF548" s="368"/>
      <c r="AG548" s="633"/>
      <c r="AH548" s="389"/>
    </row>
    <row r="549" spans="1:34" ht="15">
      <c r="A549" s="629" t="s">
        <v>53</v>
      </c>
      <c r="B549" s="585" t="s">
        <v>863</v>
      </c>
      <c r="C549" s="586"/>
      <c r="D549" s="632">
        <v>232423</v>
      </c>
      <c r="E549" s="536">
        <v>3</v>
      </c>
      <c r="F549" s="217">
        <f t="shared" si="39"/>
        <v>552495</v>
      </c>
      <c r="G549" s="216">
        <f t="shared" si="40"/>
        <v>562519</v>
      </c>
      <c r="H549" s="368">
        <v>517758</v>
      </c>
      <c r="I549" s="633">
        <v>529318</v>
      </c>
      <c r="J549" s="368">
        <v>12243</v>
      </c>
      <c r="K549" s="634">
        <v>10963</v>
      </c>
      <c r="L549" s="367">
        <v>22473</v>
      </c>
      <c r="M549" s="367">
        <v>21</v>
      </c>
      <c r="N549" s="367"/>
      <c r="O549" s="635">
        <v>22226</v>
      </c>
      <c r="P549" s="636">
        <v>12</v>
      </c>
      <c r="Q549" s="391"/>
      <c r="R549" s="368"/>
      <c r="S549" s="633"/>
      <c r="T549" s="218">
        <f t="shared" si="41"/>
        <v>34795</v>
      </c>
      <c r="U549" s="219">
        <f t="shared" si="42"/>
        <v>35321</v>
      </c>
      <c r="V549" s="368">
        <v>28233</v>
      </c>
      <c r="W549" s="637">
        <v>28199</v>
      </c>
      <c r="X549" s="368">
        <v>2621</v>
      </c>
      <c r="Y549" s="638">
        <v>2513</v>
      </c>
      <c r="Z549" s="367">
        <v>3914</v>
      </c>
      <c r="AA549" s="367">
        <v>27</v>
      </c>
      <c r="AB549" s="367"/>
      <c r="AC549" s="647">
        <v>4546</v>
      </c>
      <c r="AD549" s="639">
        <v>63</v>
      </c>
      <c r="AE549" s="391"/>
      <c r="AF549" s="368"/>
      <c r="AG549" s="633"/>
      <c r="AH549" s="389"/>
    </row>
    <row r="550" spans="1:34" ht="15" customHeight="1">
      <c r="A550" s="629" t="s">
        <v>53</v>
      </c>
      <c r="B550" s="585" t="s">
        <v>864</v>
      </c>
      <c r="C550" s="640"/>
      <c r="D550" s="641">
        <v>232566</v>
      </c>
      <c r="E550" s="648">
        <v>3</v>
      </c>
      <c r="F550" s="217">
        <f t="shared" si="39"/>
        <v>129648</v>
      </c>
      <c r="G550" s="216">
        <f t="shared" si="40"/>
        <v>133119.5</v>
      </c>
      <c r="H550" s="368">
        <v>118825</v>
      </c>
      <c r="I550" s="633">
        <v>121139.5</v>
      </c>
      <c r="J550" s="368">
        <v>359</v>
      </c>
      <c r="K550" s="634">
        <v>653</v>
      </c>
      <c r="L550" s="367">
        <v>10034</v>
      </c>
      <c r="M550" s="367">
        <v>430</v>
      </c>
      <c r="N550" s="367"/>
      <c r="O550" s="635">
        <v>11070</v>
      </c>
      <c r="P550" s="636">
        <v>257</v>
      </c>
      <c r="Q550" s="391"/>
      <c r="R550" s="368"/>
      <c r="S550" s="633"/>
      <c r="T550" s="218">
        <f t="shared" si="41"/>
        <v>7268</v>
      </c>
      <c r="U550" s="219">
        <f t="shared" si="42"/>
        <v>8242</v>
      </c>
      <c r="V550" s="368">
        <v>3831</v>
      </c>
      <c r="W550" s="637">
        <v>3740</v>
      </c>
      <c r="X550" s="368">
        <v>653</v>
      </c>
      <c r="Y550" s="638">
        <v>1008</v>
      </c>
      <c r="Z550" s="367">
        <v>2673</v>
      </c>
      <c r="AA550" s="367">
        <v>111</v>
      </c>
      <c r="AB550" s="367"/>
      <c r="AC550" s="647">
        <v>3236</v>
      </c>
      <c r="AD550" s="639">
        <v>258</v>
      </c>
      <c r="AE550" s="391"/>
      <c r="AF550" s="368"/>
      <c r="AG550" s="633"/>
      <c r="AH550" s="389"/>
    </row>
    <row r="551" spans="1:34" ht="15" customHeight="1">
      <c r="A551" s="629" t="s">
        <v>53</v>
      </c>
      <c r="B551" s="585" t="s">
        <v>865</v>
      </c>
      <c r="C551" s="586"/>
      <c r="D551" s="632">
        <v>232937</v>
      </c>
      <c r="E551" s="536">
        <v>3</v>
      </c>
      <c r="F551" s="217">
        <f t="shared" si="39"/>
        <v>153969</v>
      </c>
      <c r="G551" s="216">
        <f t="shared" si="40"/>
        <v>156194</v>
      </c>
      <c r="H551" s="368">
        <v>135665</v>
      </c>
      <c r="I551" s="633">
        <v>124660</v>
      </c>
      <c r="J551" s="368">
        <v>18304</v>
      </c>
      <c r="K551" s="634">
        <v>3417</v>
      </c>
      <c r="L551" s="367">
        <v>0</v>
      </c>
      <c r="M551" s="367">
        <v>0</v>
      </c>
      <c r="N551" s="367"/>
      <c r="O551" s="635">
        <v>28117</v>
      </c>
      <c r="P551" s="636">
        <v>0</v>
      </c>
      <c r="Q551" s="391"/>
      <c r="R551" s="368"/>
      <c r="S551" s="633"/>
      <c r="T551" s="218">
        <f t="shared" si="41"/>
        <v>11650</v>
      </c>
      <c r="U551" s="219">
        <f t="shared" si="42"/>
        <v>12095</v>
      </c>
      <c r="V551" s="368">
        <v>9922</v>
      </c>
      <c r="W551" s="637">
        <v>9936</v>
      </c>
      <c r="X551" s="368">
        <v>1728</v>
      </c>
      <c r="Y551" s="638">
        <v>0</v>
      </c>
      <c r="Z551" s="367">
        <v>0</v>
      </c>
      <c r="AA551" s="367">
        <v>0</v>
      </c>
      <c r="AB551" s="367"/>
      <c r="AC551" s="647">
        <v>2159</v>
      </c>
      <c r="AD551" s="639">
        <v>0</v>
      </c>
      <c r="AE551" s="391"/>
      <c r="AF551" s="368"/>
      <c r="AG551" s="633"/>
      <c r="AH551" s="389"/>
    </row>
    <row r="552" spans="1:34" ht="15" customHeight="1">
      <c r="A552" s="629" t="s">
        <v>53</v>
      </c>
      <c r="B552" s="585" t="s">
        <v>866</v>
      </c>
      <c r="C552" s="586" t="s">
        <v>285</v>
      </c>
      <c r="D552" s="632">
        <v>233277</v>
      </c>
      <c r="E552" s="648">
        <v>3</v>
      </c>
      <c r="F552" s="217">
        <f t="shared" si="39"/>
        <v>260127</v>
      </c>
      <c r="G552" s="216">
        <f t="shared" si="40"/>
        <v>264082</v>
      </c>
      <c r="H552" s="368">
        <v>241996</v>
      </c>
      <c r="I552" s="633">
        <v>240132</v>
      </c>
      <c r="J552" s="368">
        <v>4651</v>
      </c>
      <c r="K552" s="634">
        <v>4571</v>
      </c>
      <c r="L552" s="367">
        <v>11600</v>
      </c>
      <c r="M552" s="367">
        <v>1880</v>
      </c>
      <c r="N552" s="367"/>
      <c r="O552" s="635">
        <v>17259</v>
      </c>
      <c r="P552" s="636">
        <v>2120</v>
      </c>
      <c r="Q552" s="391"/>
      <c r="R552" s="368"/>
      <c r="S552" s="633"/>
      <c r="T552" s="218">
        <f t="shared" si="41"/>
        <v>20688</v>
      </c>
      <c r="U552" s="219">
        <f t="shared" si="42"/>
        <v>20859</v>
      </c>
      <c r="V552" s="368">
        <v>13288</v>
      </c>
      <c r="W552" s="637">
        <v>12537</v>
      </c>
      <c r="X552" s="368">
        <v>2957</v>
      </c>
      <c r="Y552" s="638">
        <v>3366</v>
      </c>
      <c r="Z552" s="367">
        <v>2408</v>
      </c>
      <c r="AA552" s="367">
        <v>2035</v>
      </c>
      <c r="AB552" s="367"/>
      <c r="AC552" s="647">
        <v>2355</v>
      </c>
      <c r="AD552" s="639">
        <v>2601</v>
      </c>
      <c r="AE552" s="391"/>
      <c r="AF552" s="368"/>
      <c r="AG552" s="633"/>
      <c r="AH552" s="389"/>
    </row>
    <row r="553" spans="1:34" ht="15" customHeight="1">
      <c r="A553" s="629" t="s">
        <v>53</v>
      </c>
      <c r="B553" s="630" t="s">
        <v>867</v>
      </c>
      <c r="C553" s="640"/>
      <c r="D553" s="632">
        <v>232681</v>
      </c>
      <c r="E553" s="648">
        <v>3</v>
      </c>
      <c r="F553" s="217">
        <f t="shared" si="39"/>
        <v>124178</v>
      </c>
      <c r="G553" s="216">
        <f t="shared" si="40"/>
        <v>120254</v>
      </c>
      <c r="H553" s="368">
        <v>120605</v>
      </c>
      <c r="I553" s="633">
        <v>115261</v>
      </c>
      <c r="J553" s="368">
        <v>0</v>
      </c>
      <c r="K553" s="634">
        <v>0</v>
      </c>
      <c r="L553" s="367">
        <v>3393</v>
      </c>
      <c r="M553" s="367">
        <v>180</v>
      </c>
      <c r="N553" s="367"/>
      <c r="O553" s="635">
        <v>4960</v>
      </c>
      <c r="P553" s="636">
        <v>33</v>
      </c>
      <c r="Q553" s="391"/>
      <c r="R553" s="368"/>
      <c r="S553" s="633"/>
      <c r="T553" s="218">
        <f t="shared" si="41"/>
        <v>7323.8</v>
      </c>
      <c r="U553" s="219">
        <f t="shared" si="42"/>
        <v>5868.2000000000007</v>
      </c>
      <c r="V553" s="368">
        <v>6185.8</v>
      </c>
      <c r="W553" s="637">
        <v>3825.8</v>
      </c>
      <c r="X553" s="368">
        <v>0</v>
      </c>
      <c r="Y553" s="638">
        <v>0</v>
      </c>
      <c r="Z553" s="367">
        <v>1138</v>
      </c>
      <c r="AA553" s="367">
        <v>0</v>
      </c>
      <c r="AB553" s="367"/>
      <c r="AC553" s="647">
        <v>2036.4</v>
      </c>
      <c r="AD553" s="639">
        <v>6</v>
      </c>
      <c r="AE553" s="391"/>
      <c r="AF553" s="368"/>
      <c r="AG553" s="633"/>
      <c r="AH553" s="389"/>
    </row>
    <row r="554" spans="1:34" ht="15" customHeight="1">
      <c r="A554" s="629" t="s">
        <v>53</v>
      </c>
      <c r="B554" s="585" t="s">
        <v>868</v>
      </c>
      <c r="C554" s="640"/>
      <c r="D554" s="632">
        <v>234155</v>
      </c>
      <c r="E554" s="648">
        <v>3</v>
      </c>
      <c r="F554" s="217">
        <f t="shared" si="39"/>
        <v>157322</v>
      </c>
      <c r="G554" s="216">
        <f t="shared" si="40"/>
        <v>141004</v>
      </c>
      <c r="H554" s="368">
        <v>153551</v>
      </c>
      <c r="I554" s="633">
        <v>138190</v>
      </c>
      <c r="J554" s="368">
        <v>1981</v>
      </c>
      <c r="K554" s="634">
        <v>2003</v>
      </c>
      <c r="L554" s="367">
        <v>1790</v>
      </c>
      <c r="M554" s="367">
        <v>0</v>
      </c>
      <c r="N554" s="367"/>
      <c r="O554" s="635">
        <v>811</v>
      </c>
      <c r="P554" s="636">
        <v>0</v>
      </c>
      <c r="Q554" s="391"/>
      <c r="R554" s="368"/>
      <c r="S554" s="633"/>
      <c r="T554" s="218">
        <f t="shared" si="41"/>
        <v>11284</v>
      </c>
      <c r="U554" s="219">
        <f t="shared" si="42"/>
        <v>9514</v>
      </c>
      <c r="V554" s="368">
        <v>9706</v>
      </c>
      <c r="W554" s="637">
        <v>8893</v>
      </c>
      <c r="X554" s="368">
        <v>1578</v>
      </c>
      <c r="Y554" s="638">
        <v>621</v>
      </c>
      <c r="Z554" s="367">
        <v>0</v>
      </c>
      <c r="AA554" s="367">
        <v>0</v>
      </c>
      <c r="AB554" s="367"/>
      <c r="AC554" s="647">
        <v>0</v>
      </c>
      <c r="AD554" s="639">
        <v>0</v>
      </c>
      <c r="AE554" s="391"/>
      <c r="AF554" s="368"/>
      <c r="AG554" s="633"/>
      <c r="AH554" s="389"/>
    </row>
    <row r="555" spans="1:34" ht="15">
      <c r="A555" s="629" t="s">
        <v>53</v>
      </c>
      <c r="B555" s="585" t="s">
        <v>869</v>
      </c>
      <c r="C555" s="586" t="s">
        <v>896</v>
      </c>
      <c r="D555" s="632">
        <v>231712</v>
      </c>
      <c r="E555" s="536">
        <v>5</v>
      </c>
      <c r="F555" s="217">
        <f t="shared" si="39"/>
        <v>148247</v>
      </c>
      <c r="G555" s="216">
        <f t="shared" si="40"/>
        <v>148364</v>
      </c>
      <c r="H555" s="368">
        <v>147851</v>
      </c>
      <c r="I555" s="633">
        <v>147848</v>
      </c>
      <c r="J555" s="368">
        <v>396</v>
      </c>
      <c r="K555" s="634">
        <v>516</v>
      </c>
      <c r="L555" s="367">
        <v>0</v>
      </c>
      <c r="M555" s="367">
        <v>0</v>
      </c>
      <c r="N555" s="367"/>
      <c r="O555" s="635">
        <v>0</v>
      </c>
      <c r="P555" s="636">
        <v>0</v>
      </c>
      <c r="Q555" s="391"/>
      <c r="R555" s="368"/>
      <c r="S555" s="633"/>
      <c r="T555" s="218">
        <f t="shared" si="41"/>
        <v>3662</v>
      </c>
      <c r="U555" s="219">
        <f t="shared" si="42"/>
        <v>3394</v>
      </c>
      <c r="V555" s="368">
        <v>3613</v>
      </c>
      <c r="W555" s="637">
        <v>3335</v>
      </c>
      <c r="X555" s="368">
        <v>49</v>
      </c>
      <c r="Y555" s="638">
        <v>59</v>
      </c>
      <c r="Z555" s="367">
        <v>0</v>
      </c>
      <c r="AA555" s="367">
        <v>0</v>
      </c>
      <c r="AB555" s="367"/>
      <c r="AC555" s="647">
        <v>0</v>
      </c>
      <c r="AD555" s="639">
        <v>0</v>
      </c>
      <c r="AE555" s="391"/>
      <c r="AF555" s="368"/>
      <c r="AG555" s="633"/>
      <c r="AH555" s="389"/>
    </row>
    <row r="556" spans="1:34" ht="15">
      <c r="A556" s="629" t="s">
        <v>53</v>
      </c>
      <c r="B556" s="630" t="s">
        <v>870</v>
      </c>
      <c r="C556" s="631"/>
      <c r="D556" s="632">
        <v>233897</v>
      </c>
      <c r="E556" s="536">
        <v>6</v>
      </c>
      <c r="F556" s="217">
        <f t="shared" si="39"/>
        <v>50987</v>
      </c>
      <c r="G556" s="216">
        <f t="shared" si="40"/>
        <v>52685</v>
      </c>
      <c r="H556" s="368">
        <v>44332</v>
      </c>
      <c r="I556" s="633">
        <v>42229</v>
      </c>
      <c r="J556" s="368">
        <v>399</v>
      </c>
      <c r="K556" s="634">
        <v>117</v>
      </c>
      <c r="L556" s="367">
        <v>6256</v>
      </c>
      <c r="M556" s="367">
        <v>0</v>
      </c>
      <c r="N556" s="367"/>
      <c r="O556" s="635">
        <v>10339</v>
      </c>
      <c r="P556" s="636">
        <v>0</v>
      </c>
      <c r="Q556" s="391"/>
      <c r="R556" s="368"/>
      <c r="S556" s="633"/>
      <c r="T556" s="218">
        <f t="shared" si="41"/>
        <v>0</v>
      </c>
      <c r="U556" s="219">
        <f t="shared" si="42"/>
        <v>0</v>
      </c>
      <c r="V556" s="368"/>
      <c r="W556" s="633"/>
      <c r="X556" s="368"/>
      <c r="Y556" s="633"/>
      <c r="Z556" s="367"/>
      <c r="AA556" s="367"/>
      <c r="AB556" s="367"/>
      <c r="AC556" s="642"/>
      <c r="AD556" s="643"/>
      <c r="AE556" s="391"/>
      <c r="AF556" s="368"/>
      <c r="AG556" s="633"/>
      <c r="AH556" s="389"/>
    </row>
    <row r="557" spans="1:34" ht="15">
      <c r="A557" s="629" t="s">
        <v>53</v>
      </c>
      <c r="B557" s="630" t="s">
        <v>871</v>
      </c>
      <c r="C557" s="631"/>
      <c r="D557" s="632">
        <v>232414</v>
      </c>
      <c r="E557" s="536">
        <v>8</v>
      </c>
      <c r="F557" s="217">
        <f t="shared" si="39"/>
        <v>245782</v>
      </c>
      <c r="G557" s="216">
        <f t="shared" si="40"/>
        <v>232247</v>
      </c>
      <c r="H557" s="368">
        <v>150682</v>
      </c>
      <c r="I557" s="644">
        <v>146267</v>
      </c>
      <c r="J557" s="368">
        <v>16220</v>
      </c>
      <c r="K557" s="634">
        <v>8193</v>
      </c>
      <c r="L557" s="367">
        <v>78655</v>
      </c>
      <c r="M557" s="367">
        <v>225</v>
      </c>
      <c r="N557" s="367"/>
      <c r="O557" s="635">
        <v>77685</v>
      </c>
      <c r="P557" s="636">
        <v>102</v>
      </c>
      <c r="Q557" s="391"/>
      <c r="R557" s="368"/>
      <c r="S557" s="644"/>
      <c r="T557" s="218">
        <f t="shared" si="41"/>
        <v>0</v>
      </c>
      <c r="U557" s="219">
        <f t="shared" si="42"/>
        <v>0</v>
      </c>
      <c r="V557" s="368"/>
      <c r="W557" s="644"/>
      <c r="X557" s="368"/>
      <c r="Y557" s="644"/>
      <c r="Z557" s="367"/>
      <c r="AA557" s="367"/>
      <c r="AB557" s="367"/>
      <c r="AC557" s="645"/>
      <c r="AD557" s="645"/>
      <c r="AE557" s="391"/>
      <c r="AF557" s="368"/>
      <c r="AG557" s="644"/>
      <c r="AH557" s="389"/>
    </row>
    <row r="558" spans="1:34" ht="15">
      <c r="A558" s="629" t="s">
        <v>53</v>
      </c>
      <c r="B558" s="630" t="s">
        <v>872</v>
      </c>
      <c r="C558" s="646"/>
      <c r="D558" s="632">
        <v>232450</v>
      </c>
      <c r="E558" s="546">
        <v>8</v>
      </c>
      <c r="F558" s="217">
        <f t="shared" si="39"/>
        <v>173612</v>
      </c>
      <c r="G558" s="216">
        <f t="shared" si="40"/>
        <v>170311</v>
      </c>
      <c r="H558" s="368">
        <v>101671</v>
      </c>
      <c r="I558" s="644">
        <v>100372</v>
      </c>
      <c r="J558" s="368">
        <v>20865</v>
      </c>
      <c r="K558" s="634">
        <v>19876</v>
      </c>
      <c r="L558" s="367">
        <v>50988</v>
      </c>
      <c r="M558" s="367">
        <v>88</v>
      </c>
      <c r="N558" s="367"/>
      <c r="O558" s="635">
        <v>50008</v>
      </c>
      <c r="P558" s="636">
        <v>55</v>
      </c>
      <c r="Q558" s="391"/>
      <c r="R558" s="368"/>
      <c r="S558" s="644"/>
      <c r="T558" s="218">
        <f t="shared" si="41"/>
        <v>0</v>
      </c>
      <c r="U558" s="219">
        <f t="shared" si="42"/>
        <v>0</v>
      </c>
      <c r="V558" s="368"/>
      <c r="W558" s="644"/>
      <c r="X558" s="368"/>
      <c r="Y558" s="644"/>
      <c r="Z558" s="367"/>
      <c r="AA558" s="367"/>
      <c r="AB558" s="367"/>
      <c r="AC558" s="645"/>
      <c r="AD558" s="645"/>
      <c r="AE558" s="391"/>
      <c r="AF558" s="368"/>
      <c r="AG558" s="644"/>
      <c r="AH558" s="389"/>
    </row>
    <row r="559" spans="1:34" ht="15">
      <c r="A559" s="629" t="s">
        <v>53</v>
      </c>
      <c r="B559" s="630" t="s">
        <v>873</v>
      </c>
      <c r="C559" s="631"/>
      <c r="D559" s="632">
        <v>232946</v>
      </c>
      <c r="E559" s="536">
        <v>8</v>
      </c>
      <c r="F559" s="217">
        <f t="shared" si="39"/>
        <v>1071619</v>
      </c>
      <c r="G559" s="216">
        <f t="shared" si="40"/>
        <v>1057740</v>
      </c>
      <c r="H559" s="368">
        <v>772556</v>
      </c>
      <c r="I559" s="644">
        <v>742325</v>
      </c>
      <c r="J559" s="368">
        <v>54176</v>
      </c>
      <c r="K559" s="634">
        <v>58234</v>
      </c>
      <c r="L559" s="367">
        <v>242089</v>
      </c>
      <c r="M559" s="367">
        <v>2798</v>
      </c>
      <c r="N559" s="367"/>
      <c r="O559" s="635">
        <v>255899</v>
      </c>
      <c r="P559" s="636">
        <v>1282</v>
      </c>
      <c r="Q559" s="391"/>
      <c r="R559" s="368"/>
      <c r="S559" s="644"/>
      <c r="T559" s="218">
        <f t="shared" si="41"/>
        <v>0</v>
      </c>
      <c r="U559" s="219">
        <f t="shared" si="42"/>
        <v>0</v>
      </c>
      <c r="V559" s="368"/>
      <c r="W559" s="644"/>
      <c r="X559" s="368"/>
      <c r="Y559" s="644"/>
      <c r="Z559" s="367"/>
      <c r="AA559" s="367"/>
      <c r="AB559" s="367"/>
      <c r="AC559" s="645"/>
      <c r="AD559" s="645"/>
      <c r="AE559" s="391"/>
      <c r="AF559" s="368"/>
      <c r="AG559" s="644"/>
      <c r="AH559" s="389"/>
    </row>
    <row r="560" spans="1:34" ht="15">
      <c r="A560" s="629" t="s">
        <v>53</v>
      </c>
      <c r="B560" s="630" t="s">
        <v>874</v>
      </c>
      <c r="C560" s="631"/>
      <c r="D560" s="632">
        <v>233754</v>
      </c>
      <c r="E560" s="536">
        <v>8</v>
      </c>
      <c r="F560" s="217">
        <f t="shared" si="39"/>
        <v>211744</v>
      </c>
      <c r="G560" s="216">
        <f t="shared" si="40"/>
        <v>205718</v>
      </c>
      <c r="H560" s="368">
        <v>144192</v>
      </c>
      <c r="I560" s="644">
        <v>139685</v>
      </c>
      <c r="J560" s="368">
        <v>14375</v>
      </c>
      <c r="K560" s="634">
        <v>12177</v>
      </c>
      <c r="L560" s="367">
        <v>53055</v>
      </c>
      <c r="M560" s="367">
        <v>122</v>
      </c>
      <c r="N560" s="367"/>
      <c r="O560" s="635">
        <v>53704</v>
      </c>
      <c r="P560" s="636">
        <v>152</v>
      </c>
      <c r="Q560" s="391"/>
      <c r="R560" s="368"/>
      <c r="S560" s="644"/>
      <c r="T560" s="218">
        <f t="shared" si="41"/>
        <v>0</v>
      </c>
      <c r="U560" s="219">
        <f t="shared" si="42"/>
        <v>0</v>
      </c>
      <c r="V560" s="368"/>
      <c r="W560" s="644"/>
      <c r="X560" s="368"/>
      <c r="Y560" s="644"/>
      <c r="Z560" s="367"/>
      <c r="AA560" s="367"/>
      <c r="AB560" s="367"/>
      <c r="AC560" s="645"/>
      <c r="AD560" s="645"/>
      <c r="AE560" s="391"/>
      <c r="AF560" s="368"/>
      <c r="AG560" s="644"/>
      <c r="AH560" s="389"/>
    </row>
    <row r="561" spans="1:34" ht="15">
      <c r="A561" s="629" t="s">
        <v>53</v>
      </c>
      <c r="B561" s="630" t="s">
        <v>875</v>
      </c>
      <c r="C561" s="631"/>
      <c r="D561" s="632">
        <v>233772</v>
      </c>
      <c r="E561" s="536">
        <v>8</v>
      </c>
      <c r="F561" s="217">
        <f t="shared" si="39"/>
        <v>618451</v>
      </c>
      <c r="G561" s="216">
        <f t="shared" si="40"/>
        <v>586435</v>
      </c>
      <c r="H561" s="368">
        <v>406191</v>
      </c>
      <c r="I561" s="644">
        <v>384979</v>
      </c>
      <c r="J561" s="368">
        <v>38096</v>
      </c>
      <c r="K561" s="634">
        <v>35536</v>
      </c>
      <c r="L561" s="367">
        <v>174043</v>
      </c>
      <c r="M561" s="367">
        <v>121</v>
      </c>
      <c r="N561" s="367"/>
      <c r="O561" s="635">
        <v>165833</v>
      </c>
      <c r="P561" s="636">
        <v>87</v>
      </c>
      <c r="Q561" s="391"/>
      <c r="R561" s="368"/>
      <c r="S561" s="644"/>
      <c r="T561" s="218">
        <f t="shared" si="41"/>
        <v>0</v>
      </c>
      <c r="U561" s="219">
        <f t="shared" si="42"/>
        <v>0</v>
      </c>
      <c r="V561" s="368"/>
      <c r="W561" s="644"/>
      <c r="X561" s="368"/>
      <c r="Y561" s="644"/>
      <c r="Z561" s="367"/>
      <c r="AA561" s="367"/>
      <c r="AB561" s="367"/>
      <c r="AC561" s="645"/>
      <c r="AD561" s="645"/>
      <c r="AE561" s="391"/>
      <c r="AF561" s="368"/>
      <c r="AG561" s="644"/>
      <c r="AH561" s="389"/>
    </row>
    <row r="562" spans="1:34" ht="15">
      <c r="A562" s="629" t="s">
        <v>53</v>
      </c>
      <c r="B562" s="630" t="s">
        <v>876</v>
      </c>
      <c r="C562" s="631"/>
      <c r="D562" s="632">
        <v>231536</v>
      </c>
      <c r="E562" s="536">
        <v>9</v>
      </c>
      <c r="F562" s="217">
        <f t="shared" si="39"/>
        <v>85447</v>
      </c>
      <c r="G562" s="216">
        <f t="shared" si="40"/>
        <v>86430</v>
      </c>
      <c r="H562" s="368">
        <v>44330</v>
      </c>
      <c r="I562" s="644">
        <v>43918</v>
      </c>
      <c r="J562" s="368">
        <v>10670</v>
      </c>
      <c r="K562" s="634">
        <v>9665</v>
      </c>
      <c r="L562" s="367">
        <v>30447</v>
      </c>
      <c r="M562" s="367">
        <v>0</v>
      </c>
      <c r="N562" s="367"/>
      <c r="O562" s="635">
        <v>32847</v>
      </c>
      <c r="P562" s="636">
        <v>0</v>
      </c>
      <c r="Q562" s="391"/>
      <c r="R562" s="368"/>
      <c r="S562" s="644"/>
      <c r="T562" s="218">
        <f t="shared" si="41"/>
        <v>0</v>
      </c>
      <c r="U562" s="219">
        <f t="shared" si="42"/>
        <v>0</v>
      </c>
      <c r="V562" s="368"/>
      <c r="W562" s="644"/>
      <c r="X562" s="368"/>
      <c r="Y562" s="644"/>
      <c r="Z562" s="367"/>
      <c r="AA562" s="367"/>
      <c r="AB562" s="367"/>
      <c r="AC562" s="645"/>
      <c r="AD562" s="645"/>
      <c r="AE562" s="391"/>
      <c r="AF562" s="368"/>
      <c r="AG562" s="644"/>
      <c r="AH562" s="389"/>
    </row>
    <row r="563" spans="1:34" ht="15">
      <c r="A563" s="629" t="s">
        <v>53</v>
      </c>
      <c r="B563" s="630" t="s">
        <v>877</v>
      </c>
      <c r="C563" s="631"/>
      <c r="D563" s="632">
        <v>231697</v>
      </c>
      <c r="E563" s="536">
        <v>9</v>
      </c>
      <c r="F563" s="217">
        <f t="shared" si="39"/>
        <v>82433</v>
      </c>
      <c r="G563" s="216">
        <f t="shared" si="40"/>
        <v>79535</v>
      </c>
      <c r="H563" s="368">
        <v>49383</v>
      </c>
      <c r="I563" s="644">
        <v>48565</v>
      </c>
      <c r="J563" s="368">
        <v>16183</v>
      </c>
      <c r="K563" s="634">
        <v>14767</v>
      </c>
      <c r="L563" s="367">
        <v>13136</v>
      </c>
      <c r="M563" s="367">
        <v>3731</v>
      </c>
      <c r="N563" s="367"/>
      <c r="O563" s="635">
        <v>13058</v>
      </c>
      <c r="P563" s="636">
        <v>3145</v>
      </c>
      <c r="Q563" s="391"/>
      <c r="R563" s="368"/>
      <c r="S563" s="644"/>
      <c r="T563" s="218">
        <f t="shared" si="41"/>
        <v>0</v>
      </c>
      <c r="U563" s="219">
        <f t="shared" si="42"/>
        <v>0</v>
      </c>
      <c r="V563" s="368"/>
      <c r="W563" s="644"/>
      <c r="X563" s="368"/>
      <c r="Y563" s="644"/>
      <c r="Z563" s="367"/>
      <c r="AA563" s="367"/>
      <c r="AB563" s="367"/>
      <c r="AC563" s="645"/>
      <c r="AD563" s="645"/>
      <c r="AE563" s="391"/>
      <c r="AF563" s="368"/>
      <c r="AG563" s="644"/>
      <c r="AH563" s="389"/>
    </row>
    <row r="564" spans="1:34" ht="15">
      <c r="A564" s="629" t="s">
        <v>53</v>
      </c>
      <c r="B564" s="630" t="s">
        <v>878</v>
      </c>
      <c r="C564" s="631"/>
      <c r="D564" s="632">
        <v>231882</v>
      </c>
      <c r="E564" s="536">
        <v>9</v>
      </c>
      <c r="F564" s="217">
        <f t="shared" si="39"/>
        <v>81118</v>
      </c>
      <c r="G564" s="216">
        <f t="shared" si="40"/>
        <v>75768</v>
      </c>
      <c r="H564" s="368">
        <v>52101</v>
      </c>
      <c r="I564" s="644">
        <v>47788</v>
      </c>
      <c r="J564" s="368">
        <v>19113</v>
      </c>
      <c r="K564" s="634">
        <v>19436</v>
      </c>
      <c r="L564" s="367">
        <v>9278</v>
      </c>
      <c r="M564" s="367">
        <v>626</v>
      </c>
      <c r="N564" s="367"/>
      <c r="O564" s="635">
        <v>8006</v>
      </c>
      <c r="P564" s="636">
        <v>538</v>
      </c>
      <c r="Q564" s="391"/>
      <c r="R564" s="368"/>
      <c r="S564" s="644"/>
      <c r="T564" s="218">
        <f t="shared" si="41"/>
        <v>0</v>
      </c>
      <c r="U564" s="219">
        <f t="shared" si="42"/>
        <v>0</v>
      </c>
      <c r="V564" s="368"/>
      <c r="W564" s="644"/>
      <c r="X564" s="368"/>
      <c r="Y564" s="644"/>
      <c r="Z564" s="367"/>
      <c r="AA564" s="367"/>
      <c r="AB564" s="367"/>
      <c r="AC564" s="645"/>
      <c r="AD564" s="645"/>
      <c r="AE564" s="391"/>
      <c r="AF564" s="368"/>
      <c r="AG564" s="644"/>
      <c r="AH564" s="389"/>
    </row>
    <row r="565" spans="1:34" ht="15">
      <c r="A565" s="629" t="s">
        <v>53</v>
      </c>
      <c r="B565" s="630" t="s">
        <v>879</v>
      </c>
      <c r="C565" s="631"/>
      <c r="D565" s="632">
        <v>232195</v>
      </c>
      <c r="E565" s="536">
        <v>9</v>
      </c>
      <c r="F565" s="217">
        <f t="shared" si="39"/>
        <v>132456</v>
      </c>
      <c r="G565" s="216">
        <f t="shared" si="40"/>
        <v>133739</v>
      </c>
      <c r="H565" s="368">
        <v>73945</v>
      </c>
      <c r="I565" s="644">
        <v>73637</v>
      </c>
      <c r="J565" s="368">
        <v>18430</v>
      </c>
      <c r="K565" s="634">
        <v>18881</v>
      </c>
      <c r="L565" s="367">
        <v>28840</v>
      </c>
      <c r="M565" s="367">
        <v>11241</v>
      </c>
      <c r="N565" s="367"/>
      <c r="O565" s="635">
        <v>29775</v>
      </c>
      <c r="P565" s="636">
        <v>11446</v>
      </c>
      <c r="Q565" s="391"/>
      <c r="R565" s="368"/>
      <c r="S565" s="644"/>
      <c r="T565" s="218">
        <f t="shared" si="41"/>
        <v>0</v>
      </c>
      <c r="U565" s="219">
        <f t="shared" si="42"/>
        <v>0</v>
      </c>
      <c r="V565" s="368"/>
      <c r="W565" s="644"/>
      <c r="X565" s="368"/>
      <c r="Y565" s="644"/>
      <c r="Z565" s="367"/>
      <c r="AA565" s="367"/>
      <c r="AB565" s="367"/>
      <c r="AC565" s="645"/>
      <c r="AD565" s="645"/>
      <c r="AE565" s="391"/>
      <c r="AF565" s="368"/>
      <c r="AG565" s="644"/>
      <c r="AH565" s="389"/>
    </row>
    <row r="566" spans="1:34" ht="15">
      <c r="A566" s="629" t="s">
        <v>53</v>
      </c>
      <c r="B566" s="630" t="s">
        <v>880</v>
      </c>
      <c r="C566" s="631"/>
      <c r="D566" s="632">
        <v>232575</v>
      </c>
      <c r="E566" s="536">
        <v>9</v>
      </c>
      <c r="F566" s="217">
        <f t="shared" si="39"/>
        <v>123820</v>
      </c>
      <c r="G566" s="216">
        <f t="shared" si="40"/>
        <v>120783</v>
      </c>
      <c r="H566" s="368">
        <v>65407</v>
      </c>
      <c r="I566" s="644">
        <v>59194</v>
      </c>
      <c r="J566" s="368">
        <v>22764</v>
      </c>
      <c r="K566" s="634">
        <v>22939</v>
      </c>
      <c r="L566" s="367">
        <v>28825</v>
      </c>
      <c r="M566" s="367">
        <v>6824</v>
      </c>
      <c r="N566" s="367"/>
      <c r="O566" s="635">
        <v>30941</v>
      </c>
      <c r="P566" s="636">
        <v>7709</v>
      </c>
      <c r="Q566" s="391"/>
      <c r="R566" s="368"/>
      <c r="S566" s="644"/>
      <c r="T566" s="218">
        <f t="shared" si="41"/>
        <v>0</v>
      </c>
      <c r="U566" s="219">
        <f t="shared" si="42"/>
        <v>0</v>
      </c>
      <c r="V566" s="368"/>
      <c r="W566" s="644"/>
      <c r="X566" s="368"/>
      <c r="Y566" s="644"/>
      <c r="Z566" s="367"/>
      <c r="AA566" s="367"/>
      <c r="AB566" s="367"/>
      <c r="AC566" s="645"/>
      <c r="AD566" s="645"/>
      <c r="AE566" s="391"/>
      <c r="AF566" s="368"/>
      <c r="AG566" s="644"/>
      <c r="AH566" s="389"/>
    </row>
    <row r="567" spans="1:34" ht="15">
      <c r="A567" s="629" t="s">
        <v>53</v>
      </c>
      <c r="B567" s="585" t="s">
        <v>881</v>
      </c>
      <c r="C567" s="586" t="s">
        <v>897</v>
      </c>
      <c r="D567" s="632">
        <v>232788</v>
      </c>
      <c r="E567" s="536">
        <v>9</v>
      </c>
      <c r="F567" s="217">
        <f t="shared" si="39"/>
        <v>57228</v>
      </c>
      <c r="G567" s="216">
        <f t="shared" si="40"/>
        <v>53356</v>
      </c>
      <c r="H567" s="464">
        <v>26223</v>
      </c>
      <c r="I567" s="644">
        <v>26379</v>
      </c>
      <c r="J567" s="464">
        <v>8953</v>
      </c>
      <c r="K567" s="634">
        <v>8069</v>
      </c>
      <c r="L567" s="465">
        <v>20685</v>
      </c>
      <c r="M567" s="465">
        <v>1367</v>
      </c>
      <c r="N567" s="367"/>
      <c r="O567" s="635">
        <v>17307</v>
      </c>
      <c r="P567" s="636">
        <v>1601</v>
      </c>
      <c r="Q567" s="391"/>
      <c r="R567" s="368"/>
      <c r="S567" s="644"/>
      <c r="T567" s="218">
        <f t="shared" si="41"/>
        <v>0</v>
      </c>
      <c r="U567" s="219">
        <f t="shared" si="42"/>
        <v>0</v>
      </c>
      <c r="V567" s="368"/>
      <c r="W567" s="644"/>
      <c r="X567" s="368"/>
      <c r="Y567" s="644"/>
      <c r="Z567" s="367"/>
      <c r="AA567" s="367"/>
      <c r="AB567" s="367"/>
      <c r="AC567" s="645"/>
      <c r="AD567" s="645"/>
      <c r="AE567" s="391"/>
      <c r="AF567" s="368"/>
      <c r="AG567" s="644"/>
      <c r="AH567" s="389"/>
    </row>
    <row r="568" spans="1:34" ht="15">
      <c r="A568" s="629" t="s">
        <v>53</v>
      </c>
      <c r="B568" s="630" t="s">
        <v>882</v>
      </c>
      <c r="C568" s="631"/>
      <c r="D568" s="632">
        <v>232867</v>
      </c>
      <c r="E568" s="536">
        <v>9</v>
      </c>
      <c r="F568" s="217">
        <f t="shared" si="39"/>
        <v>88660</v>
      </c>
      <c r="G568" s="216">
        <f t="shared" si="40"/>
        <v>86634</v>
      </c>
      <c r="H568" s="464">
        <v>26922</v>
      </c>
      <c r="I568" s="644">
        <v>27236</v>
      </c>
      <c r="J568" s="464">
        <v>29259</v>
      </c>
      <c r="K568" s="634">
        <v>27582</v>
      </c>
      <c r="L568" s="465">
        <v>32056</v>
      </c>
      <c r="M568" s="465">
        <v>423</v>
      </c>
      <c r="N568" s="367"/>
      <c r="O568" s="635">
        <v>31075</v>
      </c>
      <c r="P568" s="636">
        <v>741</v>
      </c>
      <c r="Q568" s="391"/>
      <c r="R568" s="368"/>
      <c r="S568" s="644"/>
      <c r="T568" s="218">
        <f t="shared" si="41"/>
        <v>0</v>
      </c>
      <c r="U568" s="219">
        <f t="shared" si="42"/>
        <v>0</v>
      </c>
      <c r="V568" s="368"/>
      <c r="W568" s="644"/>
      <c r="X568" s="368"/>
      <c r="Y568" s="644"/>
      <c r="Z568" s="367"/>
      <c r="AA568" s="367"/>
      <c r="AB568" s="367"/>
      <c r="AC568" s="645"/>
      <c r="AD568" s="645"/>
      <c r="AE568" s="391"/>
      <c r="AF568" s="368"/>
      <c r="AG568" s="644"/>
      <c r="AH568" s="389"/>
    </row>
    <row r="569" spans="1:34" ht="15">
      <c r="A569" s="629" t="s">
        <v>53</v>
      </c>
      <c r="B569" s="649" t="s">
        <v>883</v>
      </c>
      <c r="C569" s="650"/>
      <c r="D569" s="632">
        <v>233019</v>
      </c>
      <c r="E569" s="536">
        <v>9</v>
      </c>
      <c r="F569" s="217">
        <f t="shared" si="39"/>
        <v>67130</v>
      </c>
      <c r="G569" s="216">
        <f t="shared" si="40"/>
        <v>63752</v>
      </c>
      <c r="H569" s="464">
        <v>31190</v>
      </c>
      <c r="I569" s="644">
        <v>30416</v>
      </c>
      <c r="J569" s="464">
        <v>12837</v>
      </c>
      <c r="K569" s="634">
        <v>13091</v>
      </c>
      <c r="L569" s="465">
        <v>21256</v>
      </c>
      <c r="M569" s="465">
        <v>1847</v>
      </c>
      <c r="N569" s="367"/>
      <c r="O569" s="635">
        <v>19244</v>
      </c>
      <c r="P569" s="636">
        <v>1001</v>
      </c>
      <c r="Q569" s="391"/>
      <c r="R569" s="368"/>
      <c r="S569" s="644"/>
      <c r="T569" s="218">
        <f t="shared" si="41"/>
        <v>0</v>
      </c>
      <c r="U569" s="219">
        <f t="shared" si="42"/>
        <v>0</v>
      </c>
      <c r="V569" s="368"/>
      <c r="W569" s="644"/>
      <c r="X569" s="368"/>
      <c r="Y569" s="644"/>
      <c r="Z569" s="367"/>
      <c r="AA569" s="367"/>
      <c r="AB569" s="367"/>
      <c r="AC569" s="645"/>
      <c r="AD569" s="645"/>
      <c r="AE569" s="391"/>
      <c r="AF569" s="368"/>
      <c r="AG569" s="644"/>
      <c r="AH569" s="389"/>
    </row>
    <row r="570" spans="1:34" ht="15">
      <c r="A570" s="629" t="s">
        <v>53</v>
      </c>
      <c r="B570" s="630" t="s">
        <v>884</v>
      </c>
      <c r="C570" s="631"/>
      <c r="D570" s="632">
        <v>233116</v>
      </c>
      <c r="E570" s="536">
        <v>9</v>
      </c>
      <c r="F570" s="217">
        <f t="shared" si="39"/>
        <v>90127</v>
      </c>
      <c r="G570" s="216">
        <f t="shared" si="40"/>
        <v>90935</v>
      </c>
      <c r="H570" s="464">
        <v>57176</v>
      </c>
      <c r="I570" s="644">
        <v>54893</v>
      </c>
      <c r="J570" s="464">
        <v>13560</v>
      </c>
      <c r="K570" s="634">
        <v>16280</v>
      </c>
      <c r="L570" s="465">
        <v>18801</v>
      </c>
      <c r="M570" s="465">
        <v>590</v>
      </c>
      <c r="N570" s="367"/>
      <c r="O570" s="635">
        <v>19212</v>
      </c>
      <c r="P570" s="636">
        <v>550</v>
      </c>
      <c r="Q570" s="391"/>
      <c r="R570" s="368"/>
      <c r="S570" s="644"/>
      <c r="T570" s="218">
        <f t="shared" si="41"/>
        <v>0</v>
      </c>
      <c r="U570" s="219">
        <f t="shared" si="42"/>
        <v>0</v>
      </c>
      <c r="V570" s="368"/>
      <c r="W570" s="644"/>
      <c r="X570" s="368"/>
      <c r="Y570" s="644"/>
      <c r="Z570" s="367"/>
      <c r="AA570" s="367"/>
      <c r="AB570" s="367"/>
      <c r="AC570" s="645"/>
      <c r="AD570" s="645"/>
      <c r="AE570" s="391"/>
      <c r="AF570" s="368"/>
      <c r="AG570" s="644"/>
      <c r="AH570" s="389"/>
    </row>
    <row r="571" spans="1:34" ht="15">
      <c r="A571" s="629" t="s">
        <v>53</v>
      </c>
      <c r="B571" s="630" t="s">
        <v>885</v>
      </c>
      <c r="C571" s="631"/>
      <c r="D571" s="632">
        <v>233639</v>
      </c>
      <c r="E571" s="536">
        <v>9</v>
      </c>
      <c r="F571" s="217">
        <f t="shared" si="39"/>
        <v>110268</v>
      </c>
      <c r="G571" s="216">
        <f t="shared" si="40"/>
        <v>102894</v>
      </c>
      <c r="H571" s="464">
        <v>24294</v>
      </c>
      <c r="I571" s="644">
        <v>24535</v>
      </c>
      <c r="J571" s="464">
        <v>54785</v>
      </c>
      <c r="K571" s="634">
        <v>50364</v>
      </c>
      <c r="L571" s="465">
        <v>30519</v>
      </c>
      <c r="M571" s="465">
        <v>670</v>
      </c>
      <c r="N571" s="367"/>
      <c r="O571" s="635">
        <v>26856</v>
      </c>
      <c r="P571" s="636">
        <v>1139</v>
      </c>
      <c r="Q571" s="391"/>
      <c r="R571" s="368"/>
      <c r="S571" s="644"/>
      <c r="T571" s="218">
        <f t="shared" si="41"/>
        <v>0</v>
      </c>
      <c r="U571" s="219">
        <f t="shared" si="42"/>
        <v>0</v>
      </c>
      <c r="V571" s="368"/>
      <c r="W571" s="644"/>
      <c r="X571" s="368"/>
      <c r="Y571" s="644"/>
      <c r="Z571" s="367"/>
      <c r="AA571" s="367"/>
      <c r="AB571" s="367"/>
      <c r="AC571" s="645"/>
      <c r="AD571" s="645"/>
      <c r="AE571" s="391"/>
      <c r="AF571" s="368"/>
      <c r="AG571" s="644"/>
      <c r="AH571" s="389"/>
    </row>
    <row r="572" spans="1:34" ht="15">
      <c r="A572" s="629" t="s">
        <v>53</v>
      </c>
      <c r="B572" s="630" t="s">
        <v>886</v>
      </c>
      <c r="C572" s="646" t="s">
        <v>465</v>
      </c>
      <c r="D572" s="632">
        <v>233648</v>
      </c>
      <c r="E572" s="537">
        <v>10</v>
      </c>
      <c r="F572" s="217">
        <f t="shared" si="39"/>
        <v>54789</v>
      </c>
      <c r="G572" s="216">
        <f t="shared" si="40"/>
        <v>52425</v>
      </c>
      <c r="H572" s="464">
        <v>22171</v>
      </c>
      <c r="I572" s="644">
        <v>19743</v>
      </c>
      <c r="J572" s="464">
        <v>11001</v>
      </c>
      <c r="K572" s="634">
        <v>10306</v>
      </c>
      <c r="L572" s="465">
        <v>19345</v>
      </c>
      <c r="M572" s="465">
        <v>2272</v>
      </c>
      <c r="N572" s="367"/>
      <c r="O572" s="635">
        <v>19694</v>
      </c>
      <c r="P572" s="636">
        <v>2682</v>
      </c>
      <c r="Q572" s="391"/>
      <c r="R572" s="368"/>
      <c r="S572" s="644"/>
      <c r="T572" s="218">
        <f t="shared" si="41"/>
        <v>0</v>
      </c>
      <c r="U572" s="219">
        <f t="shared" si="42"/>
        <v>0</v>
      </c>
      <c r="V572" s="368"/>
      <c r="W572" s="644"/>
      <c r="X572" s="368"/>
      <c r="Y572" s="644"/>
      <c r="Z572" s="367"/>
      <c r="AA572" s="367"/>
      <c r="AB572" s="367"/>
      <c r="AC572" s="645"/>
      <c r="AD572" s="645"/>
      <c r="AE572" s="391"/>
      <c r="AF572" s="368"/>
      <c r="AG572" s="644"/>
      <c r="AH572" s="389"/>
    </row>
    <row r="573" spans="1:34" ht="15">
      <c r="A573" s="629" t="s">
        <v>53</v>
      </c>
      <c r="B573" s="585" t="s">
        <v>887</v>
      </c>
      <c r="C573" s="586" t="s">
        <v>898</v>
      </c>
      <c r="D573" s="632">
        <v>233949</v>
      </c>
      <c r="E573" s="536">
        <v>9</v>
      </c>
      <c r="F573" s="217">
        <f t="shared" si="39"/>
        <v>145090</v>
      </c>
      <c r="G573" s="216">
        <f t="shared" si="40"/>
        <v>150419</v>
      </c>
      <c r="H573" s="464">
        <v>88351</v>
      </c>
      <c r="I573" s="644">
        <v>85956</v>
      </c>
      <c r="J573" s="464">
        <v>22183</v>
      </c>
      <c r="K573" s="634">
        <v>29112</v>
      </c>
      <c r="L573" s="465">
        <v>25061</v>
      </c>
      <c r="M573" s="465">
        <v>9495</v>
      </c>
      <c r="N573" s="367"/>
      <c r="O573" s="635">
        <v>25140</v>
      </c>
      <c r="P573" s="636">
        <v>10211</v>
      </c>
      <c r="Q573" s="391"/>
      <c r="R573" s="368"/>
      <c r="S573" s="644"/>
      <c r="T573" s="218">
        <f t="shared" si="41"/>
        <v>0</v>
      </c>
      <c r="U573" s="219">
        <f t="shared" si="42"/>
        <v>0</v>
      </c>
      <c r="V573" s="368"/>
      <c r="W573" s="644"/>
      <c r="X573" s="368"/>
      <c r="Y573" s="644"/>
      <c r="Z573" s="367"/>
      <c r="AA573" s="367"/>
      <c r="AB573" s="367"/>
      <c r="AC573" s="645"/>
      <c r="AD573" s="645"/>
      <c r="AE573" s="391"/>
      <c r="AF573" s="368"/>
      <c r="AG573" s="644"/>
      <c r="AH573" s="389"/>
    </row>
    <row r="574" spans="1:34" ht="15">
      <c r="A574" s="629" t="s">
        <v>53</v>
      </c>
      <c r="B574" s="585" t="s">
        <v>888</v>
      </c>
      <c r="C574" s="650"/>
      <c r="D574" s="632">
        <v>234377</v>
      </c>
      <c r="E574" s="536">
        <v>9</v>
      </c>
      <c r="F574" s="217">
        <f t="shared" si="39"/>
        <v>63949</v>
      </c>
      <c r="G574" s="216">
        <f t="shared" si="40"/>
        <v>60166</v>
      </c>
      <c r="H574" s="464">
        <v>12549</v>
      </c>
      <c r="I574" s="644">
        <v>11577</v>
      </c>
      <c r="J574" s="464">
        <v>17694</v>
      </c>
      <c r="K574" s="634">
        <v>17622</v>
      </c>
      <c r="L574" s="465">
        <v>27606</v>
      </c>
      <c r="M574" s="465">
        <v>6100</v>
      </c>
      <c r="N574" s="367"/>
      <c r="O574" s="635">
        <v>23945</v>
      </c>
      <c r="P574" s="636">
        <v>7022</v>
      </c>
      <c r="Q574" s="391"/>
      <c r="R574" s="368"/>
      <c r="S574" s="644"/>
      <c r="T574" s="218">
        <f t="shared" si="41"/>
        <v>0</v>
      </c>
      <c r="U574" s="219">
        <f t="shared" si="42"/>
        <v>0</v>
      </c>
      <c r="V574" s="368"/>
      <c r="W574" s="644"/>
      <c r="X574" s="368"/>
      <c r="Y574" s="644"/>
      <c r="Z574" s="367"/>
      <c r="AA574" s="367"/>
      <c r="AB574" s="367"/>
      <c r="AC574" s="645"/>
      <c r="AD574" s="645"/>
      <c r="AE574" s="391"/>
      <c r="AF574" s="368"/>
      <c r="AG574" s="644"/>
      <c r="AH574" s="389"/>
    </row>
    <row r="575" spans="1:34" ht="15">
      <c r="A575" s="629" t="s">
        <v>53</v>
      </c>
      <c r="B575" s="585" t="s">
        <v>889</v>
      </c>
      <c r="C575" s="586"/>
      <c r="D575" s="632">
        <v>231873</v>
      </c>
      <c r="E575" s="536">
        <v>10</v>
      </c>
      <c r="F575" s="217">
        <f t="shared" si="39"/>
        <v>16671</v>
      </c>
      <c r="G575" s="216">
        <f t="shared" si="40"/>
        <v>21390</v>
      </c>
      <c r="H575" s="368">
        <v>11118</v>
      </c>
      <c r="I575" s="644">
        <v>9130</v>
      </c>
      <c r="J575" s="368">
        <v>2510</v>
      </c>
      <c r="K575" s="634">
        <v>5653</v>
      </c>
      <c r="L575" s="367">
        <v>3043</v>
      </c>
      <c r="M575" s="367">
        <v>0</v>
      </c>
      <c r="N575" s="367"/>
      <c r="O575" s="635">
        <v>2543</v>
      </c>
      <c r="P575" s="636">
        <v>4064</v>
      </c>
      <c r="Q575" s="391"/>
      <c r="R575" s="368"/>
      <c r="S575" s="644"/>
      <c r="T575" s="218">
        <f t="shared" si="41"/>
        <v>0</v>
      </c>
      <c r="U575" s="219">
        <f t="shared" si="42"/>
        <v>0</v>
      </c>
      <c r="V575" s="368"/>
      <c r="W575" s="644"/>
      <c r="X575" s="368"/>
      <c r="Y575" s="644"/>
      <c r="Z575" s="367"/>
      <c r="AA575" s="367"/>
      <c r="AB575" s="367"/>
      <c r="AC575" s="645"/>
      <c r="AD575" s="645"/>
      <c r="AE575" s="391"/>
      <c r="AF575" s="368"/>
      <c r="AG575" s="644"/>
      <c r="AH575" s="389"/>
    </row>
    <row r="576" spans="1:34" ht="15">
      <c r="A576" s="629" t="s">
        <v>53</v>
      </c>
      <c r="B576" s="585" t="s">
        <v>890</v>
      </c>
      <c r="C576" s="586"/>
      <c r="D576" s="632">
        <v>232052</v>
      </c>
      <c r="E576" s="536">
        <v>10</v>
      </c>
      <c r="F576" s="217">
        <f t="shared" si="39"/>
        <v>57228</v>
      </c>
      <c r="G576" s="216">
        <f t="shared" si="40"/>
        <v>14982</v>
      </c>
      <c r="H576" s="368">
        <v>26223</v>
      </c>
      <c r="I576" s="644">
        <v>10176</v>
      </c>
      <c r="J576" s="368">
        <v>8953</v>
      </c>
      <c r="K576" s="634">
        <v>2372</v>
      </c>
      <c r="L576" s="367">
        <v>20685</v>
      </c>
      <c r="M576" s="367">
        <v>1367</v>
      </c>
      <c r="N576" s="367"/>
      <c r="O576" s="635">
        <v>2434</v>
      </c>
      <c r="P576" s="636">
        <v>0</v>
      </c>
      <c r="Q576" s="391"/>
      <c r="R576" s="368"/>
      <c r="S576" s="644"/>
      <c r="T576" s="218">
        <f t="shared" si="41"/>
        <v>0</v>
      </c>
      <c r="U576" s="219">
        <f t="shared" si="42"/>
        <v>0</v>
      </c>
      <c r="V576" s="368"/>
      <c r="W576" s="644"/>
      <c r="X576" s="368"/>
      <c r="Y576" s="644"/>
      <c r="Z576" s="367"/>
      <c r="AA576" s="367"/>
      <c r="AB576" s="367"/>
      <c r="AC576" s="645"/>
      <c r="AD576" s="645"/>
      <c r="AE576" s="391"/>
      <c r="AF576" s="368"/>
      <c r="AG576" s="644"/>
      <c r="AH576" s="389"/>
    </row>
    <row r="577" spans="1:34" ht="15">
      <c r="A577" s="629" t="s">
        <v>53</v>
      </c>
      <c r="B577" s="585" t="s">
        <v>891</v>
      </c>
      <c r="C577" s="586"/>
      <c r="D577" s="632">
        <v>233037</v>
      </c>
      <c r="E577" s="536">
        <v>10</v>
      </c>
      <c r="F577" s="217">
        <f t="shared" si="39"/>
        <v>27134</v>
      </c>
      <c r="G577" s="216">
        <f t="shared" si="40"/>
        <v>24515</v>
      </c>
      <c r="H577" s="368">
        <v>11531</v>
      </c>
      <c r="I577" s="644">
        <v>10319</v>
      </c>
      <c r="J577" s="368">
        <v>5493</v>
      </c>
      <c r="K577" s="634">
        <v>4312</v>
      </c>
      <c r="L577" s="367">
        <v>7570</v>
      </c>
      <c r="M577" s="367">
        <v>2540</v>
      </c>
      <c r="N577" s="367"/>
      <c r="O577" s="635">
        <v>7650</v>
      </c>
      <c r="P577" s="636">
        <v>2234</v>
      </c>
      <c r="Q577" s="391"/>
      <c r="R577" s="368"/>
      <c r="S577" s="644"/>
      <c r="T577" s="218">
        <f t="shared" si="41"/>
        <v>0</v>
      </c>
      <c r="U577" s="219">
        <f t="shared" si="42"/>
        <v>0</v>
      </c>
      <c r="V577" s="368"/>
      <c r="W577" s="644"/>
      <c r="X577" s="368"/>
      <c r="Y577" s="644"/>
      <c r="Z577" s="367"/>
      <c r="AA577" s="367"/>
      <c r="AB577" s="367"/>
      <c r="AC577" s="645"/>
      <c r="AD577" s="645"/>
      <c r="AE577" s="391"/>
      <c r="AF577" s="368"/>
      <c r="AG577" s="644"/>
      <c r="AH577" s="389"/>
    </row>
    <row r="578" spans="1:34" ht="15">
      <c r="A578" s="629" t="s">
        <v>53</v>
      </c>
      <c r="B578" s="585" t="s">
        <v>892</v>
      </c>
      <c r="C578" s="586"/>
      <c r="D578" s="632">
        <v>233310</v>
      </c>
      <c r="E578" s="536">
        <v>10</v>
      </c>
      <c r="F578" s="217">
        <f t="shared" si="39"/>
        <v>58343</v>
      </c>
      <c r="G578" s="216">
        <f t="shared" si="40"/>
        <v>56718</v>
      </c>
      <c r="H578" s="368">
        <v>15560</v>
      </c>
      <c r="I578" s="644">
        <v>13448</v>
      </c>
      <c r="J578" s="368">
        <v>18358</v>
      </c>
      <c r="K578" s="634">
        <v>17099</v>
      </c>
      <c r="L578" s="367">
        <v>15262</v>
      </c>
      <c r="M578" s="367">
        <v>9163</v>
      </c>
      <c r="N578" s="367"/>
      <c r="O578" s="635">
        <v>16116</v>
      </c>
      <c r="P578" s="636">
        <v>10055</v>
      </c>
      <c r="Q578" s="391"/>
      <c r="R578" s="368"/>
      <c r="S578" s="644"/>
      <c r="T578" s="218">
        <f t="shared" si="41"/>
        <v>0</v>
      </c>
      <c r="U578" s="219">
        <f t="shared" si="42"/>
        <v>0</v>
      </c>
      <c r="V578" s="368"/>
      <c r="W578" s="644"/>
      <c r="X578" s="368"/>
      <c r="Y578" s="644"/>
      <c r="Z578" s="367"/>
      <c r="AA578" s="367"/>
      <c r="AB578" s="367"/>
      <c r="AC578" s="645"/>
      <c r="AD578" s="645"/>
      <c r="AE578" s="391"/>
      <c r="AF578" s="368"/>
      <c r="AG578" s="644"/>
      <c r="AH578" s="389"/>
    </row>
    <row r="579" spans="1:34" ht="15">
      <c r="A579" s="629" t="s">
        <v>53</v>
      </c>
      <c r="B579" s="585" t="s">
        <v>893</v>
      </c>
      <c r="C579" s="586"/>
      <c r="D579" s="632">
        <v>233338</v>
      </c>
      <c r="E579" s="536">
        <v>10</v>
      </c>
      <c r="F579" s="217">
        <f t="shared" si="39"/>
        <v>31503</v>
      </c>
      <c r="G579" s="216">
        <f t="shared" si="40"/>
        <v>31976</v>
      </c>
      <c r="H579" s="368">
        <v>26472</v>
      </c>
      <c r="I579" s="644">
        <v>26295</v>
      </c>
      <c r="J579" s="368">
        <v>2399</v>
      </c>
      <c r="K579" s="634">
        <v>2845</v>
      </c>
      <c r="L579" s="367">
        <v>2632</v>
      </c>
      <c r="M579" s="367">
        <v>0</v>
      </c>
      <c r="N579" s="367"/>
      <c r="O579" s="635">
        <v>2836</v>
      </c>
      <c r="P579" s="636">
        <v>0</v>
      </c>
      <c r="Q579" s="391"/>
      <c r="R579" s="368"/>
      <c r="S579" s="644"/>
      <c r="T579" s="218">
        <f t="shared" si="41"/>
        <v>0</v>
      </c>
      <c r="U579" s="219">
        <f t="shared" si="42"/>
        <v>0</v>
      </c>
      <c r="V579" s="368"/>
      <c r="W579" s="644"/>
      <c r="X579" s="368"/>
      <c r="Y579" s="644"/>
      <c r="Z579" s="367"/>
      <c r="AA579" s="367"/>
      <c r="AB579" s="367"/>
      <c r="AC579" s="645"/>
      <c r="AD579" s="645"/>
      <c r="AE579" s="391"/>
      <c r="AF579" s="368"/>
      <c r="AG579" s="644"/>
      <c r="AH579" s="389"/>
    </row>
    <row r="580" spans="1:34" ht="15">
      <c r="A580" s="629" t="s">
        <v>53</v>
      </c>
      <c r="B580" s="585" t="s">
        <v>894</v>
      </c>
      <c r="C580" s="586"/>
      <c r="D580" s="632">
        <v>233903</v>
      </c>
      <c r="E580" s="536">
        <v>10</v>
      </c>
      <c r="F580" s="217">
        <f t="shared" si="39"/>
        <v>49820</v>
      </c>
      <c r="G580" s="216">
        <f t="shared" si="40"/>
        <v>49032</v>
      </c>
      <c r="H580" s="368">
        <v>28240</v>
      </c>
      <c r="I580" s="633">
        <v>25480</v>
      </c>
      <c r="J580" s="368">
        <v>7350</v>
      </c>
      <c r="K580" s="634">
        <v>6663</v>
      </c>
      <c r="L580" s="367">
        <v>12957</v>
      </c>
      <c r="M580" s="367">
        <v>1273</v>
      </c>
      <c r="N580" s="367"/>
      <c r="O580" s="635">
        <v>14909</v>
      </c>
      <c r="P580" s="636">
        <v>1980</v>
      </c>
      <c r="Q580" s="391"/>
      <c r="R580" s="368"/>
      <c r="S580" s="633"/>
      <c r="T580" s="218">
        <f t="shared" si="41"/>
        <v>0</v>
      </c>
      <c r="U580" s="219">
        <f t="shared" si="42"/>
        <v>0</v>
      </c>
      <c r="V580" s="368"/>
      <c r="W580" s="633"/>
      <c r="X580" s="368"/>
      <c r="Y580" s="633"/>
      <c r="Z580" s="367"/>
      <c r="AA580" s="367"/>
      <c r="AB580" s="367"/>
      <c r="AC580" s="642"/>
      <c r="AD580" s="643"/>
      <c r="AE580" s="391"/>
      <c r="AF580" s="368"/>
      <c r="AG580" s="633"/>
      <c r="AH580" s="389"/>
    </row>
    <row r="581" spans="1:34">
      <c r="A581" s="374" t="s">
        <v>54</v>
      </c>
      <c r="B581" s="371" t="s">
        <v>442</v>
      </c>
      <c r="C581" s="468"/>
      <c r="D581" s="377">
        <v>238032</v>
      </c>
      <c r="E581" s="373">
        <v>1</v>
      </c>
      <c r="F581" s="217">
        <f t="shared" si="39"/>
        <v>669072</v>
      </c>
      <c r="G581" s="216">
        <f t="shared" si="40"/>
        <v>666742</v>
      </c>
      <c r="H581" s="368">
        <v>615228</v>
      </c>
      <c r="I581" s="390">
        <v>605628</v>
      </c>
      <c r="J581" s="368">
        <v>803</v>
      </c>
      <c r="K581" s="390">
        <v>905</v>
      </c>
      <c r="L581" s="367">
        <v>51363</v>
      </c>
      <c r="M581" s="367">
        <v>2</v>
      </c>
      <c r="N581" s="367">
        <v>1676</v>
      </c>
      <c r="O581" s="390">
        <v>58140</v>
      </c>
      <c r="P581" s="390"/>
      <c r="Q581" s="391">
        <v>2069</v>
      </c>
      <c r="R581" s="368">
        <v>0</v>
      </c>
      <c r="S581" s="390"/>
      <c r="T581" s="218">
        <f t="shared" si="41"/>
        <v>104407</v>
      </c>
      <c r="U581" s="219">
        <f t="shared" si="42"/>
        <v>103371</v>
      </c>
      <c r="V581" s="368">
        <v>68905</v>
      </c>
      <c r="W581" s="390">
        <v>68591</v>
      </c>
      <c r="X581" s="368">
        <v>5377</v>
      </c>
      <c r="Y581" s="390">
        <v>6428</v>
      </c>
      <c r="Z581" s="367">
        <v>29152</v>
      </c>
      <c r="AA581" s="367">
        <v>575</v>
      </c>
      <c r="AB581" s="367">
        <v>398</v>
      </c>
      <c r="AC581" s="390">
        <v>27688</v>
      </c>
      <c r="AD581" s="390">
        <v>399</v>
      </c>
      <c r="AE581" s="391">
        <v>265</v>
      </c>
      <c r="AF581" s="368">
        <v>0</v>
      </c>
      <c r="AG581" s="390"/>
      <c r="AH581" s="389"/>
    </row>
    <row r="582" spans="1:34">
      <c r="A582" s="374" t="s">
        <v>54</v>
      </c>
      <c r="B582" s="371" t="s">
        <v>443</v>
      </c>
      <c r="C582" s="468"/>
      <c r="D582" s="377">
        <v>237525</v>
      </c>
      <c r="E582" s="373">
        <v>3</v>
      </c>
      <c r="F582" s="217">
        <f t="shared" si="39"/>
        <v>266261</v>
      </c>
      <c r="G582" s="216">
        <f t="shared" si="40"/>
        <v>267453</v>
      </c>
      <c r="H582" s="368">
        <v>214146</v>
      </c>
      <c r="I582" s="390">
        <v>212015</v>
      </c>
      <c r="J582" s="368">
        <v>17260</v>
      </c>
      <c r="K582" s="390">
        <v>17214</v>
      </c>
      <c r="L582" s="367">
        <v>34831</v>
      </c>
      <c r="M582" s="367">
        <v>24</v>
      </c>
      <c r="N582" s="367">
        <v>0</v>
      </c>
      <c r="O582" s="390">
        <v>33446</v>
      </c>
      <c r="P582" s="390">
        <v>4778</v>
      </c>
      <c r="Q582" s="391"/>
      <c r="R582" s="368">
        <v>0</v>
      </c>
      <c r="S582" s="390"/>
      <c r="T582" s="218">
        <f t="shared" si="41"/>
        <v>55321</v>
      </c>
      <c r="U582" s="219">
        <f t="shared" si="42"/>
        <v>59404</v>
      </c>
      <c r="V582" s="368">
        <v>19128</v>
      </c>
      <c r="W582" s="390">
        <v>23392</v>
      </c>
      <c r="X582" s="368">
        <v>19823</v>
      </c>
      <c r="Y582" s="390">
        <v>18091</v>
      </c>
      <c r="Z582" s="367">
        <v>16029</v>
      </c>
      <c r="AA582" s="367">
        <v>341</v>
      </c>
      <c r="AB582" s="367"/>
      <c r="AC582" s="390">
        <v>16681</v>
      </c>
      <c r="AD582" s="390">
        <v>1240</v>
      </c>
      <c r="AE582" s="391"/>
      <c r="AF582" s="368"/>
      <c r="AG582" s="390"/>
      <c r="AH582" s="389"/>
    </row>
    <row r="583" spans="1:34">
      <c r="A583" s="374" t="s">
        <v>54</v>
      </c>
      <c r="B583" s="371" t="s">
        <v>444</v>
      </c>
      <c r="C583" s="469"/>
      <c r="D583" s="377">
        <v>237367</v>
      </c>
      <c r="E583" s="373">
        <v>5</v>
      </c>
      <c r="F583" s="217">
        <f t="shared" si="39"/>
        <v>111800</v>
      </c>
      <c r="G583" s="216">
        <f t="shared" si="40"/>
        <v>105285</v>
      </c>
      <c r="H583" s="368">
        <v>84820</v>
      </c>
      <c r="I583" s="390">
        <v>81361</v>
      </c>
      <c r="J583" s="368">
        <v>12029</v>
      </c>
      <c r="K583" s="390">
        <v>9602</v>
      </c>
      <c r="L583" s="367">
        <v>14951</v>
      </c>
      <c r="M583" s="367">
        <v>0</v>
      </c>
      <c r="N583" s="367">
        <v>0</v>
      </c>
      <c r="O583" s="390">
        <v>14322</v>
      </c>
      <c r="P583" s="390"/>
      <c r="Q583" s="391"/>
      <c r="R583" s="368">
        <v>0</v>
      </c>
      <c r="S583" s="390"/>
      <c r="T583" s="218">
        <f t="shared" si="41"/>
        <v>4587</v>
      </c>
      <c r="U583" s="219">
        <f t="shared" si="42"/>
        <v>3987</v>
      </c>
      <c r="V583" s="368">
        <v>1143</v>
      </c>
      <c r="W583" s="390">
        <v>829</v>
      </c>
      <c r="X583" s="368">
        <v>0</v>
      </c>
      <c r="Y583" s="390">
        <v>0</v>
      </c>
      <c r="Z583" s="367">
        <v>3444</v>
      </c>
      <c r="AA583" s="367">
        <v>0</v>
      </c>
      <c r="AB583" s="367"/>
      <c r="AC583" s="390">
        <v>3158</v>
      </c>
      <c r="AD583" s="390"/>
      <c r="AE583" s="391"/>
      <c r="AF583" s="368"/>
      <c r="AG583" s="390"/>
      <c r="AH583" s="389"/>
    </row>
    <row r="584" spans="1:34">
      <c r="A584" s="374" t="s">
        <v>54</v>
      </c>
      <c r="B584" s="371" t="s">
        <v>445</v>
      </c>
      <c r="C584" s="469"/>
      <c r="D584" s="470">
        <v>237792</v>
      </c>
      <c r="E584" s="471">
        <v>5</v>
      </c>
      <c r="F584" s="217">
        <f t="shared" ref="F584:F600" si="43">SUM(H584,J584,L584,M584,N584,R584)</f>
        <v>107270</v>
      </c>
      <c r="G584" s="216">
        <f t="shared" ref="G584:G600" si="44">SUM(I584,K584,O584,P584,Q584,S584)</f>
        <v>102409</v>
      </c>
      <c r="H584" s="368">
        <v>104923</v>
      </c>
      <c r="I584" s="390">
        <v>99075</v>
      </c>
      <c r="J584" s="368">
        <v>0</v>
      </c>
      <c r="K584" s="390">
        <v>0</v>
      </c>
      <c r="L584" s="367">
        <v>2347</v>
      </c>
      <c r="M584" s="367">
        <v>0</v>
      </c>
      <c r="N584" s="367">
        <v>0</v>
      </c>
      <c r="O584" s="390">
        <v>3334</v>
      </c>
      <c r="P584" s="390"/>
      <c r="Q584" s="391"/>
      <c r="R584" s="368">
        <v>0</v>
      </c>
      <c r="S584" s="390"/>
      <c r="T584" s="218">
        <f t="shared" ref="T584:T600" si="45">SUM(V584,X584,Z584,AA584,AB584,AF584)</f>
        <v>4213</v>
      </c>
      <c r="U584" s="219">
        <f t="shared" ref="U584:U600" si="46">SUM(W584,Y584,AC584,AD584,AE584,AG584)</f>
        <v>4501</v>
      </c>
      <c r="V584" s="368">
        <v>3880</v>
      </c>
      <c r="W584" s="390">
        <v>3668</v>
      </c>
      <c r="X584" s="368">
        <v>0</v>
      </c>
      <c r="Y584" s="390">
        <v>0</v>
      </c>
      <c r="Z584" s="367">
        <v>333</v>
      </c>
      <c r="AA584" s="367">
        <v>0</v>
      </c>
      <c r="AB584" s="367"/>
      <c r="AC584" s="390">
        <v>833</v>
      </c>
      <c r="AD584" s="390"/>
      <c r="AE584" s="391"/>
      <c r="AF584" s="368"/>
      <c r="AG584" s="390"/>
      <c r="AH584" s="389"/>
    </row>
    <row r="585" spans="1:34">
      <c r="A585" s="374" t="s">
        <v>54</v>
      </c>
      <c r="B585" s="371" t="s">
        <v>446</v>
      </c>
      <c r="C585" s="468"/>
      <c r="D585" s="377">
        <v>237215</v>
      </c>
      <c r="E585" s="373">
        <v>6</v>
      </c>
      <c r="F585" s="217">
        <f t="shared" si="43"/>
        <v>48982</v>
      </c>
      <c r="G585" s="216">
        <f t="shared" si="44"/>
        <v>43084</v>
      </c>
      <c r="H585" s="368">
        <v>25802</v>
      </c>
      <c r="I585" s="390">
        <v>21767</v>
      </c>
      <c r="J585" s="368">
        <v>3857</v>
      </c>
      <c r="K585" s="390">
        <v>3012</v>
      </c>
      <c r="L585" s="367">
        <v>15667</v>
      </c>
      <c r="M585" s="367">
        <v>3656</v>
      </c>
      <c r="N585" s="367">
        <v>0</v>
      </c>
      <c r="O585" s="390">
        <v>13566</v>
      </c>
      <c r="P585" s="390">
        <v>4739</v>
      </c>
      <c r="Q585" s="391"/>
      <c r="R585" s="368">
        <v>0</v>
      </c>
      <c r="S585" s="390"/>
      <c r="T585" s="218">
        <f t="shared" si="45"/>
        <v>0</v>
      </c>
      <c r="U585" s="219">
        <f t="shared" si="46"/>
        <v>0</v>
      </c>
      <c r="V585" s="368"/>
      <c r="W585" s="390"/>
      <c r="X585" s="368"/>
      <c r="Y585" s="390"/>
      <c r="Z585" s="367"/>
      <c r="AA585" s="367"/>
      <c r="AB585" s="367"/>
      <c r="AC585" s="390"/>
      <c r="AD585" s="390"/>
      <c r="AE585" s="391"/>
      <c r="AF585" s="368"/>
      <c r="AG585" s="390"/>
      <c r="AH585" s="389"/>
    </row>
    <row r="586" spans="1:34">
      <c r="A586" s="374" t="s">
        <v>54</v>
      </c>
      <c r="B586" s="371" t="s">
        <v>447</v>
      </c>
      <c r="C586" s="468" t="s">
        <v>463</v>
      </c>
      <c r="D586" s="377">
        <v>237330</v>
      </c>
      <c r="E586" s="373">
        <v>6</v>
      </c>
      <c r="F586" s="217">
        <f t="shared" si="43"/>
        <v>75849</v>
      </c>
      <c r="G586" s="216">
        <f t="shared" si="44"/>
        <v>68841</v>
      </c>
      <c r="H586" s="368">
        <v>56236</v>
      </c>
      <c r="I586" s="390">
        <v>51272</v>
      </c>
      <c r="J586" s="368">
        <v>10765</v>
      </c>
      <c r="K586" s="390">
        <v>8600</v>
      </c>
      <c r="L586" s="367">
        <v>8460</v>
      </c>
      <c r="M586" s="367">
        <v>388</v>
      </c>
      <c r="N586" s="367">
        <v>0</v>
      </c>
      <c r="O586" s="390">
        <v>8654</v>
      </c>
      <c r="P586" s="390">
        <v>315</v>
      </c>
      <c r="Q586" s="391"/>
      <c r="R586" s="368">
        <v>0</v>
      </c>
      <c r="S586" s="390"/>
      <c r="T586" s="218">
        <f t="shared" si="45"/>
        <v>4014</v>
      </c>
      <c r="U586" s="219">
        <f t="shared" si="46"/>
        <v>4620</v>
      </c>
      <c r="V586" s="368">
        <v>72</v>
      </c>
      <c r="W586" s="390">
        <v>105</v>
      </c>
      <c r="X586" s="368">
        <v>0</v>
      </c>
      <c r="Y586" s="390">
        <v>0</v>
      </c>
      <c r="Z586" s="367">
        <v>3942</v>
      </c>
      <c r="AA586" s="367">
        <v>0</v>
      </c>
      <c r="AB586" s="367"/>
      <c r="AC586" s="390">
        <v>4515</v>
      </c>
      <c r="AD586" s="390"/>
      <c r="AE586" s="391"/>
      <c r="AF586" s="368"/>
      <c r="AG586" s="390"/>
      <c r="AH586" s="389"/>
    </row>
    <row r="587" spans="1:34">
      <c r="A587" s="374" t="s">
        <v>54</v>
      </c>
      <c r="B587" s="371" t="s">
        <v>448</v>
      </c>
      <c r="C587" s="468"/>
      <c r="D587" s="377">
        <v>237385</v>
      </c>
      <c r="E587" s="373">
        <v>6</v>
      </c>
      <c r="F587" s="217">
        <f t="shared" si="43"/>
        <v>39391</v>
      </c>
      <c r="G587" s="216">
        <f t="shared" si="44"/>
        <v>37537</v>
      </c>
      <c r="H587" s="368">
        <v>31663</v>
      </c>
      <c r="I587" s="390">
        <v>28917</v>
      </c>
      <c r="J587" s="368">
        <v>3638</v>
      </c>
      <c r="K587" s="390">
        <v>3534</v>
      </c>
      <c r="L587" s="367">
        <v>4090</v>
      </c>
      <c r="M587" s="367">
        <v>0</v>
      </c>
      <c r="N587" s="367">
        <v>0</v>
      </c>
      <c r="O587" s="390">
        <v>5086</v>
      </c>
      <c r="P587" s="390"/>
      <c r="Q587" s="391"/>
      <c r="R587" s="368">
        <v>0</v>
      </c>
      <c r="S587" s="390"/>
      <c r="T587" s="218">
        <f t="shared" si="45"/>
        <v>0</v>
      </c>
      <c r="U587" s="219">
        <f t="shared" si="46"/>
        <v>0</v>
      </c>
      <c r="V587" s="368"/>
      <c r="W587" s="390"/>
      <c r="X587" s="368"/>
      <c r="Y587" s="390"/>
      <c r="Z587" s="367"/>
      <c r="AA587" s="367"/>
      <c r="AB587" s="367"/>
      <c r="AC587" s="390"/>
      <c r="AD587" s="390"/>
      <c r="AE587" s="391"/>
      <c r="AF587" s="368"/>
      <c r="AG587" s="390"/>
      <c r="AH587" s="389"/>
    </row>
    <row r="588" spans="1:34">
      <c r="A588" s="374" t="s">
        <v>54</v>
      </c>
      <c r="B588" s="472" t="s">
        <v>449</v>
      </c>
      <c r="C588" s="468" t="s">
        <v>463</v>
      </c>
      <c r="D588" s="377">
        <v>237932</v>
      </c>
      <c r="E588" s="373">
        <v>6</v>
      </c>
      <c r="F588" s="217">
        <f t="shared" si="43"/>
        <v>76215</v>
      </c>
      <c r="G588" s="216">
        <f t="shared" si="44"/>
        <v>72834</v>
      </c>
      <c r="H588" s="368">
        <v>64294</v>
      </c>
      <c r="I588" s="390">
        <v>61232</v>
      </c>
      <c r="J588" s="368">
        <v>4686</v>
      </c>
      <c r="K588" s="390">
        <v>3783</v>
      </c>
      <c r="L588" s="367">
        <v>7235</v>
      </c>
      <c r="M588" s="367">
        <v>0</v>
      </c>
      <c r="N588" s="367">
        <v>0</v>
      </c>
      <c r="O588" s="390">
        <v>7819</v>
      </c>
      <c r="P588" s="390"/>
      <c r="Q588" s="391"/>
      <c r="R588" s="368">
        <v>0</v>
      </c>
      <c r="S588" s="390"/>
      <c r="T588" s="218">
        <f t="shared" si="45"/>
        <v>4312</v>
      </c>
      <c r="U588" s="219">
        <f t="shared" si="46"/>
        <v>3865</v>
      </c>
      <c r="V588" s="368">
        <v>2737</v>
      </c>
      <c r="W588" s="390">
        <v>2167</v>
      </c>
      <c r="X588" s="368">
        <v>1215</v>
      </c>
      <c r="Y588" s="390">
        <v>1482</v>
      </c>
      <c r="Z588" s="367">
        <v>360</v>
      </c>
      <c r="AA588" s="367">
        <v>0</v>
      </c>
      <c r="AB588" s="367"/>
      <c r="AC588" s="390">
        <v>216</v>
      </c>
      <c r="AD588" s="390"/>
      <c r="AE588" s="391"/>
      <c r="AF588" s="368"/>
      <c r="AG588" s="390"/>
      <c r="AH588" s="389"/>
    </row>
    <row r="589" spans="1:34">
      <c r="A589" s="374" t="s">
        <v>54</v>
      </c>
      <c r="B589" s="371" t="s">
        <v>450</v>
      </c>
      <c r="C589" s="468"/>
      <c r="D589" s="377">
        <v>237899</v>
      </c>
      <c r="E589" s="373">
        <v>6</v>
      </c>
      <c r="F589" s="217">
        <f t="shared" si="43"/>
        <v>62659</v>
      </c>
      <c r="G589" s="216">
        <f t="shared" si="44"/>
        <v>64761</v>
      </c>
      <c r="H589" s="368">
        <v>49059</v>
      </c>
      <c r="I589" s="390">
        <v>48650</v>
      </c>
      <c r="J589" s="368">
        <v>1489</v>
      </c>
      <c r="K589" s="390">
        <v>2315</v>
      </c>
      <c r="L589" s="367">
        <v>12111</v>
      </c>
      <c r="M589" s="367">
        <v>0</v>
      </c>
      <c r="N589" s="367">
        <v>0</v>
      </c>
      <c r="O589" s="390">
        <v>13796</v>
      </c>
      <c r="P589" s="390"/>
      <c r="Q589" s="391"/>
      <c r="R589" s="368">
        <v>0</v>
      </c>
      <c r="S589" s="390"/>
      <c r="T589" s="218">
        <f t="shared" si="45"/>
        <v>908</v>
      </c>
      <c r="U589" s="219">
        <f t="shared" si="46"/>
        <v>822</v>
      </c>
      <c r="V589" s="368">
        <v>827</v>
      </c>
      <c r="W589" s="390">
        <v>774</v>
      </c>
      <c r="X589" s="368">
        <v>0</v>
      </c>
      <c r="Y589" s="390">
        <v>0</v>
      </c>
      <c r="Z589" s="367">
        <v>81</v>
      </c>
      <c r="AA589" s="367">
        <v>0</v>
      </c>
      <c r="AB589" s="367"/>
      <c r="AC589" s="390">
        <v>48</v>
      </c>
      <c r="AD589" s="390"/>
      <c r="AE589" s="391"/>
      <c r="AF589" s="368"/>
      <c r="AG589" s="390"/>
      <c r="AH589" s="389"/>
    </row>
    <row r="590" spans="1:34">
      <c r="A590" s="374" t="s">
        <v>54</v>
      </c>
      <c r="B590" s="371" t="s">
        <v>451</v>
      </c>
      <c r="C590" s="468"/>
      <c r="D590" s="377">
        <v>237950</v>
      </c>
      <c r="E590" s="373">
        <v>6</v>
      </c>
      <c r="F590" s="217">
        <f t="shared" si="43"/>
        <v>30116</v>
      </c>
      <c r="G590" s="216">
        <f t="shared" si="44"/>
        <v>32762</v>
      </c>
      <c r="H590" s="368">
        <v>26638</v>
      </c>
      <c r="I590" s="390">
        <v>28191</v>
      </c>
      <c r="J590" s="368">
        <v>554</v>
      </c>
      <c r="K590" s="390">
        <v>851</v>
      </c>
      <c r="L590" s="367">
        <v>2924</v>
      </c>
      <c r="M590" s="367">
        <v>0</v>
      </c>
      <c r="N590" s="367">
        <v>0</v>
      </c>
      <c r="O590" s="390">
        <v>3720</v>
      </c>
      <c r="P590" s="390"/>
      <c r="Q590" s="391"/>
      <c r="R590" s="368">
        <v>0</v>
      </c>
      <c r="S590" s="390"/>
      <c r="T590" s="218">
        <f t="shared" si="45"/>
        <v>0</v>
      </c>
      <c r="U590" s="219">
        <f t="shared" si="46"/>
        <v>0</v>
      </c>
      <c r="V590" s="368"/>
      <c r="W590" s="390"/>
      <c r="X590" s="368"/>
      <c r="Y590" s="390"/>
      <c r="Z590" s="367"/>
      <c r="AA590" s="367"/>
      <c r="AB590" s="367"/>
      <c r="AC590" s="390"/>
      <c r="AD590" s="390"/>
      <c r="AE590" s="391"/>
      <c r="AF590" s="368"/>
      <c r="AG590" s="390"/>
      <c r="AH590" s="389"/>
    </row>
    <row r="591" spans="1:34">
      <c r="A591" s="374" t="s">
        <v>54</v>
      </c>
      <c r="B591" s="473" t="s">
        <v>452</v>
      </c>
      <c r="C591" s="474"/>
      <c r="D591" s="377">
        <v>237701</v>
      </c>
      <c r="E591" s="373">
        <v>7</v>
      </c>
      <c r="F591" s="217">
        <f t="shared" si="43"/>
        <v>42236</v>
      </c>
      <c r="G591" s="216">
        <f t="shared" si="44"/>
        <v>39646</v>
      </c>
      <c r="H591" s="368">
        <v>38040</v>
      </c>
      <c r="I591" s="390">
        <v>34919</v>
      </c>
      <c r="J591" s="368">
        <v>2381</v>
      </c>
      <c r="K591" s="390">
        <v>2063</v>
      </c>
      <c r="L591" s="367">
        <v>1815</v>
      </c>
      <c r="M591" s="367">
        <v>0</v>
      </c>
      <c r="N591" s="367">
        <v>0</v>
      </c>
      <c r="O591" s="390">
        <v>2664</v>
      </c>
      <c r="P591" s="390"/>
      <c r="Q591" s="391"/>
      <c r="R591" s="368">
        <v>0</v>
      </c>
      <c r="S591" s="390"/>
      <c r="T591" s="218">
        <f t="shared" si="45"/>
        <v>0</v>
      </c>
      <c r="U591" s="219">
        <f t="shared" si="46"/>
        <v>0</v>
      </c>
      <c r="V591" s="368"/>
      <c r="W591" s="390"/>
      <c r="X591" s="368"/>
      <c r="Y591" s="390"/>
      <c r="Z591" s="367"/>
      <c r="AA591" s="367"/>
      <c r="AB591" s="367"/>
      <c r="AC591" s="390"/>
      <c r="AD591" s="390"/>
      <c r="AE591" s="391"/>
      <c r="AF591" s="368"/>
      <c r="AG591" s="390"/>
      <c r="AH591" s="389"/>
    </row>
    <row r="592" spans="1:34">
      <c r="A592" s="374" t="s">
        <v>54</v>
      </c>
      <c r="B592" s="371" t="s">
        <v>453</v>
      </c>
      <c r="C592" s="468" t="s">
        <v>464</v>
      </c>
      <c r="D592" s="377">
        <v>237686</v>
      </c>
      <c r="E592" s="373">
        <v>7</v>
      </c>
      <c r="F592" s="217">
        <f t="shared" si="43"/>
        <v>82975</v>
      </c>
      <c r="G592" s="216">
        <f t="shared" si="44"/>
        <v>69347</v>
      </c>
      <c r="H592" s="368">
        <v>46689</v>
      </c>
      <c r="I592" s="390">
        <v>56675</v>
      </c>
      <c r="J592" s="368">
        <v>10696</v>
      </c>
      <c r="K592" s="390">
        <v>8893</v>
      </c>
      <c r="L592" s="367">
        <v>24042</v>
      </c>
      <c r="M592" s="367">
        <v>0</v>
      </c>
      <c r="N592" s="367">
        <v>1548</v>
      </c>
      <c r="O592" s="390">
        <v>2982</v>
      </c>
      <c r="P592" s="390"/>
      <c r="Q592" s="391">
        <v>797</v>
      </c>
      <c r="R592" s="368">
        <v>0</v>
      </c>
      <c r="S592" s="390"/>
      <c r="T592" s="218">
        <f t="shared" si="45"/>
        <v>0</v>
      </c>
      <c r="U592" s="219">
        <f t="shared" si="46"/>
        <v>0</v>
      </c>
      <c r="V592" s="368"/>
      <c r="W592" s="390"/>
      <c r="X592" s="368"/>
      <c r="Y592" s="390"/>
      <c r="Z592" s="367"/>
      <c r="AA592" s="367"/>
      <c r="AB592" s="367"/>
      <c r="AC592" s="390"/>
      <c r="AD592" s="390"/>
      <c r="AE592" s="391"/>
      <c r="AF592" s="368"/>
      <c r="AG592" s="390"/>
      <c r="AH592" s="389"/>
    </row>
    <row r="593" spans="1:34">
      <c r="A593" s="374" t="s">
        <v>54</v>
      </c>
      <c r="B593" s="371" t="s">
        <v>454</v>
      </c>
      <c r="C593" s="469" t="s">
        <v>357</v>
      </c>
      <c r="D593" s="377">
        <v>447582</v>
      </c>
      <c r="E593" s="376">
        <v>9</v>
      </c>
      <c r="F593" s="217">
        <f t="shared" si="43"/>
        <v>64322</v>
      </c>
      <c r="G593" s="216">
        <f t="shared" si="44"/>
        <v>54220</v>
      </c>
      <c r="H593" s="368">
        <v>36735</v>
      </c>
      <c r="I593" s="390">
        <v>31150</v>
      </c>
      <c r="J593" s="368">
        <v>9344</v>
      </c>
      <c r="K593" s="390">
        <v>5393</v>
      </c>
      <c r="L593" s="367">
        <v>13158</v>
      </c>
      <c r="M593" s="367">
        <v>5055</v>
      </c>
      <c r="N593" s="367">
        <v>30</v>
      </c>
      <c r="O593" s="390">
        <v>12678</v>
      </c>
      <c r="P593" s="390">
        <v>4999</v>
      </c>
      <c r="Q593" s="391"/>
      <c r="R593" s="368">
        <v>0</v>
      </c>
      <c r="S593" s="390"/>
      <c r="T593" s="218">
        <f t="shared" si="45"/>
        <v>0</v>
      </c>
      <c r="U593" s="219">
        <f t="shared" si="46"/>
        <v>0</v>
      </c>
      <c r="V593" s="368"/>
      <c r="W593" s="390"/>
      <c r="X593" s="368"/>
      <c r="Y593" s="390"/>
      <c r="Z593" s="367"/>
      <c r="AA593" s="367"/>
      <c r="AB593" s="367"/>
      <c r="AC593" s="390"/>
      <c r="AD593" s="390"/>
      <c r="AE593" s="391"/>
      <c r="AF593" s="368"/>
      <c r="AG593" s="390"/>
      <c r="AH593" s="389"/>
    </row>
    <row r="594" spans="1:34">
      <c r="A594" s="374" t="s">
        <v>54</v>
      </c>
      <c r="B594" s="473" t="s">
        <v>455</v>
      </c>
      <c r="C594" s="469" t="s">
        <v>357</v>
      </c>
      <c r="D594" s="377">
        <v>443492</v>
      </c>
      <c r="E594" s="376">
        <v>9</v>
      </c>
      <c r="F594" s="217">
        <f t="shared" si="43"/>
        <v>61226</v>
      </c>
      <c r="G594" s="216">
        <f t="shared" si="44"/>
        <v>50831</v>
      </c>
      <c r="H594" s="368">
        <v>31554</v>
      </c>
      <c r="I594" s="390">
        <v>25577</v>
      </c>
      <c r="J594" s="368">
        <v>22564</v>
      </c>
      <c r="K594" s="390">
        <v>19637</v>
      </c>
      <c r="L594" s="367">
        <v>7108</v>
      </c>
      <c r="M594" s="367">
        <v>0</v>
      </c>
      <c r="N594" s="367">
        <v>0</v>
      </c>
      <c r="O594" s="390">
        <v>5617</v>
      </c>
      <c r="P594" s="390"/>
      <c r="Q594" s="391"/>
      <c r="R594" s="368">
        <v>0</v>
      </c>
      <c r="S594" s="390"/>
      <c r="T594" s="218">
        <f t="shared" si="45"/>
        <v>0</v>
      </c>
      <c r="U594" s="219">
        <f t="shared" si="46"/>
        <v>3</v>
      </c>
      <c r="V594" s="368"/>
      <c r="W594" s="390"/>
      <c r="X594" s="368"/>
      <c r="Y594" s="390"/>
      <c r="Z594" s="367"/>
      <c r="AA594" s="367"/>
      <c r="AB594" s="367"/>
      <c r="AC594" s="390">
        <v>3</v>
      </c>
      <c r="AD594" s="390"/>
      <c r="AE594" s="391"/>
      <c r="AF594" s="368"/>
      <c r="AG594" s="390"/>
      <c r="AH594" s="389"/>
    </row>
    <row r="595" spans="1:34">
      <c r="A595" s="374" t="s">
        <v>54</v>
      </c>
      <c r="B595" s="371" t="s">
        <v>456</v>
      </c>
      <c r="C595" s="475" t="s">
        <v>465</v>
      </c>
      <c r="D595" s="377">
        <v>238014</v>
      </c>
      <c r="E595" s="479">
        <v>10</v>
      </c>
      <c r="F595" s="217">
        <f t="shared" si="43"/>
        <v>47881</v>
      </c>
      <c r="G595" s="216">
        <f t="shared" si="44"/>
        <v>41963</v>
      </c>
      <c r="H595" s="368">
        <v>39116</v>
      </c>
      <c r="I595" s="390">
        <v>32926</v>
      </c>
      <c r="J595" s="368">
        <v>0</v>
      </c>
      <c r="K595" s="390">
        <v>0</v>
      </c>
      <c r="L595" s="367">
        <v>7210</v>
      </c>
      <c r="M595" s="367">
        <v>1555</v>
      </c>
      <c r="N595" s="367">
        <v>0</v>
      </c>
      <c r="O595" s="390">
        <v>7336</v>
      </c>
      <c r="P595" s="390">
        <v>1701</v>
      </c>
      <c r="Q595" s="391"/>
      <c r="R595" s="368">
        <v>0</v>
      </c>
      <c r="S595" s="390"/>
      <c r="T595" s="218">
        <f t="shared" si="45"/>
        <v>0</v>
      </c>
      <c r="U595" s="219">
        <f t="shared" si="46"/>
        <v>0</v>
      </c>
      <c r="V595" s="368"/>
      <c r="W595" s="390"/>
      <c r="X595" s="368"/>
      <c r="Y595" s="390"/>
      <c r="Z595" s="367"/>
      <c r="AA595" s="367"/>
      <c r="AB595" s="367"/>
      <c r="AC595" s="390"/>
      <c r="AD595" s="390"/>
      <c r="AE595" s="391"/>
      <c r="AF595" s="368"/>
      <c r="AG595" s="390"/>
      <c r="AH595" s="389"/>
    </row>
    <row r="596" spans="1:34">
      <c r="A596" s="374" t="s">
        <v>54</v>
      </c>
      <c r="B596" s="371" t="s">
        <v>457</v>
      </c>
      <c r="C596" s="468" t="s">
        <v>466</v>
      </c>
      <c r="D596" s="377">
        <v>446774</v>
      </c>
      <c r="E596" s="373">
        <v>10</v>
      </c>
      <c r="F596" s="217">
        <f t="shared" si="43"/>
        <v>59829</v>
      </c>
      <c r="G596" s="216">
        <f t="shared" si="44"/>
        <v>61095</v>
      </c>
      <c r="H596" s="368">
        <v>20941</v>
      </c>
      <c r="I596" s="390">
        <v>22795</v>
      </c>
      <c r="J596" s="368">
        <v>23906</v>
      </c>
      <c r="K596" s="390">
        <v>25335</v>
      </c>
      <c r="L596" s="367">
        <v>14982</v>
      </c>
      <c r="M596" s="367">
        <v>0</v>
      </c>
      <c r="N596" s="367">
        <v>0</v>
      </c>
      <c r="O596" s="390">
        <v>12965</v>
      </c>
      <c r="P596" s="390"/>
      <c r="Q596" s="391"/>
      <c r="R596" s="368">
        <v>0</v>
      </c>
      <c r="S596" s="390"/>
      <c r="T596" s="218">
        <f t="shared" si="45"/>
        <v>0</v>
      </c>
      <c r="U596" s="219">
        <f t="shared" si="46"/>
        <v>0</v>
      </c>
      <c r="V596" s="368"/>
      <c r="W596" s="390"/>
      <c r="X596" s="368"/>
      <c r="Y596" s="390"/>
      <c r="Z596" s="367"/>
      <c r="AA596" s="367"/>
      <c r="AB596" s="367"/>
      <c r="AC596" s="390"/>
      <c r="AD596" s="390"/>
      <c r="AE596" s="391"/>
      <c r="AF596" s="368"/>
      <c r="AG596" s="390"/>
      <c r="AH596" s="389"/>
    </row>
    <row r="597" spans="1:34">
      <c r="A597" s="374" t="s">
        <v>54</v>
      </c>
      <c r="B597" s="371" t="s">
        <v>461</v>
      </c>
      <c r="C597" s="468" t="s">
        <v>462</v>
      </c>
      <c r="D597" s="377">
        <v>484932</v>
      </c>
      <c r="E597" s="373">
        <v>10</v>
      </c>
      <c r="F597" s="217">
        <f t="shared" si="43"/>
        <v>51651</v>
      </c>
      <c r="G597" s="216">
        <f t="shared" si="44"/>
        <v>48091</v>
      </c>
      <c r="H597" s="476">
        <v>41873</v>
      </c>
      <c r="I597" s="477">
        <v>38727</v>
      </c>
      <c r="J597" s="476">
        <v>1557</v>
      </c>
      <c r="K597" s="477">
        <v>726</v>
      </c>
      <c r="L597" s="478">
        <v>8221</v>
      </c>
      <c r="M597" s="478">
        <v>0</v>
      </c>
      <c r="N597" s="478">
        <v>0</v>
      </c>
      <c r="O597" s="477">
        <v>8638</v>
      </c>
      <c r="P597" s="390"/>
      <c r="Q597" s="391"/>
      <c r="R597" s="368">
        <v>0</v>
      </c>
      <c r="S597" s="390"/>
      <c r="T597" s="218">
        <f t="shared" si="45"/>
        <v>0</v>
      </c>
      <c r="U597" s="219">
        <f t="shared" si="46"/>
        <v>0</v>
      </c>
      <c r="V597" s="368"/>
      <c r="W597" s="390"/>
      <c r="X597" s="368"/>
      <c r="Y597" s="390"/>
      <c r="Z597" s="367"/>
      <c r="AA597" s="367"/>
      <c r="AB597" s="367"/>
      <c r="AC597" s="390"/>
      <c r="AD597" s="390"/>
      <c r="AE597" s="391"/>
      <c r="AF597" s="368"/>
      <c r="AG597" s="391"/>
    </row>
    <row r="598" spans="1:34">
      <c r="A598" s="374" t="s">
        <v>54</v>
      </c>
      <c r="B598" s="371" t="s">
        <v>458</v>
      </c>
      <c r="C598" s="468"/>
      <c r="D598" s="377">
        <v>438708</v>
      </c>
      <c r="E598" s="373">
        <v>10</v>
      </c>
      <c r="F598" s="217">
        <f t="shared" si="43"/>
        <v>14970</v>
      </c>
      <c r="G598" s="216">
        <f t="shared" si="44"/>
        <v>14760</v>
      </c>
      <c r="H598" s="368">
        <v>6846</v>
      </c>
      <c r="I598" s="390">
        <v>5996</v>
      </c>
      <c r="J598" s="368">
        <v>3887</v>
      </c>
      <c r="K598" s="390">
        <v>4608</v>
      </c>
      <c r="L598" s="367">
        <v>4018</v>
      </c>
      <c r="M598" s="367">
        <v>219</v>
      </c>
      <c r="N598" s="367">
        <v>0</v>
      </c>
      <c r="O598" s="390">
        <v>4030</v>
      </c>
      <c r="P598" s="390">
        <v>126</v>
      </c>
      <c r="Q598" s="391"/>
      <c r="R598" s="368">
        <v>0</v>
      </c>
      <c r="S598" s="390"/>
      <c r="T598" s="218">
        <f t="shared" si="45"/>
        <v>0</v>
      </c>
      <c r="U598" s="219">
        <f t="shared" si="46"/>
        <v>0</v>
      </c>
      <c r="V598" s="368"/>
      <c r="W598" s="390"/>
      <c r="X598" s="368"/>
      <c r="Y598" s="390"/>
      <c r="Z598" s="367"/>
      <c r="AA598" s="367"/>
      <c r="AB598" s="367"/>
      <c r="AC598" s="390"/>
      <c r="AD598" s="390"/>
      <c r="AE598" s="391"/>
      <c r="AF598" s="368"/>
      <c r="AG598" s="391"/>
    </row>
    <row r="599" spans="1:34">
      <c r="A599" s="374" t="s">
        <v>54</v>
      </c>
      <c r="B599" s="371" t="s">
        <v>459</v>
      </c>
      <c r="C599" s="469"/>
      <c r="D599" s="470">
        <v>444954</v>
      </c>
      <c r="E599" s="373">
        <v>10</v>
      </c>
      <c r="F599" s="217">
        <f t="shared" si="43"/>
        <v>53786</v>
      </c>
      <c r="G599" s="216">
        <f t="shared" si="44"/>
        <v>48280</v>
      </c>
      <c r="H599" s="368">
        <v>30890</v>
      </c>
      <c r="I599" s="390">
        <v>27658</v>
      </c>
      <c r="J599" s="368">
        <v>12911</v>
      </c>
      <c r="K599" s="390">
        <v>10382</v>
      </c>
      <c r="L599" s="367">
        <v>9985</v>
      </c>
      <c r="M599" s="367">
        <v>0</v>
      </c>
      <c r="N599" s="367">
        <v>0</v>
      </c>
      <c r="O599" s="390">
        <v>10240</v>
      </c>
      <c r="P599" s="390"/>
      <c r="Q599" s="391"/>
      <c r="R599" s="368">
        <v>0</v>
      </c>
      <c r="S599" s="390"/>
      <c r="T599" s="218">
        <f t="shared" si="45"/>
        <v>0</v>
      </c>
      <c r="U599" s="219">
        <f t="shared" si="46"/>
        <v>0</v>
      </c>
      <c r="V599" s="368"/>
      <c r="W599" s="390"/>
      <c r="X599" s="368"/>
      <c r="Y599" s="390"/>
      <c r="Z599" s="367"/>
      <c r="AA599" s="367"/>
      <c r="AB599" s="367"/>
      <c r="AC599" s="390"/>
      <c r="AD599" s="390"/>
      <c r="AE599" s="391"/>
      <c r="AF599" s="368"/>
      <c r="AG599" s="391"/>
    </row>
    <row r="600" spans="1:34">
      <c r="A600" s="374" t="s">
        <v>54</v>
      </c>
      <c r="B600" s="371" t="s">
        <v>460</v>
      </c>
      <c r="C600" s="468"/>
      <c r="D600" s="377">
        <v>237817</v>
      </c>
      <c r="E600" s="373">
        <v>10</v>
      </c>
      <c r="F600" s="217">
        <f t="shared" si="43"/>
        <v>44965</v>
      </c>
      <c r="G600" s="216">
        <f t="shared" si="44"/>
        <v>41200</v>
      </c>
      <c r="H600" s="368">
        <v>31549</v>
      </c>
      <c r="I600" s="390">
        <v>27990</v>
      </c>
      <c r="J600" s="368">
        <v>2203</v>
      </c>
      <c r="K600" s="390">
        <v>2085</v>
      </c>
      <c r="L600" s="367">
        <v>9124</v>
      </c>
      <c r="M600" s="367">
        <v>2089</v>
      </c>
      <c r="N600" s="367">
        <v>0</v>
      </c>
      <c r="O600" s="390">
        <v>8196</v>
      </c>
      <c r="P600" s="390">
        <v>2929</v>
      </c>
      <c r="Q600" s="391"/>
      <c r="R600" s="368">
        <v>0</v>
      </c>
      <c r="S600" s="390"/>
      <c r="T600" s="218">
        <f t="shared" si="45"/>
        <v>0</v>
      </c>
      <c r="U600" s="219">
        <f t="shared" si="46"/>
        <v>0</v>
      </c>
      <c r="V600" s="368"/>
      <c r="W600" s="390"/>
      <c r="X600" s="368"/>
      <c r="Y600" s="390"/>
      <c r="Z600" s="367"/>
      <c r="AA600" s="367"/>
      <c r="AB600" s="367"/>
      <c r="AC600" s="390"/>
      <c r="AD600" s="390"/>
      <c r="AE600" s="391"/>
      <c r="AF600" s="368"/>
      <c r="AG600" s="391"/>
    </row>
    <row r="601" spans="1:34">
      <c r="A601" s="389"/>
      <c r="B601" s="9"/>
      <c r="C601" s="9"/>
      <c r="D601" s="9"/>
      <c r="E601" s="9"/>
      <c r="G601" s="9"/>
      <c r="I601" s="9"/>
      <c r="M601" s="9"/>
      <c r="N601" s="9"/>
      <c r="O601" s="9"/>
      <c r="Q601" s="9"/>
      <c r="S601" s="9"/>
      <c r="U601" s="9"/>
      <c r="W601" s="9"/>
      <c r="AA601" s="9"/>
      <c r="AB601" s="9"/>
      <c r="AC601" s="9"/>
      <c r="AE601" s="9"/>
    </row>
    <row r="602" spans="1:34">
      <c r="A602" s="389"/>
      <c r="B602" s="9"/>
      <c r="C602" s="9"/>
      <c r="D602" s="9"/>
      <c r="E602" s="9"/>
      <c r="G602" s="9"/>
      <c r="I602" s="9"/>
      <c r="M602" s="9"/>
      <c r="N602" s="9"/>
      <c r="O602" s="9"/>
      <c r="Q602" s="9"/>
      <c r="S602" s="9"/>
      <c r="U602" s="9"/>
      <c r="W602" s="9"/>
      <c r="AA602" s="9"/>
      <c r="AB602" s="9"/>
      <c r="AC602" s="9"/>
      <c r="AE602" s="9"/>
    </row>
    <row r="603" spans="1:34">
      <c r="A603" s="389"/>
      <c r="B603" s="9"/>
      <c r="C603" s="9"/>
      <c r="D603" s="9"/>
      <c r="E603" s="9"/>
      <c r="G603" s="9"/>
      <c r="I603" s="9"/>
      <c r="M603" s="9"/>
      <c r="N603" s="9"/>
      <c r="O603" s="9"/>
      <c r="Q603" s="9"/>
      <c r="S603" s="9"/>
      <c r="U603" s="9"/>
      <c r="W603" s="9"/>
      <c r="AA603" s="9"/>
      <c r="AB603" s="9"/>
      <c r="AC603" s="9"/>
      <c r="AE603" s="9"/>
    </row>
    <row r="604" spans="1:34">
      <c r="A604" s="389"/>
      <c r="B604" s="9"/>
      <c r="C604" s="9"/>
      <c r="D604" s="9"/>
      <c r="E604" s="9"/>
      <c r="G604" s="9"/>
      <c r="I604" s="9"/>
      <c r="M604" s="9"/>
      <c r="N604" s="9"/>
      <c r="O604" s="9"/>
      <c r="Q604" s="9"/>
      <c r="S604" s="9"/>
      <c r="U604" s="9"/>
      <c r="W604" s="9"/>
      <c r="AA604" s="9"/>
      <c r="AB604" s="9"/>
      <c r="AC604" s="9"/>
      <c r="AE604" s="9"/>
    </row>
    <row r="605" spans="1:34">
      <c r="A605" s="389"/>
      <c r="B605" s="9"/>
      <c r="C605" s="9"/>
      <c r="D605" s="9"/>
      <c r="E605" s="9"/>
      <c r="G605" s="9"/>
      <c r="I605" s="9"/>
      <c r="M605" s="9"/>
      <c r="N605" s="9"/>
      <c r="O605" s="9"/>
      <c r="Q605" s="9"/>
      <c r="S605" s="9"/>
      <c r="U605" s="9"/>
      <c r="W605" s="9"/>
      <c r="AA605" s="9"/>
      <c r="AB605" s="9"/>
      <c r="AC605" s="9"/>
      <c r="AE605" s="9"/>
    </row>
    <row r="606" spans="1:34">
      <c r="A606" s="389"/>
      <c r="B606" s="9"/>
      <c r="C606" s="9"/>
      <c r="D606" s="9"/>
      <c r="E606" s="9"/>
      <c r="G606" s="9"/>
      <c r="I606" s="9"/>
      <c r="M606" s="9"/>
      <c r="N606" s="9"/>
      <c r="O606" s="9"/>
      <c r="Q606" s="9"/>
      <c r="S606" s="9"/>
      <c r="U606" s="9"/>
      <c r="W606" s="9"/>
      <c r="AA606" s="9"/>
      <c r="AB606" s="9"/>
      <c r="AC606" s="9"/>
      <c r="AE606" s="9"/>
    </row>
    <row r="607" spans="1:34">
      <c r="A607" s="389"/>
      <c r="B607" s="9"/>
      <c r="C607" s="9"/>
      <c r="D607" s="9"/>
      <c r="E607" s="9"/>
      <c r="G607" s="9"/>
      <c r="I607" s="9"/>
      <c r="M607" s="9"/>
      <c r="N607" s="9"/>
      <c r="O607" s="9"/>
      <c r="Q607" s="9"/>
      <c r="S607" s="9"/>
      <c r="U607" s="9"/>
      <c r="W607" s="9"/>
      <c r="AA607" s="9"/>
      <c r="AB607" s="9"/>
      <c r="AC607" s="9"/>
      <c r="AE607" s="9"/>
    </row>
    <row r="608" spans="1:34">
      <c r="A608" s="389"/>
      <c r="B608" s="9"/>
      <c r="C608" s="9"/>
      <c r="D608" s="9"/>
      <c r="E608" s="9"/>
      <c r="G608" s="9"/>
      <c r="I608" s="9"/>
      <c r="M608" s="9"/>
      <c r="N608" s="9"/>
      <c r="O608" s="9"/>
      <c r="Q608" s="9"/>
      <c r="S608" s="9"/>
      <c r="U608" s="9"/>
      <c r="W608" s="9"/>
      <c r="AA608" s="9"/>
      <c r="AB608" s="9"/>
      <c r="AC608" s="9"/>
      <c r="AE608" s="9"/>
    </row>
    <row r="609" spans="1:31">
      <c r="A609" s="389"/>
      <c r="B609" s="9"/>
      <c r="C609" s="9"/>
      <c r="D609" s="9"/>
      <c r="E609" s="9"/>
      <c r="G609" s="9"/>
      <c r="I609" s="9"/>
      <c r="M609" s="9"/>
      <c r="N609" s="9"/>
      <c r="O609" s="9"/>
      <c r="Q609" s="9"/>
      <c r="S609" s="9"/>
      <c r="U609" s="9"/>
      <c r="W609" s="9"/>
      <c r="AA609" s="9"/>
      <c r="AB609" s="9"/>
      <c r="AC609" s="9"/>
      <c r="AE609" s="9"/>
    </row>
    <row r="610" spans="1:31">
      <c r="A610" s="389"/>
      <c r="B610" s="9"/>
      <c r="C610" s="9"/>
      <c r="D610" s="9"/>
      <c r="E610" s="9"/>
      <c r="G610" s="9"/>
      <c r="I610" s="9"/>
      <c r="M610" s="9"/>
      <c r="N610" s="9"/>
      <c r="O610" s="9"/>
      <c r="Q610" s="9"/>
      <c r="S610" s="9"/>
      <c r="U610" s="9"/>
      <c r="W610" s="9"/>
      <c r="AA610" s="9"/>
      <c r="AB610" s="9"/>
      <c r="AC610" s="9"/>
      <c r="AE610" s="9"/>
    </row>
    <row r="611" spans="1:31">
      <c r="A611" s="389"/>
      <c r="B611" s="9"/>
      <c r="C611" s="9"/>
      <c r="D611" s="9"/>
      <c r="E611" s="9"/>
      <c r="G611" s="9"/>
      <c r="I611" s="9"/>
      <c r="M611" s="9"/>
      <c r="N611" s="9"/>
      <c r="O611" s="9"/>
      <c r="Q611" s="9"/>
      <c r="S611" s="9"/>
      <c r="U611" s="9"/>
      <c r="W611" s="9"/>
      <c r="AA611" s="9"/>
      <c r="AB611" s="9"/>
      <c r="AC611" s="9"/>
      <c r="AE611" s="9"/>
    </row>
    <row r="612" spans="1:31">
      <c r="A612" s="389"/>
      <c r="B612" s="9"/>
      <c r="C612" s="9"/>
      <c r="D612" s="9"/>
      <c r="E612" s="9"/>
      <c r="G612" s="9"/>
      <c r="I612" s="9"/>
      <c r="M612" s="9"/>
      <c r="N612" s="9"/>
      <c r="O612" s="9"/>
      <c r="Q612" s="9"/>
      <c r="S612" s="9"/>
      <c r="U612" s="9"/>
      <c r="W612" s="9"/>
      <c r="AA612" s="9"/>
      <c r="AB612" s="9"/>
      <c r="AC612" s="9"/>
      <c r="AE612" s="9"/>
    </row>
    <row r="613" spans="1:31">
      <c r="A613" s="389"/>
      <c r="B613" s="9"/>
      <c r="C613" s="9"/>
      <c r="D613" s="9"/>
      <c r="E613" s="9"/>
      <c r="G613" s="9"/>
      <c r="I613" s="9"/>
      <c r="M613" s="9"/>
      <c r="N613" s="9"/>
      <c r="O613" s="9"/>
      <c r="Q613" s="9"/>
      <c r="S613" s="9"/>
      <c r="U613" s="9"/>
      <c r="W613" s="9"/>
      <c r="AA613" s="9"/>
      <c r="AB613" s="9"/>
      <c r="AC613" s="9"/>
      <c r="AE613" s="9"/>
    </row>
    <row r="614" spans="1:31">
      <c r="A614" s="389"/>
      <c r="B614" s="9"/>
      <c r="C614" s="9"/>
      <c r="D614" s="9"/>
      <c r="E614" s="9"/>
      <c r="G614" s="9"/>
      <c r="I614" s="9"/>
      <c r="M614" s="9"/>
      <c r="N614" s="9"/>
      <c r="O614" s="9"/>
      <c r="Q614" s="9"/>
      <c r="S614" s="9"/>
      <c r="U614" s="9"/>
      <c r="W614" s="9"/>
      <c r="AA614" s="9"/>
      <c r="AB614" s="9"/>
      <c r="AC614" s="9"/>
      <c r="AE614" s="9"/>
    </row>
    <row r="615" spans="1:31">
      <c r="A615" s="389"/>
      <c r="B615" s="9"/>
      <c r="C615" s="9"/>
      <c r="D615" s="9"/>
      <c r="E615" s="9"/>
      <c r="G615" s="9"/>
      <c r="I615" s="9"/>
      <c r="M615" s="9"/>
      <c r="N615" s="9"/>
      <c r="O615" s="9"/>
      <c r="Q615" s="9"/>
      <c r="S615" s="9"/>
      <c r="U615" s="9"/>
      <c r="W615" s="9"/>
      <c r="AA615" s="9"/>
      <c r="AB615" s="9"/>
      <c r="AC615" s="9"/>
      <c r="AE615" s="9"/>
    </row>
    <row r="616" spans="1:31">
      <c r="A616" s="389"/>
      <c r="B616" s="9"/>
      <c r="C616" s="9"/>
      <c r="D616" s="9"/>
      <c r="E616" s="9"/>
      <c r="G616" s="9"/>
      <c r="I616" s="9"/>
      <c r="M616" s="9"/>
      <c r="N616" s="9"/>
      <c r="O616" s="9"/>
      <c r="Q616" s="9"/>
      <c r="S616" s="9"/>
      <c r="U616" s="9"/>
      <c r="W616" s="9"/>
      <c r="AA616" s="9"/>
      <c r="AB616" s="9"/>
      <c r="AC616" s="9"/>
      <c r="AE616" s="9"/>
    </row>
    <row r="617" spans="1:31">
      <c r="A617" s="389"/>
      <c r="B617" s="9"/>
      <c r="C617" s="9"/>
      <c r="D617" s="9"/>
      <c r="E617" s="9"/>
      <c r="G617" s="9"/>
      <c r="I617" s="9"/>
      <c r="M617" s="9"/>
      <c r="N617" s="9"/>
      <c r="O617" s="9"/>
      <c r="Q617" s="9"/>
      <c r="S617" s="9"/>
      <c r="U617" s="9"/>
      <c r="W617" s="9"/>
      <c r="AA617" s="9"/>
      <c r="AB617" s="9"/>
      <c r="AC617" s="9"/>
      <c r="AE617" s="9"/>
    </row>
    <row r="618" spans="1:31">
      <c r="A618" s="389"/>
      <c r="B618" s="9"/>
      <c r="C618" s="9"/>
      <c r="D618" s="9"/>
      <c r="E618" s="9"/>
      <c r="G618" s="9"/>
      <c r="I618" s="9"/>
      <c r="M618" s="9"/>
      <c r="N618" s="9"/>
      <c r="O618" s="9"/>
      <c r="Q618" s="9"/>
      <c r="S618" s="9"/>
      <c r="U618" s="9"/>
      <c r="W618" s="9"/>
      <c r="AA618" s="9"/>
      <c r="AB618" s="9"/>
      <c r="AC618" s="9"/>
      <c r="AE618" s="9"/>
    </row>
    <row r="619" spans="1:31">
      <c r="A619" s="389"/>
      <c r="B619" s="9"/>
      <c r="C619" s="9"/>
      <c r="D619" s="9"/>
      <c r="E619" s="9"/>
      <c r="G619" s="9"/>
      <c r="I619" s="9"/>
      <c r="M619" s="9"/>
      <c r="N619" s="9"/>
      <c r="O619" s="9"/>
      <c r="Q619" s="9"/>
      <c r="S619" s="9"/>
      <c r="U619" s="9"/>
      <c r="W619" s="9"/>
      <c r="AA619" s="9"/>
      <c r="AB619" s="9"/>
      <c r="AC619" s="9"/>
      <c r="AE619" s="9"/>
    </row>
    <row r="620" spans="1:31">
      <c r="A620" s="389"/>
      <c r="B620" s="9"/>
      <c r="C620" s="9"/>
      <c r="D620" s="9"/>
      <c r="E620" s="9"/>
      <c r="G620" s="9"/>
      <c r="I620" s="9"/>
      <c r="M620" s="9"/>
      <c r="N620" s="9"/>
      <c r="O620" s="9"/>
      <c r="Q620" s="9"/>
      <c r="S620" s="9"/>
      <c r="U620" s="9"/>
      <c r="W620" s="9"/>
      <c r="AA620" s="9"/>
      <c r="AB620" s="9"/>
      <c r="AC620" s="9"/>
      <c r="AE620" s="9"/>
    </row>
    <row r="621" spans="1:31">
      <c r="A621" s="389"/>
      <c r="B621" s="9"/>
      <c r="C621" s="9"/>
      <c r="D621" s="9"/>
      <c r="E621" s="9"/>
      <c r="G621" s="9"/>
      <c r="I621" s="9"/>
      <c r="M621" s="9"/>
      <c r="N621" s="9"/>
      <c r="O621" s="9"/>
      <c r="Q621" s="9"/>
      <c r="S621" s="9"/>
      <c r="U621" s="9"/>
      <c r="W621" s="9"/>
      <c r="AA621" s="9"/>
      <c r="AB621" s="9"/>
      <c r="AC621" s="9"/>
      <c r="AE621" s="9"/>
    </row>
    <row r="622" spans="1:31">
      <c r="A622" s="389"/>
      <c r="B622" s="9"/>
      <c r="C622" s="9"/>
      <c r="D622" s="9"/>
      <c r="E622" s="9"/>
      <c r="G622" s="9"/>
      <c r="I622" s="9"/>
      <c r="M622" s="9"/>
      <c r="N622" s="9"/>
      <c r="O622" s="9"/>
      <c r="Q622" s="9"/>
      <c r="S622" s="9"/>
      <c r="U622" s="9"/>
      <c r="W622" s="9"/>
      <c r="AA622" s="9"/>
      <c r="AB622" s="9"/>
      <c r="AC622" s="9"/>
      <c r="AE622" s="9"/>
    </row>
    <row r="623" spans="1:31">
      <c r="A623" s="389"/>
      <c r="B623" s="9"/>
      <c r="C623" s="9"/>
      <c r="D623" s="9"/>
      <c r="E623" s="9"/>
      <c r="G623" s="9"/>
      <c r="I623" s="9"/>
      <c r="M623" s="9"/>
      <c r="N623" s="9"/>
      <c r="O623" s="9"/>
      <c r="Q623" s="9"/>
      <c r="S623" s="9"/>
      <c r="U623" s="9"/>
      <c r="W623" s="9"/>
      <c r="AA623" s="9"/>
      <c r="AB623" s="9"/>
      <c r="AC623" s="9"/>
      <c r="AE623" s="9"/>
    </row>
    <row r="624" spans="1:31">
      <c r="A624" s="389"/>
      <c r="B624" s="9"/>
      <c r="C624" s="9"/>
      <c r="D624" s="9"/>
      <c r="E624" s="9"/>
      <c r="G624" s="9"/>
      <c r="I624" s="9"/>
      <c r="M624" s="9"/>
      <c r="N624" s="9"/>
      <c r="O624" s="9"/>
      <c r="Q624" s="9"/>
      <c r="S624" s="9"/>
      <c r="U624" s="9"/>
      <c r="W624" s="9"/>
      <c r="AA624" s="9"/>
      <c r="AB624" s="9"/>
      <c r="AC624" s="9"/>
      <c r="AE624" s="9"/>
    </row>
    <row r="625" spans="1:31">
      <c r="A625" s="389"/>
      <c r="B625" s="9"/>
      <c r="C625" s="9"/>
      <c r="D625" s="9"/>
      <c r="E625" s="9"/>
      <c r="G625" s="9"/>
      <c r="I625" s="9"/>
      <c r="M625" s="9"/>
      <c r="N625" s="9"/>
      <c r="O625" s="9"/>
      <c r="Q625" s="9"/>
      <c r="S625" s="9"/>
      <c r="U625" s="9"/>
      <c r="W625" s="9"/>
      <c r="AA625" s="9"/>
      <c r="AB625" s="9"/>
      <c r="AC625" s="9"/>
      <c r="AE625" s="9"/>
    </row>
    <row r="626" spans="1:31">
      <c r="A626" s="389"/>
      <c r="B626" s="9"/>
      <c r="C626" s="9"/>
      <c r="D626" s="9"/>
      <c r="E626" s="9"/>
      <c r="G626" s="9"/>
      <c r="I626" s="9"/>
      <c r="M626" s="9"/>
      <c r="N626" s="9"/>
      <c r="O626" s="9"/>
      <c r="Q626" s="9"/>
      <c r="S626" s="9"/>
      <c r="U626" s="9"/>
      <c r="W626" s="9"/>
      <c r="AA626" s="9"/>
      <c r="AB626" s="9"/>
      <c r="AC626" s="9"/>
      <c r="AE626" s="9"/>
    </row>
    <row r="627" spans="1:31">
      <c r="A627" s="389"/>
      <c r="B627" s="9"/>
      <c r="C627" s="9"/>
      <c r="D627" s="9"/>
      <c r="E627" s="9"/>
      <c r="G627" s="9"/>
      <c r="I627" s="9"/>
      <c r="M627" s="9"/>
      <c r="N627" s="9"/>
      <c r="O627" s="9"/>
      <c r="Q627" s="9"/>
      <c r="S627" s="9"/>
      <c r="U627" s="9"/>
      <c r="W627" s="9"/>
      <c r="AA627" s="9"/>
      <c r="AB627" s="9"/>
      <c r="AC627" s="9"/>
      <c r="AE627" s="9"/>
    </row>
    <row r="628" spans="1:31">
      <c r="A628" s="389"/>
      <c r="B628" s="9"/>
      <c r="C628" s="9"/>
      <c r="D628" s="9"/>
      <c r="E628" s="9"/>
      <c r="G628" s="9"/>
      <c r="I628" s="9"/>
      <c r="M628" s="9"/>
      <c r="N628" s="9"/>
      <c r="O628" s="9"/>
      <c r="Q628" s="9"/>
      <c r="S628" s="9"/>
      <c r="U628" s="9"/>
      <c r="W628" s="9"/>
      <c r="AA628" s="9"/>
      <c r="AB628" s="9"/>
      <c r="AC628" s="9"/>
      <c r="AE628" s="9"/>
    </row>
    <row r="629" spans="1:31">
      <c r="A629" s="389"/>
      <c r="B629" s="9"/>
      <c r="C629" s="9"/>
      <c r="D629" s="9"/>
      <c r="E629" s="9"/>
      <c r="G629" s="9"/>
      <c r="I629" s="9"/>
      <c r="M629" s="9"/>
      <c r="N629" s="9"/>
      <c r="O629" s="9"/>
      <c r="Q629" s="9"/>
      <c r="S629" s="9"/>
      <c r="U629" s="9"/>
      <c r="W629" s="9"/>
      <c r="AA629" s="9"/>
      <c r="AB629" s="9"/>
      <c r="AC629" s="9"/>
      <c r="AE629" s="9"/>
    </row>
    <row r="630" spans="1:31">
      <c r="A630" s="389"/>
      <c r="B630" s="9"/>
      <c r="C630" s="9"/>
      <c r="D630" s="9"/>
      <c r="E630" s="9"/>
      <c r="G630" s="9"/>
      <c r="I630" s="9"/>
      <c r="M630" s="9"/>
      <c r="N630" s="9"/>
      <c r="O630" s="9"/>
      <c r="Q630" s="9"/>
      <c r="S630" s="9"/>
      <c r="U630" s="9"/>
      <c r="W630" s="9"/>
      <c r="AA630" s="9"/>
      <c r="AB630" s="9"/>
      <c r="AC630" s="9"/>
      <c r="AE630" s="9"/>
    </row>
    <row r="631" spans="1:31">
      <c r="A631" s="389"/>
      <c r="B631" s="9"/>
      <c r="C631" s="9"/>
      <c r="D631" s="9"/>
      <c r="E631" s="9"/>
      <c r="G631" s="9"/>
      <c r="I631" s="9"/>
      <c r="M631" s="9"/>
      <c r="N631" s="9"/>
      <c r="O631" s="9"/>
      <c r="Q631" s="9"/>
      <c r="S631" s="9"/>
      <c r="U631" s="9"/>
      <c r="W631" s="9"/>
      <c r="AA631" s="9"/>
      <c r="AB631" s="9"/>
      <c r="AC631" s="9"/>
      <c r="AE631" s="9"/>
    </row>
    <row r="632" spans="1:31">
      <c r="A632" s="389"/>
      <c r="B632" s="9"/>
      <c r="C632" s="9"/>
      <c r="D632" s="9"/>
      <c r="E632" s="9"/>
      <c r="G632" s="9"/>
      <c r="I632" s="9"/>
      <c r="M632" s="9"/>
      <c r="N632" s="9"/>
      <c r="O632" s="9"/>
      <c r="Q632" s="9"/>
      <c r="S632" s="9"/>
      <c r="U632" s="9"/>
      <c r="W632" s="9"/>
      <c r="AA632" s="9"/>
      <c r="AB632" s="9"/>
      <c r="AC632" s="9"/>
      <c r="AE632" s="9"/>
    </row>
    <row r="633" spans="1:31">
      <c r="A633" s="389"/>
      <c r="B633" s="9"/>
      <c r="C633" s="9"/>
      <c r="D633" s="9"/>
      <c r="E633" s="9"/>
      <c r="G633" s="9"/>
      <c r="I633" s="9"/>
      <c r="M633" s="9"/>
      <c r="N633" s="9"/>
      <c r="O633" s="9"/>
      <c r="Q633" s="9"/>
      <c r="S633" s="9"/>
      <c r="U633" s="9"/>
      <c r="W633" s="9"/>
      <c r="AA633" s="9"/>
      <c r="AB633" s="9"/>
      <c r="AC633" s="9"/>
      <c r="AE633" s="9"/>
    </row>
    <row r="634" spans="1:31">
      <c r="A634" s="389"/>
      <c r="B634" s="9"/>
      <c r="C634" s="9"/>
      <c r="D634" s="9"/>
      <c r="E634" s="9"/>
      <c r="G634" s="9"/>
      <c r="I634" s="9"/>
      <c r="M634" s="9"/>
      <c r="N634" s="9"/>
      <c r="O634" s="9"/>
      <c r="Q634" s="9"/>
      <c r="S634" s="9"/>
      <c r="U634" s="9"/>
      <c r="W634" s="9"/>
      <c r="AA634" s="9"/>
      <c r="AB634" s="9"/>
      <c r="AC634" s="9"/>
      <c r="AE634" s="9"/>
    </row>
    <row r="635" spans="1:31">
      <c r="A635" s="389"/>
      <c r="B635" s="9"/>
      <c r="C635" s="9"/>
      <c r="D635" s="9"/>
      <c r="E635" s="9"/>
      <c r="G635" s="9"/>
      <c r="I635" s="9"/>
      <c r="M635" s="9"/>
      <c r="N635" s="9"/>
      <c r="O635" s="9"/>
      <c r="Q635" s="9"/>
      <c r="S635" s="9"/>
      <c r="U635" s="9"/>
      <c r="W635" s="9"/>
      <c r="AA635" s="9"/>
      <c r="AB635" s="9"/>
      <c r="AC635" s="9"/>
      <c r="AE635" s="9"/>
    </row>
    <row r="636" spans="1:31">
      <c r="A636" s="389"/>
      <c r="B636" s="9"/>
      <c r="C636" s="9"/>
      <c r="D636" s="9"/>
      <c r="E636" s="9"/>
      <c r="G636" s="9"/>
      <c r="I636" s="9"/>
      <c r="M636" s="9"/>
      <c r="N636" s="9"/>
      <c r="O636" s="9"/>
      <c r="Q636" s="9"/>
      <c r="S636" s="9"/>
      <c r="U636" s="9"/>
      <c r="W636" s="9"/>
      <c r="AA636" s="9"/>
      <c r="AB636" s="9"/>
      <c r="AC636" s="9"/>
      <c r="AE636" s="9"/>
    </row>
    <row r="637" spans="1:31">
      <c r="A637" s="389"/>
      <c r="B637" s="9"/>
      <c r="C637" s="9"/>
      <c r="D637" s="9"/>
      <c r="E637" s="9"/>
      <c r="G637" s="9"/>
      <c r="I637" s="9"/>
      <c r="M637" s="9"/>
      <c r="N637" s="9"/>
      <c r="O637" s="9"/>
      <c r="Q637" s="9"/>
      <c r="S637" s="9"/>
      <c r="U637" s="9"/>
      <c r="W637" s="9"/>
      <c r="AA637" s="9"/>
      <c r="AB637" s="9"/>
      <c r="AC637" s="9"/>
      <c r="AE637" s="9"/>
    </row>
    <row r="638" spans="1:31">
      <c r="A638" s="389"/>
      <c r="B638" s="9"/>
      <c r="C638" s="9"/>
      <c r="D638" s="9"/>
      <c r="E638" s="9"/>
      <c r="G638" s="9"/>
      <c r="I638" s="9"/>
      <c r="M638" s="9"/>
      <c r="N638" s="9"/>
      <c r="O638" s="9"/>
      <c r="Q638" s="9"/>
      <c r="S638" s="9"/>
      <c r="U638" s="9"/>
      <c r="W638" s="9"/>
      <c r="AA638" s="9"/>
      <c r="AB638" s="9"/>
      <c r="AC638" s="9"/>
      <c r="AE638" s="9"/>
    </row>
    <row r="639" spans="1:31">
      <c r="A639" s="389"/>
      <c r="B639" s="9"/>
      <c r="C639" s="9"/>
      <c r="D639" s="9"/>
      <c r="E639" s="9"/>
      <c r="G639" s="9"/>
      <c r="I639" s="9"/>
      <c r="M639" s="9"/>
      <c r="N639" s="9"/>
      <c r="O639" s="9"/>
      <c r="Q639" s="9"/>
      <c r="S639" s="9"/>
      <c r="U639" s="9"/>
      <c r="W639" s="9"/>
      <c r="AA639" s="9"/>
      <c r="AB639" s="9"/>
      <c r="AC639" s="9"/>
      <c r="AE639" s="9"/>
    </row>
    <row r="640" spans="1:31">
      <c r="A640" s="389"/>
      <c r="B640" s="9"/>
      <c r="C640" s="9"/>
      <c r="D640" s="9"/>
      <c r="E640" s="9"/>
      <c r="G640" s="9"/>
      <c r="I640" s="9"/>
      <c r="M640" s="9"/>
      <c r="N640" s="9"/>
      <c r="O640" s="9"/>
      <c r="Q640" s="9"/>
      <c r="S640" s="9"/>
      <c r="U640" s="9"/>
      <c r="W640" s="9"/>
      <c r="AA640" s="9"/>
      <c r="AB640" s="9"/>
      <c r="AC640" s="9"/>
      <c r="AE640" s="9"/>
    </row>
    <row r="641" spans="1:33">
      <c r="A641" s="389"/>
      <c r="B641" s="9"/>
      <c r="C641" s="9"/>
      <c r="D641" s="9"/>
      <c r="E641" s="9"/>
      <c r="G641" s="9"/>
      <c r="I641" s="9"/>
      <c r="M641" s="9"/>
      <c r="N641" s="9"/>
      <c r="O641" s="9"/>
      <c r="Q641" s="9"/>
      <c r="S641" s="9"/>
      <c r="U641" s="9"/>
      <c r="W641" s="9"/>
      <c r="AA641" s="9"/>
      <c r="AB641" s="9"/>
      <c r="AC641" s="9"/>
      <c r="AE641" s="9"/>
    </row>
    <row r="642" spans="1:33">
      <c r="A642" s="389"/>
      <c r="B642" s="9"/>
      <c r="C642" s="9"/>
      <c r="D642" s="9"/>
      <c r="E642" s="9"/>
      <c r="G642" s="9"/>
      <c r="I642" s="9"/>
      <c r="M642" s="9"/>
      <c r="N642" s="9"/>
      <c r="O642" s="9"/>
      <c r="Q642" s="9"/>
      <c r="S642" s="9"/>
      <c r="U642" s="9"/>
      <c r="W642" s="9"/>
      <c r="AA642" s="9"/>
      <c r="AB642" s="9"/>
      <c r="AC642" s="9"/>
      <c r="AE642" s="9"/>
    </row>
    <row r="643" spans="1:33">
      <c r="A643" s="389"/>
      <c r="B643" s="9"/>
      <c r="C643" s="9"/>
      <c r="D643" s="9"/>
      <c r="E643" s="9"/>
      <c r="G643" s="9"/>
      <c r="I643" s="9"/>
      <c r="M643" s="9"/>
      <c r="N643" s="9"/>
      <c r="O643" s="9"/>
      <c r="Q643" s="9"/>
      <c r="S643" s="9"/>
      <c r="U643" s="9"/>
      <c r="W643" s="9"/>
      <c r="AA643" s="9"/>
      <c r="AB643" s="9"/>
      <c r="AC643" s="9"/>
      <c r="AE643" s="9"/>
    </row>
    <row r="644" spans="1:33">
      <c r="A644" s="389"/>
      <c r="B644" s="9"/>
      <c r="C644" s="9"/>
      <c r="D644" s="9"/>
      <c r="E644" s="9"/>
      <c r="G644" s="9"/>
      <c r="I644" s="9"/>
      <c r="M644" s="9"/>
      <c r="N644" s="9"/>
      <c r="O644" s="9"/>
      <c r="Q644" s="9"/>
      <c r="S644" s="9"/>
      <c r="U644" s="9"/>
      <c r="W644" s="9"/>
      <c r="AA644" s="9"/>
      <c r="AB644" s="9"/>
      <c r="AC644" s="9"/>
      <c r="AE644" s="9"/>
    </row>
    <row r="645" spans="1:33">
      <c r="A645" s="389"/>
      <c r="B645" s="9"/>
      <c r="C645" s="9"/>
      <c r="D645" s="9"/>
      <c r="E645" s="9"/>
      <c r="G645" s="9"/>
      <c r="I645" s="9"/>
      <c r="M645" s="9"/>
      <c r="N645" s="9"/>
      <c r="O645" s="9"/>
      <c r="Q645" s="9"/>
      <c r="S645" s="9"/>
      <c r="U645" s="9"/>
      <c r="W645" s="9"/>
      <c r="AA645" s="9"/>
      <c r="AB645" s="9"/>
      <c r="AC645" s="9"/>
      <c r="AE645" s="9"/>
    </row>
    <row r="646" spans="1:33">
      <c r="A646" s="389"/>
      <c r="B646" s="9"/>
      <c r="C646" s="9"/>
      <c r="D646" s="9"/>
      <c r="E646" s="9"/>
      <c r="G646" s="9"/>
      <c r="I646" s="9"/>
      <c r="M646" s="9"/>
      <c r="N646" s="9"/>
      <c r="O646" s="9"/>
      <c r="Q646" s="9"/>
      <c r="S646" s="9"/>
      <c r="U646" s="9"/>
      <c r="W646" s="9"/>
      <c r="AA646" s="9"/>
      <c r="AB646" s="9"/>
      <c r="AC646" s="9"/>
      <c r="AE646" s="9"/>
    </row>
    <row r="647" spans="1:33">
      <c r="A647" s="389"/>
      <c r="B647" s="9"/>
      <c r="C647" s="9"/>
      <c r="D647" s="9"/>
      <c r="E647" s="9"/>
      <c r="G647" s="9"/>
      <c r="I647" s="9"/>
      <c r="M647" s="9"/>
      <c r="N647" s="9"/>
      <c r="O647" s="9"/>
      <c r="Q647" s="9"/>
      <c r="S647" s="9"/>
      <c r="U647" s="9"/>
      <c r="W647" s="9"/>
      <c r="AA647" s="9"/>
      <c r="AB647" s="9"/>
      <c r="AC647" s="9"/>
      <c r="AE647" s="9"/>
    </row>
    <row r="648" spans="1:33">
      <c r="A648" s="389"/>
      <c r="B648" s="9"/>
      <c r="C648" s="9"/>
      <c r="D648" s="9"/>
      <c r="E648" s="9"/>
      <c r="G648" s="9"/>
      <c r="I648" s="9"/>
      <c r="M648" s="9"/>
      <c r="N648" s="9"/>
      <c r="O648" s="9"/>
      <c r="Q648" s="9"/>
      <c r="S648" s="9"/>
      <c r="U648" s="9"/>
      <c r="W648" s="9"/>
      <c r="AA648" s="9"/>
      <c r="AB648" s="9"/>
      <c r="AC648" s="9"/>
      <c r="AE648" s="9"/>
    </row>
    <row r="649" spans="1:33">
      <c r="A649" s="389"/>
      <c r="B649" s="9"/>
      <c r="C649" s="9"/>
      <c r="D649" s="9"/>
      <c r="E649" s="9"/>
      <c r="G649" s="9"/>
      <c r="I649" s="9"/>
      <c r="M649" s="9"/>
      <c r="N649" s="9"/>
      <c r="O649" s="9"/>
      <c r="Q649" s="9"/>
      <c r="S649" s="9"/>
      <c r="U649" s="9"/>
      <c r="W649" s="9"/>
      <c r="AA649" s="9"/>
      <c r="AB649" s="9"/>
      <c r="AC649" s="9"/>
      <c r="AE649" s="9"/>
    </row>
    <row r="650" spans="1:33">
      <c r="A650" s="389"/>
      <c r="B650" s="9"/>
      <c r="C650" s="9"/>
      <c r="D650" s="9"/>
      <c r="E650" s="9"/>
      <c r="G650" s="9"/>
      <c r="I650" s="9"/>
      <c r="M650" s="9"/>
      <c r="N650" s="9"/>
      <c r="O650" s="9"/>
      <c r="Q650" s="9"/>
      <c r="S650" s="9"/>
      <c r="U650" s="9"/>
      <c r="W650" s="9"/>
      <c r="AA650" s="9"/>
      <c r="AB650" s="9"/>
      <c r="AC650" s="9"/>
      <c r="AE650" s="9"/>
    </row>
    <row r="651" spans="1:33" customFormat="1" ht="15">
      <c r="A651" s="38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row>
    <row r="652" spans="1:33" customFormat="1" ht="15">
      <c r="A652" s="38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row>
    <row r="653" spans="1:33" customFormat="1" ht="15">
      <c r="A653" s="38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row>
    <row r="654" spans="1:33" customFormat="1" ht="15">
      <c r="A654" s="38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row>
    <row r="655" spans="1:33" customFormat="1" ht="15">
      <c r="A655" s="38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row>
    <row r="656" spans="1:33" customFormat="1" ht="15">
      <c r="A656" s="38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row>
    <row r="657" spans="1:33" customFormat="1" ht="15">
      <c r="A657" s="38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row>
    <row r="658" spans="1:33" customFormat="1" ht="15">
      <c r="A658" s="38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row>
    <row r="659" spans="1:33" customFormat="1" ht="15">
      <c r="A659" s="38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row>
    <row r="660" spans="1:33" customFormat="1" ht="15">
      <c r="A660" s="38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row>
    <row r="661" spans="1:33" customFormat="1" ht="15">
      <c r="A661" s="38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row>
    <row r="662" spans="1:33" customFormat="1" ht="15">
      <c r="A662" s="38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row>
    <row r="663" spans="1:33" customFormat="1" ht="15">
      <c r="A663" s="38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row>
    <row r="664" spans="1:33" customFormat="1" ht="15">
      <c r="A664" s="38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row>
    <row r="665" spans="1:33" customFormat="1" ht="15">
      <c r="A665" s="38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row>
    <row r="666" spans="1:33" customFormat="1" ht="15">
      <c r="A666" s="38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row>
    <row r="667" spans="1:33" customFormat="1" ht="15">
      <c r="A667" s="38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row>
    <row r="668" spans="1:33" customFormat="1" ht="15">
      <c r="A668" s="38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row>
    <row r="669" spans="1:33" customFormat="1" ht="15">
      <c r="A669" s="38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row>
    <row r="670" spans="1:33" customFormat="1" ht="15">
      <c r="A670" s="38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row>
    <row r="671" spans="1:33" customFormat="1" ht="15">
      <c r="A671" s="38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row>
    <row r="672" spans="1:33" customFormat="1" ht="15">
      <c r="A672" s="38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row>
    <row r="673" spans="1:33" customFormat="1" ht="15">
      <c r="A673" s="38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row>
    <row r="674" spans="1:33" customFormat="1" ht="15">
      <c r="A674" s="38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row>
    <row r="675" spans="1:33">
      <c r="A675" s="389"/>
      <c r="B675" s="9"/>
      <c r="C675" s="9"/>
      <c r="D675" s="9"/>
      <c r="E675" s="9"/>
      <c r="G675" s="9"/>
      <c r="I675" s="9"/>
      <c r="M675" s="9"/>
      <c r="N675" s="9"/>
      <c r="O675" s="9"/>
      <c r="Q675" s="9"/>
      <c r="S675" s="9"/>
      <c r="U675" s="9"/>
      <c r="W675" s="9"/>
      <c r="AA675" s="9"/>
      <c r="AB675" s="9"/>
      <c r="AC675" s="9"/>
      <c r="AE675" s="9"/>
    </row>
    <row r="676" spans="1:33">
      <c r="A676" s="389"/>
      <c r="B676" s="9"/>
      <c r="C676" s="9"/>
      <c r="D676" s="9"/>
      <c r="E676" s="9"/>
      <c r="G676" s="9"/>
      <c r="I676" s="9"/>
      <c r="M676" s="9"/>
      <c r="N676" s="9"/>
      <c r="O676" s="9"/>
      <c r="Q676" s="9"/>
      <c r="S676" s="9"/>
      <c r="U676" s="9"/>
      <c r="W676" s="9"/>
      <c r="AA676" s="9"/>
      <c r="AB676" s="9"/>
      <c r="AC676" s="9"/>
      <c r="AE676" s="9"/>
    </row>
    <row r="677" spans="1:33">
      <c r="A677" s="389"/>
      <c r="B677" s="9"/>
      <c r="C677" s="9"/>
      <c r="D677" s="9"/>
      <c r="E677" s="9"/>
      <c r="G677" s="9"/>
      <c r="I677" s="9"/>
      <c r="M677" s="9"/>
      <c r="N677" s="9"/>
      <c r="O677" s="9"/>
      <c r="Q677" s="9"/>
      <c r="S677" s="9"/>
      <c r="U677" s="9"/>
      <c r="W677" s="9"/>
      <c r="AA677" s="9"/>
      <c r="AB677" s="9"/>
      <c r="AC677" s="9"/>
      <c r="AE677" s="9"/>
    </row>
    <row r="678" spans="1:33">
      <c r="A678" s="389"/>
      <c r="B678" s="9"/>
      <c r="C678" s="9"/>
      <c r="D678" s="9"/>
      <c r="E678" s="9"/>
      <c r="G678" s="9"/>
      <c r="I678" s="9"/>
      <c r="M678" s="9"/>
      <c r="N678" s="9"/>
      <c r="O678" s="9"/>
      <c r="Q678" s="9"/>
      <c r="S678" s="9"/>
      <c r="U678" s="9"/>
      <c r="W678" s="9"/>
      <c r="AA678" s="9"/>
      <c r="AB678" s="9"/>
      <c r="AC678" s="9"/>
      <c r="AE678" s="9"/>
    </row>
    <row r="679" spans="1:33">
      <c r="A679" s="389"/>
      <c r="B679" s="9"/>
      <c r="C679" s="9"/>
      <c r="D679" s="9"/>
      <c r="E679" s="9"/>
      <c r="G679" s="9"/>
      <c r="I679" s="9"/>
      <c r="M679" s="9"/>
      <c r="N679" s="9"/>
      <c r="O679" s="9"/>
      <c r="Q679" s="9"/>
      <c r="S679" s="9"/>
      <c r="U679" s="9"/>
      <c r="W679" s="9"/>
      <c r="AA679" s="9"/>
      <c r="AB679" s="9"/>
      <c r="AC679" s="9"/>
      <c r="AE679" s="9"/>
    </row>
    <row r="680" spans="1:33">
      <c r="A680" s="389"/>
      <c r="B680" s="9"/>
      <c r="C680" s="9"/>
      <c r="D680" s="9"/>
      <c r="E680" s="9"/>
      <c r="G680" s="9"/>
      <c r="I680" s="9"/>
      <c r="M680" s="9"/>
      <c r="N680" s="9"/>
      <c r="O680" s="9"/>
      <c r="Q680" s="9"/>
      <c r="S680" s="9"/>
      <c r="U680" s="9"/>
      <c r="W680" s="9"/>
      <c r="AA680" s="9"/>
      <c r="AB680" s="9"/>
      <c r="AC680" s="9"/>
      <c r="AE680" s="9"/>
    </row>
    <row r="681" spans="1:33">
      <c r="A681" s="389"/>
      <c r="B681" s="9"/>
      <c r="C681" s="9"/>
      <c r="D681" s="9"/>
      <c r="E681" s="9"/>
      <c r="G681" s="9"/>
      <c r="I681" s="9"/>
      <c r="M681" s="9"/>
      <c r="N681" s="9"/>
      <c r="O681" s="9"/>
      <c r="Q681" s="9"/>
      <c r="S681" s="9"/>
      <c r="U681" s="9"/>
      <c r="W681" s="9"/>
      <c r="AA681" s="9"/>
      <c r="AB681" s="9"/>
      <c r="AC681" s="9"/>
      <c r="AE681" s="9"/>
    </row>
    <row r="682" spans="1:33">
      <c r="A682" s="389"/>
      <c r="B682" s="9"/>
      <c r="C682" s="9"/>
      <c r="D682" s="9"/>
      <c r="E682" s="9"/>
      <c r="G682" s="9"/>
      <c r="I682" s="9"/>
      <c r="M682" s="9"/>
      <c r="N682" s="9"/>
      <c r="O682" s="9"/>
      <c r="Q682" s="9"/>
      <c r="S682" s="9"/>
      <c r="U682" s="9"/>
      <c r="W682" s="9"/>
      <c r="AA682" s="9"/>
      <c r="AB682" s="9"/>
      <c r="AC682" s="9"/>
      <c r="AE682" s="9"/>
    </row>
    <row r="683" spans="1:33">
      <c r="A683" s="389"/>
      <c r="B683" s="9"/>
      <c r="C683" s="9"/>
      <c r="D683" s="9"/>
      <c r="E683" s="9"/>
      <c r="G683" s="9"/>
      <c r="I683" s="9"/>
      <c r="M683" s="9"/>
      <c r="N683" s="9"/>
      <c r="O683" s="9"/>
      <c r="Q683" s="9"/>
      <c r="S683" s="9"/>
      <c r="U683" s="9"/>
      <c r="W683" s="9"/>
      <c r="AA683" s="9"/>
      <c r="AB683" s="9"/>
      <c r="AC683" s="9"/>
      <c r="AE683" s="9"/>
    </row>
    <row r="684" spans="1:33">
      <c r="A684" s="389"/>
      <c r="B684" s="9"/>
      <c r="C684" s="9"/>
      <c r="D684" s="9"/>
      <c r="E684" s="9"/>
      <c r="G684" s="9"/>
      <c r="I684" s="9"/>
      <c r="M684" s="9"/>
      <c r="N684" s="9"/>
      <c r="O684" s="9"/>
      <c r="Q684" s="9"/>
      <c r="S684" s="9"/>
      <c r="U684" s="9"/>
      <c r="W684" s="9"/>
      <c r="AA684" s="9"/>
      <c r="AB684" s="9"/>
      <c r="AC684" s="9"/>
      <c r="AE684" s="9"/>
    </row>
    <row r="685" spans="1:33">
      <c r="A685" s="389"/>
      <c r="B685" s="9"/>
      <c r="C685" s="9"/>
      <c r="D685" s="9"/>
      <c r="E685" s="9"/>
      <c r="G685" s="9"/>
      <c r="I685" s="9"/>
      <c r="M685" s="9"/>
      <c r="N685" s="9"/>
      <c r="O685" s="9"/>
      <c r="Q685" s="9"/>
      <c r="S685" s="9"/>
      <c r="U685" s="9"/>
      <c r="W685" s="9"/>
      <c r="AA685" s="9"/>
      <c r="AB685" s="9"/>
      <c r="AC685" s="9"/>
      <c r="AE685" s="9"/>
    </row>
    <row r="686" spans="1:33">
      <c r="A686" s="389"/>
      <c r="B686" s="9"/>
      <c r="C686" s="9"/>
      <c r="D686" s="9"/>
      <c r="E686" s="9"/>
      <c r="G686" s="9"/>
      <c r="I686" s="9"/>
      <c r="M686" s="9"/>
      <c r="N686" s="9"/>
      <c r="O686" s="9"/>
      <c r="Q686" s="9"/>
      <c r="S686" s="9"/>
      <c r="U686" s="9"/>
      <c r="W686" s="9"/>
      <c r="AA686" s="9"/>
      <c r="AB686" s="9"/>
      <c r="AC686" s="9"/>
      <c r="AE686" s="9"/>
    </row>
    <row r="687" spans="1:33">
      <c r="A687" s="389"/>
      <c r="B687" s="9"/>
      <c r="C687" s="9"/>
      <c r="D687" s="9"/>
      <c r="E687" s="9"/>
      <c r="G687" s="9"/>
      <c r="I687" s="9"/>
      <c r="M687" s="9"/>
      <c r="N687" s="9"/>
      <c r="O687" s="9"/>
      <c r="Q687" s="9"/>
      <c r="S687" s="9"/>
      <c r="U687" s="9"/>
      <c r="W687" s="9"/>
      <c r="AA687" s="9"/>
      <c r="AB687" s="9"/>
      <c r="AC687" s="9"/>
      <c r="AE687" s="9"/>
    </row>
    <row r="688" spans="1:33">
      <c r="A688" s="389"/>
      <c r="B688" s="9"/>
      <c r="C688" s="9"/>
      <c r="D688" s="9"/>
      <c r="E688" s="9"/>
      <c r="G688" s="9"/>
      <c r="I688" s="9"/>
      <c r="M688" s="9"/>
      <c r="N688" s="9"/>
      <c r="O688" s="9"/>
      <c r="Q688" s="9"/>
      <c r="S688" s="9"/>
      <c r="U688" s="9"/>
      <c r="W688" s="9"/>
      <c r="AA688" s="9"/>
      <c r="AB688" s="9"/>
      <c r="AC688" s="9"/>
      <c r="AE688" s="9"/>
    </row>
    <row r="689" spans="1:31">
      <c r="A689" s="389"/>
      <c r="B689" s="9"/>
      <c r="C689" s="9"/>
      <c r="D689" s="9"/>
      <c r="E689" s="9"/>
      <c r="G689" s="9"/>
      <c r="I689" s="9"/>
      <c r="M689" s="9"/>
      <c r="N689" s="9"/>
      <c r="O689" s="9"/>
      <c r="Q689" s="9"/>
      <c r="S689" s="9"/>
      <c r="U689" s="9"/>
      <c r="W689" s="9"/>
      <c r="AA689" s="9"/>
      <c r="AB689" s="9"/>
      <c r="AC689" s="9"/>
      <c r="AE689" s="9"/>
    </row>
    <row r="690" spans="1:31">
      <c r="A690" s="389"/>
      <c r="B690" s="9"/>
      <c r="C690" s="9"/>
      <c r="D690" s="9"/>
      <c r="E690" s="9"/>
      <c r="G690" s="9"/>
      <c r="I690" s="9"/>
      <c r="M690" s="9"/>
      <c r="N690" s="9"/>
      <c r="O690" s="9"/>
      <c r="Q690" s="9"/>
      <c r="S690" s="9"/>
      <c r="U690" s="9"/>
      <c r="W690" s="9"/>
      <c r="AA690" s="9"/>
      <c r="AB690" s="9"/>
      <c r="AC690" s="9"/>
      <c r="AE690" s="9"/>
    </row>
    <row r="691" spans="1:31">
      <c r="A691" s="389"/>
      <c r="B691" s="9"/>
      <c r="C691" s="9"/>
      <c r="D691" s="9"/>
      <c r="E691" s="9"/>
      <c r="G691" s="9"/>
      <c r="I691" s="9"/>
      <c r="M691" s="9"/>
      <c r="N691" s="9"/>
      <c r="O691" s="9"/>
      <c r="Q691" s="9"/>
      <c r="S691" s="9"/>
      <c r="U691" s="9"/>
      <c r="W691" s="9"/>
      <c r="AA691" s="9"/>
      <c r="AB691" s="9"/>
      <c r="AC691" s="9"/>
      <c r="AE691" s="9"/>
    </row>
    <row r="692" spans="1:31">
      <c r="A692" s="389"/>
      <c r="B692" s="9"/>
      <c r="C692" s="9"/>
      <c r="D692" s="9"/>
      <c r="E692" s="9"/>
      <c r="G692" s="9"/>
      <c r="I692" s="9"/>
      <c r="M692" s="9"/>
      <c r="N692" s="9"/>
      <c r="O692" s="9"/>
      <c r="Q692" s="9"/>
      <c r="S692" s="9"/>
      <c r="U692" s="9"/>
      <c r="W692" s="9"/>
      <c r="AA692" s="9"/>
      <c r="AB692" s="9"/>
      <c r="AC692" s="9"/>
      <c r="AE692" s="9"/>
    </row>
    <row r="693" spans="1:31">
      <c r="A693" s="389"/>
      <c r="B693" s="9"/>
      <c r="C693" s="9"/>
      <c r="D693" s="9"/>
      <c r="E693" s="9"/>
      <c r="G693" s="9"/>
      <c r="I693" s="9"/>
      <c r="M693" s="9"/>
      <c r="N693" s="9"/>
      <c r="O693" s="9"/>
      <c r="Q693" s="9"/>
      <c r="S693" s="9"/>
      <c r="U693" s="9"/>
      <c r="W693" s="9"/>
      <c r="AA693" s="9"/>
      <c r="AB693" s="9"/>
      <c r="AC693" s="9"/>
      <c r="AE693" s="9"/>
    </row>
    <row r="694" spans="1:31">
      <c r="A694" s="389"/>
      <c r="B694" s="9"/>
      <c r="C694" s="9"/>
      <c r="D694" s="9"/>
      <c r="E694" s="9"/>
      <c r="G694" s="9"/>
      <c r="I694" s="9"/>
      <c r="M694" s="9"/>
      <c r="N694" s="9"/>
      <c r="O694" s="9"/>
      <c r="Q694" s="9"/>
      <c r="S694" s="9"/>
      <c r="U694" s="9"/>
      <c r="W694" s="9"/>
      <c r="AA694" s="9"/>
      <c r="AB694" s="9"/>
      <c r="AC694" s="9"/>
      <c r="AE694" s="9"/>
    </row>
    <row r="695" spans="1:31">
      <c r="A695" s="389"/>
      <c r="B695" s="9"/>
      <c r="C695" s="9"/>
      <c r="D695" s="9"/>
      <c r="E695" s="9"/>
      <c r="G695" s="9"/>
      <c r="I695" s="9"/>
      <c r="M695" s="9"/>
      <c r="N695" s="9"/>
      <c r="O695" s="9"/>
      <c r="Q695" s="9"/>
      <c r="S695" s="9"/>
      <c r="U695" s="9"/>
      <c r="W695" s="9"/>
      <c r="AA695" s="9"/>
      <c r="AB695" s="9"/>
      <c r="AC695" s="9"/>
      <c r="AE695" s="9"/>
    </row>
    <row r="696" spans="1:31">
      <c r="A696" s="389"/>
      <c r="B696" s="9"/>
      <c r="C696" s="9"/>
      <c r="D696" s="9"/>
      <c r="E696" s="9"/>
      <c r="G696" s="9"/>
      <c r="I696" s="9"/>
      <c r="M696" s="9"/>
      <c r="N696" s="9"/>
      <c r="O696" s="9"/>
      <c r="Q696" s="9"/>
      <c r="S696" s="9"/>
      <c r="U696" s="9"/>
      <c r="W696" s="9"/>
      <c r="AA696" s="9"/>
      <c r="AB696" s="9"/>
      <c r="AC696" s="9"/>
      <c r="AE696" s="9"/>
    </row>
    <row r="697" spans="1:31">
      <c r="A697" s="389"/>
      <c r="B697" s="9"/>
      <c r="C697" s="9"/>
      <c r="D697" s="9"/>
      <c r="E697" s="9"/>
      <c r="G697" s="9"/>
      <c r="I697" s="9"/>
      <c r="M697" s="9"/>
      <c r="N697" s="9"/>
      <c r="O697" s="9"/>
      <c r="Q697" s="9"/>
      <c r="S697" s="9"/>
      <c r="U697" s="9"/>
      <c r="W697" s="9"/>
      <c r="AA697" s="9"/>
      <c r="AB697" s="9"/>
      <c r="AC697" s="9"/>
      <c r="AE697" s="9"/>
    </row>
    <row r="698" spans="1:31">
      <c r="A698" s="389"/>
      <c r="B698" s="9"/>
      <c r="C698" s="9"/>
      <c r="D698" s="9"/>
      <c r="E698" s="9"/>
      <c r="G698" s="9"/>
      <c r="I698" s="9"/>
      <c r="M698" s="9"/>
      <c r="N698" s="9"/>
      <c r="O698" s="9"/>
      <c r="Q698" s="9"/>
      <c r="S698" s="9"/>
      <c r="U698" s="9"/>
      <c r="W698" s="9"/>
      <c r="AA698" s="9"/>
      <c r="AB698" s="9"/>
      <c r="AC698" s="9"/>
      <c r="AE698" s="9"/>
    </row>
    <row r="699" spans="1:31">
      <c r="A699" s="389"/>
      <c r="B699" s="9"/>
      <c r="C699" s="9"/>
      <c r="D699" s="9"/>
      <c r="E699" s="9"/>
      <c r="G699" s="9"/>
      <c r="I699" s="9"/>
      <c r="M699" s="9"/>
      <c r="N699" s="9"/>
      <c r="O699" s="9"/>
      <c r="Q699" s="9"/>
      <c r="S699" s="9"/>
      <c r="U699" s="9"/>
      <c r="W699" s="9"/>
      <c r="AA699" s="9"/>
      <c r="AB699" s="9"/>
      <c r="AC699" s="9"/>
      <c r="AE699" s="9"/>
    </row>
    <row r="700" spans="1:31">
      <c r="A700" s="389"/>
      <c r="B700" s="9"/>
      <c r="C700" s="9"/>
      <c r="D700" s="9"/>
      <c r="E700" s="9"/>
      <c r="G700" s="9"/>
      <c r="I700" s="9"/>
      <c r="M700" s="9"/>
      <c r="N700" s="9"/>
      <c r="O700" s="9"/>
      <c r="Q700" s="9"/>
      <c r="S700" s="9"/>
      <c r="U700" s="9"/>
      <c r="W700" s="9"/>
      <c r="AA700" s="9"/>
      <c r="AB700" s="9"/>
      <c r="AC700" s="9"/>
      <c r="AE700" s="9"/>
    </row>
    <row r="701" spans="1:31">
      <c r="A701" s="389"/>
      <c r="B701" s="9"/>
      <c r="C701" s="9"/>
      <c r="D701" s="9"/>
      <c r="E701" s="9"/>
      <c r="G701" s="9"/>
      <c r="I701" s="9"/>
      <c r="M701" s="9"/>
      <c r="N701" s="9"/>
      <c r="O701" s="9"/>
      <c r="Q701" s="9"/>
      <c r="S701" s="9"/>
      <c r="U701" s="9"/>
      <c r="W701" s="9"/>
      <c r="AA701" s="9"/>
      <c r="AB701" s="9"/>
      <c r="AC701" s="9"/>
      <c r="AE701" s="9"/>
    </row>
    <row r="702" spans="1:31">
      <c r="A702" s="389"/>
      <c r="B702" s="9"/>
      <c r="C702" s="9"/>
      <c r="D702" s="9"/>
      <c r="E702" s="9"/>
      <c r="G702" s="9"/>
      <c r="I702" s="9"/>
      <c r="M702" s="9"/>
      <c r="N702" s="9"/>
      <c r="O702" s="9"/>
      <c r="Q702" s="9"/>
      <c r="S702" s="9"/>
      <c r="U702" s="9"/>
      <c r="W702" s="9"/>
      <c r="AA702" s="9"/>
      <c r="AB702" s="9"/>
      <c r="AC702" s="9"/>
      <c r="AE702" s="9"/>
    </row>
    <row r="703" spans="1:31">
      <c r="A703" s="389"/>
      <c r="B703" s="9"/>
      <c r="C703" s="9"/>
      <c r="D703" s="9"/>
      <c r="E703" s="9"/>
      <c r="G703" s="9"/>
      <c r="I703" s="9"/>
      <c r="M703" s="9"/>
      <c r="N703" s="9"/>
      <c r="O703" s="9"/>
      <c r="Q703" s="9"/>
      <c r="S703" s="9"/>
      <c r="U703" s="9"/>
      <c r="W703" s="9"/>
      <c r="AA703" s="9"/>
      <c r="AB703" s="9"/>
      <c r="AC703" s="9"/>
      <c r="AE703" s="9"/>
    </row>
    <row r="704" spans="1:31">
      <c r="A704" s="389"/>
      <c r="B704" s="9"/>
      <c r="C704" s="9"/>
      <c r="D704" s="9"/>
      <c r="E704" s="9"/>
      <c r="G704" s="9"/>
      <c r="I704" s="9"/>
      <c r="M704" s="9"/>
      <c r="N704" s="9"/>
      <c r="O704" s="9"/>
      <c r="Q704" s="9"/>
      <c r="S704" s="9"/>
      <c r="U704" s="9"/>
      <c r="W704" s="9"/>
      <c r="AA704" s="9"/>
      <c r="AB704" s="9"/>
      <c r="AC704" s="9"/>
      <c r="AE704" s="9"/>
    </row>
    <row r="705" spans="1:31">
      <c r="A705" s="389"/>
      <c r="B705" s="9"/>
      <c r="C705" s="9"/>
      <c r="D705" s="9"/>
      <c r="E705" s="9"/>
      <c r="G705" s="9"/>
      <c r="I705" s="9"/>
      <c r="M705" s="9"/>
      <c r="N705" s="9"/>
      <c r="O705" s="9"/>
      <c r="Q705" s="9"/>
      <c r="S705" s="9"/>
      <c r="U705" s="9"/>
      <c r="W705" s="9"/>
      <c r="AA705" s="9"/>
      <c r="AB705" s="9"/>
      <c r="AC705" s="9"/>
      <c r="AE705" s="9"/>
    </row>
    <row r="706" spans="1:31">
      <c r="A706" s="389"/>
      <c r="B706" s="9"/>
      <c r="C706" s="9"/>
      <c r="D706" s="9"/>
      <c r="E706" s="9"/>
      <c r="G706" s="9"/>
      <c r="I706" s="9"/>
      <c r="M706" s="9"/>
      <c r="N706" s="9"/>
      <c r="O706" s="9"/>
      <c r="Q706" s="9"/>
      <c r="S706" s="9"/>
      <c r="U706" s="9"/>
      <c r="W706" s="9"/>
      <c r="AA706" s="9"/>
      <c r="AB706" s="9"/>
      <c r="AC706" s="9"/>
      <c r="AE706" s="9"/>
    </row>
    <row r="707" spans="1:31">
      <c r="A707" s="389"/>
      <c r="B707" s="9"/>
      <c r="C707" s="9"/>
      <c r="D707" s="9"/>
      <c r="E707" s="9"/>
      <c r="G707" s="9"/>
      <c r="I707" s="9"/>
      <c r="M707" s="9"/>
      <c r="N707" s="9"/>
      <c r="O707" s="9"/>
      <c r="Q707" s="9"/>
      <c r="S707" s="9"/>
      <c r="U707" s="9"/>
      <c r="W707" s="9"/>
      <c r="AA707" s="9"/>
      <c r="AB707" s="9"/>
      <c r="AC707" s="9"/>
      <c r="AE707" s="9"/>
    </row>
    <row r="708" spans="1:31">
      <c r="A708" s="389"/>
      <c r="B708" s="9"/>
      <c r="C708" s="9"/>
      <c r="D708" s="9"/>
      <c r="E708" s="9"/>
      <c r="G708" s="9"/>
      <c r="I708" s="9"/>
      <c r="M708" s="9"/>
      <c r="N708" s="9"/>
      <c r="O708" s="9"/>
      <c r="Q708" s="9"/>
      <c r="S708" s="9"/>
      <c r="U708" s="9"/>
      <c r="W708" s="9"/>
      <c r="AA708" s="9"/>
      <c r="AB708" s="9"/>
      <c r="AC708" s="9"/>
      <c r="AE708" s="9"/>
    </row>
    <row r="709" spans="1:31">
      <c r="A709" s="389"/>
      <c r="B709" s="9"/>
      <c r="C709" s="9"/>
      <c r="D709" s="9"/>
      <c r="E709" s="9"/>
      <c r="G709" s="9"/>
      <c r="I709" s="9"/>
      <c r="M709" s="9"/>
      <c r="N709" s="9"/>
      <c r="O709" s="9"/>
      <c r="Q709" s="9"/>
      <c r="S709" s="9"/>
      <c r="U709" s="9"/>
      <c r="W709" s="9"/>
      <c r="AA709" s="9"/>
      <c r="AB709" s="9"/>
      <c r="AC709" s="9"/>
      <c r="AE709" s="9"/>
    </row>
    <row r="710" spans="1:31">
      <c r="A710" s="389"/>
      <c r="B710" s="9"/>
      <c r="C710" s="9"/>
      <c r="D710" s="9"/>
      <c r="E710" s="9"/>
      <c r="G710" s="9"/>
      <c r="I710" s="9"/>
      <c r="M710" s="9"/>
      <c r="N710" s="9"/>
      <c r="O710" s="9"/>
      <c r="Q710" s="9"/>
      <c r="S710" s="9"/>
      <c r="U710" s="9"/>
      <c r="W710" s="9"/>
      <c r="AA710" s="9"/>
      <c r="AB710" s="9"/>
      <c r="AC710" s="9"/>
      <c r="AE710" s="9"/>
    </row>
    <row r="711" spans="1:31">
      <c r="A711" s="389"/>
      <c r="B711" s="9"/>
      <c r="C711" s="9"/>
      <c r="D711" s="9"/>
      <c r="E711" s="9"/>
      <c r="G711" s="9"/>
      <c r="I711" s="9"/>
      <c r="M711" s="9"/>
      <c r="N711" s="9"/>
      <c r="O711" s="9"/>
      <c r="Q711" s="9"/>
      <c r="S711" s="9"/>
      <c r="U711" s="9"/>
      <c r="W711" s="9"/>
      <c r="AA711" s="9"/>
      <c r="AB711" s="9"/>
      <c r="AC711" s="9"/>
      <c r="AE711" s="9"/>
    </row>
    <row r="712" spans="1:31">
      <c r="A712" s="389"/>
      <c r="B712" s="9"/>
      <c r="C712" s="9"/>
      <c r="D712" s="9"/>
      <c r="E712" s="9"/>
      <c r="G712" s="9"/>
      <c r="I712" s="9"/>
      <c r="M712" s="9"/>
      <c r="N712" s="9"/>
      <c r="O712" s="9"/>
      <c r="Q712" s="9"/>
      <c r="S712" s="9"/>
      <c r="U712" s="9"/>
      <c r="W712" s="9"/>
      <c r="AA712" s="9"/>
      <c r="AB712" s="9"/>
      <c r="AC712" s="9"/>
      <c r="AE712" s="9"/>
    </row>
    <row r="713" spans="1:31">
      <c r="A713" s="389"/>
      <c r="B713" s="9"/>
      <c r="C713" s="9"/>
      <c r="D713" s="9"/>
      <c r="E713" s="9"/>
      <c r="G713" s="9"/>
      <c r="I713" s="9"/>
      <c r="M713" s="9"/>
      <c r="N713" s="9"/>
      <c r="O713" s="9"/>
      <c r="Q713" s="9"/>
      <c r="S713" s="9"/>
      <c r="U713" s="9"/>
      <c r="W713" s="9"/>
      <c r="AA713" s="9"/>
      <c r="AB713" s="9"/>
      <c r="AC713" s="9"/>
      <c r="AE713" s="9"/>
    </row>
    <row r="714" spans="1:31">
      <c r="A714" s="389"/>
      <c r="B714" s="9"/>
      <c r="C714" s="9"/>
      <c r="D714" s="9"/>
      <c r="E714" s="9"/>
      <c r="G714" s="9"/>
      <c r="I714" s="9"/>
      <c r="M714" s="9"/>
      <c r="N714" s="9"/>
      <c r="O714" s="9"/>
      <c r="Q714" s="9"/>
      <c r="S714" s="9"/>
      <c r="U714" s="9"/>
      <c r="W714" s="9"/>
      <c r="AA714" s="9"/>
      <c r="AB714" s="9"/>
      <c r="AC714" s="9"/>
      <c r="AE714" s="9"/>
    </row>
    <row r="715" spans="1:31">
      <c r="A715" s="389"/>
      <c r="B715" s="9"/>
      <c r="C715" s="9"/>
      <c r="D715" s="9"/>
      <c r="E715" s="9"/>
      <c r="G715" s="9"/>
      <c r="I715" s="9"/>
      <c r="M715" s="9"/>
      <c r="N715" s="9"/>
      <c r="O715" s="9"/>
      <c r="Q715" s="9"/>
      <c r="S715" s="9"/>
      <c r="U715" s="9"/>
      <c r="W715" s="9"/>
      <c r="AA715" s="9"/>
      <c r="AB715" s="9"/>
      <c r="AC715" s="9"/>
      <c r="AE715" s="9"/>
    </row>
    <row r="716" spans="1:31">
      <c r="A716" s="389"/>
      <c r="B716" s="9"/>
      <c r="C716" s="9"/>
      <c r="D716" s="9"/>
      <c r="E716" s="9"/>
      <c r="G716" s="9"/>
      <c r="I716" s="9"/>
      <c r="M716" s="9"/>
      <c r="N716" s="9"/>
      <c r="O716" s="9"/>
      <c r="Q716" s="9"/>
      <c r="S716" s="9"/>
      <c r="U716" s="9"/>
      <c r="W716" s="9"/>
      <c r="AA716" s="9"/>
      <c r="AB716" s="9"/>
      <c r="AC716" s="9"/>
      <c r="AE716" s="9"/>
    </row>
    <row r="717" spans="1:31">
      <c r="A717" s="389"/>
      <c r="B717" s="9"/>
      <c r="C717" s="9"/>
      <c r="D717" s="9"/>
      <c r="E717" s="9"/>
      <c r="G717" s="9"/>
      <c r="I717" s="9"/>
      <c r="M717" s="9"/>
      <c r="N717" s="9"/>
      <c r="O717" s="9"/>
      <c r="Q717" s="9"/>
      <c r="S717" s="9"/>
      <c r="U717" s="9"/>
      <c r="W717" s="9"/>
      <c r="AA717" s="9"/>
      <c r="AB717" s="9"/>
      <c r="AC717" s="9"/>
      <c r="AE717" s="9"/>
    </row>
    <row r="718" spans="1:31">
      <c r="A718" s="389"/>
      <c r="B718" s="9"/>
      <c r="C718" s="9"/>
      <c r="D718" s="9"/>
      <c r="E718" s="9"/>
      <c r="G718" s="9"/>
      <c r="I718" s="9"/>
      <c r="M718" s="9"/>
      <c r="N718" s="9"/>
      <c r="O718" s="9"/>
      <c r="Q718" s="9"/>
      <c r="S718" s="9"/>
      <c r="U718" s="9"/>
      <c r="W718" s="9"/>
      <c r="AA718" s="9"/>
      <c r="AB718" s="9"/>
      <c r="AC718" s="9"/>
      <c r="AE718" s="9"/>
    </row>
    <row r="719" spans="1:31">
      <c r="A719" s="389"/>
      <c r="B719" s="9"/>
      <c r="C719" s="9"/>
      <c r="D719" s="9"/>
      <c r="E719" s="9"/>
      <c r="G719" s="9"/>
      <c r="I719" s="9"/>
      <c r="M719" s="9"/>
      <c r="N719" s="9"/>
      <c r="O719" s="9"/>
      <c r="Q719" s="9"/>
      <c r="S719" s="9"/>
      <c r="U719" s="9"/>
      <c r="W719" s="9"/>
      <c r="AA719" s="9"/>
      <c r="AB719" s="9"/>
      <c r="AC719" s="9"/>
      <c r="AE719" s="9"/>
    </row>
    <row r="720" spans="1:31">
      <c r="A720" s="389"/>
      <c r="B720" s="9"/>
      <c r="C720" s="9"/>
      <c r="D720" s="9"/>
      <c r="E720" s="9"/>
      <c r="G720" s="9"/>
      <c r="I720" s="9"/>
      <c r="M720" s="9"/>
      <c r="N720" s="9"/>
      <c r="O720" s="9"/>
      <c r="Q720" s="9"/>
      <c r="S720" s="9"/>
      <c r="U720" s="9"/>
      <c r="W720" s="9"/>
      <c r="AA720" s="9"/>
      <c r="AB720" s="9"/>
      <c r="AC720" s="9"/>
      <c r="AE720" s="9"/>
    </row>
    <row r="721" spans="1:31">
      <c r="A721" s="389"/>
      <c r="B721" s="9"/>
      <c r="C721" s="9"/>
      <c r="D721" s="9"/>
      <c r="E721" s="9"/>
      <c r="G721" s="9"/>
      <c r="I721" s="9"/>
      <c r="M721" s="9"/>
      <c r="N721" s="9"/>
      <c r="O721" s="9"/>
      <c r="Q721" s="9"/>
      <c r="S721" s="9"/>
      <c r="U721" s="9"/>
      <c r="W721" s="9"/>
      <c r="AA721" s="9"/>
      <c r="AB721" s="9"/>
      <c r="AC721" s="9"/>
      <c r="AE721" s="9"/>
    </row>
    <row r="722" spans="1:31">
      <c r="A722" s="389"/>
      <c r="B722" s="9"/>
      <c r="C722" s="9"/>
      <c r="D722" s="9"/>
      <c r="E722" s="9"/>
      <c r="G722" s="9"/>
      <c r="I722" s="9"/>
      <c r="M722" s="9"/>
      <c r="N722" s="9"/>
      <c r="O722" s="9"/>
      <c r="Q722" s="9"/>
      <c r="S722" s="9"/>
      <c r="U722" s="9"/>
      <c r="W722" s="9"/>
      <c r="AA722" s="9"/>
      <c r="AB722" s="9"/>
      <c r="AC722" s="9"/>
      <c r="AE722" s="9"/>
    </row>
    <row r="723" spans="1:31">
      <c r="A723" s="389"/>
      <c r="B723" s="9"/>
      <c r="C723" s="9"/>
      <c r="D723" s="9"/>
      <c r="E723" s="9"/>
      <c r="G723" s="9"/>
      <c r="I723" s="9"/>
      <c r="M723" s="9"/>
      <c r="N723" s="9"/>
      <c r="O723" s="9"/>
      <c r="Q723" s="9"/>
      <c r="S723" s="9"/>
      <c r="U723" s="9"/>
      <c r="W723" s="9"/>
      <c r="AA723" s="9"/>
      <c r="AB723" s="9"/>
      <c r="AC723" s="9"/>
      <c r="AE723" s="9"/>
    </row>
    <row r="724" spans="1:31">
      <c r="A724" s="389"/>
      <c r="B724" s="9"/>
      <c r="C724" s="9"/>
      <c r="D724" s="9"/>
      <c r="E724" s="9"/>
      <c r="G724" s="9"/>
      <c r="I724" s="9"/>
      <c r="M724" s="9"/>
      <c r="N724" s="9"/>
      <c r="O724" s="9"/>
      <c r="Q724" s="9"/>
      <c r="S724" s="9"/>
      <c r="U724" s="9"/>
      <c r="W724" s="9"/>
      <c r="AA724" s="9"/>
      <c r="AB724" s="9"/>
      <c r="AC724" s="9"/>
      <c r="AE724" s="9"/>
    </row>
    <row r="725" spans="1:31">
      <c r="A725" s="389"/>
      <c r="B725" s="9"/>
      <c r="C725" s="9"/>
      <c r="D725" s="9"/>
      <c r="E725" s="9"/>
      <c r="G725" s="9"/>
      <c r="I725" s="9"/>
      <c r="M725" s="9"/>
      <c r="N725" s="9"/>
      <c r="O725" s="9"/>
      <c r="Q725" s="9"/>
      <c r="S725" s="9"/>
      <c r="U725" s="9"/>
      <c r="W725" s="9"/>
      <c r="AA725" s="9"/>
      <c r="AB725" s="9"/>
      <c r="AC725" s="9"/>
      <c r="AE725" s="9"/>
    </row>
    <row r="726" spans="1:31">
      <c r="A726" s="389"/>
      <c r="B726" s="9"/>
      <c r="C726" s="9"/>
      <c r="D726" s="9"/>
      <c r="E726" s="9"/>
      <c r="G726" s="9"/>
      <c r="I726" s="9"/>
      <c r="M726" s="9"/>
      <c r="N726" s="9"/>
      <c r="O726" s="9"/>
      <c r="Q726" s="9"/>
      <c r="S726" s="9"/>
      <c r="U726" s="9"/>
      <c r="W726" s="9"/>
      <c r="AA726" s="9"/>
      <c r="AB726" s="9"/>
      <c r="AC726" s="9"/>
      <c r="AE726" s="9"/>
    </row>
    <row r="727" spans="1:31">
      <c r="A727" s="389"/>
      <c r="B727" s="9"/>
      <c r="C727" s="9"/>
      <c r="D727" s="9"/>
      <c r="E727" s="9"/>
      <c r="G727" s="9"/>
      <c r="I727" s="9"/>
      <c r="M727" s="9"/>
      <c r="N727" s="9"/>
      <c r="O727" s="9"/>
      <c r="Q727" s="9"/>
      <c r="S727" s="9"/>
      <c r="U727" s="9"/>
      <c r="W727" s="9"/>
      <c r="AA727" s="9"/>
      <c r="AB727" s="9"/>
      <c r="AC727" s="9"/>
      <c r="AE727" s="9"/>
    </row>
    <row r="728" spans="1:31">
      <c r="A728" s="389"/>
      <c r="B728" s="9"/>
      <c r="C728" s="9"/>
      <c r="D728" s="9"/>
      <c r="E728" s="9"/>
      <c r="G728" s="9"/>
      <c r="I728" s="9"/>
      <c r="M728" s="9"/>
      <c r="N728" s="9"/>
      <c r="O728" s="9"/>
      <c r="Q728" s="9"/>
      <c r="S728" s="9"/>
      <c r="U728" s="9"/>
      <c r="W728" s="9"/>
      <c r="AA728" s="9"/>
      <c r="AB728" s="9"/>
      <c r="AC728" s="9"/>
      <c r="AE728" s="9"/>
    </row>
    <row r="729" spans="1:31">
      <c r="A729" s="389"/>
      <c r="B729" s="9"/>
      <c r="C729" s="9"/>
      <c r="D729" s="9"/>
      <c r="E729" s="9"/>
      <c r="G729" s="9"/>
      <c r="I729" s="9"/>
      <c r="M729" s="9"/>
      <c r="N729" s="9"/>
      <c r="O729" s="9"/>
      <c r="Q729" s="9"/>
      <c r="S729" s="9"/>
      <c r="U729" s="9"/>
      <c r="W729" s="9"/>
      <c r="AA729" s="9"/>
      <c r="AB729" s="9"/>
      <c r="AC729" s="9"/>
      <c r="AE729" s="9"/>
    </row>
    <row r="730" spans="1:31">
      <c r="A730" s="389"/>
      <c r="B730" s="9"/>
      <c r="C730" s="9"/>
      <c r="D730" s="9"/>
      <c r="E730" s="9"/>
      <c r="G730" s="9"/>
      <c r="I730" s="9"/>
      <c r="M730" s="9"/>
      <c r="N730" s="9"/>
      <c r="O730" s="9"/>
      <c r="Q730" s="9"/>
      <c r="S730" s="9"/>
      <c r="U730" s="9"/>
      <c r="W730" s="9"/>
      <c r="AA730" s="9"/>
      <c r="AB730" s="9"/>
      <c r="AC730" s="9"/>
      <c r="AE730" s="9"/>
    </row>
    <row r="731" spans="1:31">
      <c r="A731" s="389"/>
      <c r="B731" s="9"/>
      <c r="C731" s="9"/>
      <c r="D731" s="9"/>
      <c r="E731" s="9"/>
      <c r="G731" s="9"/>
      <c r="I731" s="9"/>
      <c r="M731" s="9"/>
      <c r="N731" s="9"/>
      <c r="O731" s="9"/>
      <c r="Q731" s="9"/>
      <c r="S731" s="9"/>
      <c r="U731" s="9"/>
      <c r="W731" s="9"/>
      <c r="AA731" s="9"/>
      <c r="AB731" s="9"/>
      <c r="AC731" s="9"/>
      <c r="AE731" s="9"/>
    </row>
    <row r="732" spans="1:31">
      <c r="A732" s="389"/>
      <c r="B732" s="9"/>
      <c r="C732" s="9"/>
      <c r="D732" s="9"/>
      <c r="E732" s="9"/>
      <c r="G732" s="9"/>
      <c r="I732" s="9"/>
      <c r="M732" s="9"/>
      <c r="N732" s="9"/>
      <c r="O732" s="9"/>
      <c r="Q732" s="9"/>
      <c r="S732" s="9"/>
      <c r="U732" s="9"/>
      <c r="W732" s="9"/>
      <c r="AA732" s="9"/>
      <c r="AB732" s="9"/>
      <c r="AC732" s="9"/>
      <c r="AE732" s="9"/>
    </row>
    <row r="733" spans="1:31">
      <c r="A733" s="389"/>
      <c r="B733" s="9"/>
      <c r="C733" s="9"/>
      <c r="D733" s="9"/>
      <c r="E733" s="9"/>
      <c r="G733" s="9"/>
      <c r="I733" s="9"/>
      <c r="M733" s="9"/>
      <c r="N733" s="9"/>
      <c r="O733" s="9"/>
      <c r="Q733" s="9"/>
      <c r="S733" s="9"/>
      <c r="U733" s="9"/>
      <c r="W733" s="9"/>
      <c r="AA733" s="9"/>
      <c r="AB733" s="9"/>
      <c r="AC733" s="9"/>
      <c r="AE733" s="9"/>
    </row>
    <row r="734" spans="1:31">
      <c r="A734" s="389"/>
      <c r="B734" s="9"/>
      <c r="C734" s="9"/>
      <c r="D734" s="9"/>
      <c r="E734" s="9"/>
      <c r="G734" s="9"/>
      <c r="I734" s="9"/>
      <c r="M734" s="9"/>
      <c r="N734" s="9"/>
      <c r="O734" s="9"/>
      <c r="Q734" s="9"/>
      <c r="S734" s="9"/>
      <c r="U734" s="9"/>
      <c r="W734" s="9"/>
      <c r="AA734" s="9"/>
      <c r="AB734" s="9"/>
      <c r="AC734" s="9"/>
      <c r="AE734" s="9"/>
    </row>
    <row r="735" spans="1:31">
      <c r="A735" s="389"/>
      <c r="B735" s="9"/>
      <c r="C735" s="9"/>
      <c r="D735" s="9"/>
      <c r="E735" s="9"/>
      <c r="G735" s="9"/>
      <c r="I735" s="9"/>
      <c r="M735" s="9"/>
      <c r="N735" s="9"/>
      <c r="O735" s="9"/>
      <c r="Q735" s="9"/>
      <c r="S735" s="9"/>
      <c r="U735" s="9"/>
      <c r="W735" s="9"/>
      <c r="AA735" s="9"/>
      <c r="AB735" s="9"/>
      <c r="AC735" s="9"/>
      <c r="AE735" s="9"/>
    </row>
    <row r="736" spans="1:31">
      <c r="A736" s="389"/>
      <c r="B736" s="9"/>
      <c r="C736" s="9"/>
      <c r="D736" s="9"/>
      <c r="E736" s="9"/>
      <c r="G736" s="9"/>
      <c r="I736" s="9"/>
      <c r="M736" s="9"/>
      <c r="N736" s="9"/>
      <c r="O736" s="9"/>
      <c r="Q736" s="9"/>
      <c r="S736" s="9"/>
      <c r="U736" s="9"/>
      <c r="W736" s="9"/>
      <c r="AA736" s="9"/>
      <c r="AB736" s="9"/>
      <c r="AC736" s="9"/>
      <c r="AE736" s="9"/>
    </row>
    <row r="737" spans="1:31">
      <c r="A737" s="389"/>
      <c r="B737" s="9"/>
      <c r="C737" s="9"/>
      <c r="D737" s="9"/>
      <c r="E737" s="9"/>
      <c r="G737" s="9"/>
      <c r="I737" s="9"/>
      <c r="M737" s="9"/>
      <c r="N737" s="9"/>
      <c r="O737" s="9"/>
      <c r="Q737" s="9"/>
      <c r="S737" s="9"/>
      <c r="U737" s="9"/>
      <c r="W737" s="9"/>
      <c r="AA737" s="9"/>
      <c r="AB737" s="9"/>
      <c r="AC737" s="9"/>
      <c r="AE737" s="9"/>
    </row>
    <row r="738" spans="1:31">
      <c r="A738" s="389"/>
      <c r="B738" s="9"/>
      <c r="C738" s="9"/>
      <c r="D738" s="9"/>
      <c r="E738" s="9"/>
      <c r="G738" s="9"/>
      <c r="I738" s="9"/>
      <c r="M738" s="9"/>
      <c r="N738" s="9"/>
      <c r="O738" s="9"/>
      <c r="Q738" s="9"/>
      <c r="S738" s="9"/>
      <c r="U738" s="9"/>
      <c r="W738" s="9"/>
      <c r="AA738" s="9"/>
      <c r="AB738" s="9"/>
      <c r="AC738" s="9"/>
      <c r="AE738" s="9"/>
    </row>
    <row r="739" spans="1:31">
      <c r="A739" s="389"/>
      <c r="B739" s="9"/>
      <c r="C739" s="9"/>
      <c r="D739" s="9"/>
      <c r="E739" s="9"/>
      <c r="G739" s="9"/>
      <c r="I739" s="9"/>
      <c r="M739" s="9"/>
      <c r="N739" s="9"/>
      <c r="O739" s="9"/>
      <c r="Q739" s="9"/>
      <c r="S739" s="9"/>
      <c r="U739" s="9"/>
      <c r="W739" s="9"/>
      <c r="AA739" s="9"/>
      <c r="AB739" s="9"/>
      <c r="AC739" s="9"/>
      <c r="AE739" s="9"/>
    </row>
    <row r="740" spans="1:31">
      <c r="A740" s="389"/>
      <c r="B740" s="9"/>
      <c r="C740" s="9"/>
      <c r="D740" s="9"/>
      <c r="E740" s="9"/>
      <c r="G740" s="9"/>
      <c r="I740" s="9"/>
      <c r="M740" s="9"/>
      <c r="N740" s="9"/>
      <c r="O740" s="9"/>
      <c r="Q740" s="9"/>
      <c r="S740" s="9"/>
      <c r="U740" s="9"/>
      <c r="W740" s="9"/>
      <c r="AA740" s="9"/>
      <c r="AB740" s="9"/>
      <c r="AC740" s="9"/>
      <c r="AE740" s="9"/>
    </row>
    <row r="741" spans="1:31">
      <c r="A741" s="389"/>
      <c r="B741" s="9"/>
      <c r="C741" s="9"/>
      <c r="D741" s="9"/>
      <c r="E741" s="9"/>
      <c r="G741" s="9"/>
      <c r="I741" s="9"/>
      <c r="M741" s="9"/>
      <c r="N741" s="9"/>
      <c r="O741" s="9"/>
      <c r="Q741" s="9"/>
      <c r="S741" s="9"/>
      <c r="U741" s="9"/>
      <c r="W741" s="9"/>
      <c r="AA741" s="9"/>
      <c r="AB741" s="9"/>
      <c r="AC741" s="9"/>
      <c r="AE741" s="9"/>
    </row>
    <row r="742" spans="1:31">
      <c r="A742" s="389"/>
      <c r="B742" s="9"/>
      <c r="C742" s="9"/>
      <c r="D742" s="9"/>
      <c r="E742" s="9"/>
      <c r="G742" s="9"/>
      <c r="I742" s="9"/>
      <c r="M742" s="9"/>
      <c r="N742" s="9"/>
      <c r="O742" s="9"/>
      <c r="Q742" s="9"/>
      <c r="S742" s="9"/>
      <c r="U742" s="9"/>
      <c r="W742" s="9"/>
      <c r="AA742" s="9"/>
      <c r="AB742" s="9"/>
      <c r="AC742" s="9"/>
      <c r="AE742" s="9"/>
    </row>
    <row r="743" spans="1:31">
      <c r="A743" s="389"/>
      <c r="B743" s="9"/>
      <c r="C743" s="9"/>
      <c r="D743" s="9"/>
      <c r="E743" s="9"/>
      <c r="G743" s="9"/>
      <c r="I743" s="9"/>
      <c r="M743" s="9"/>
      <c r="N743" s="9"/>
      <c r="O743" s="9"/>
      <c r="Q743" s="9"/>
      <c r="S743" s="9"/>
      <c r="U743" s="9"/>
      <c r="W743" s="9"/>
      <c r="AA743" s="9"/>
      <c r="AB743" s="9"/>
      <c r="AC743" s="9"/>
      <c r="AE743" s="9"/>
    </row>
    <row r="744" spans="1:31">
      <c r="A744" s="389"/>
      <c r="B744" s="9"/>
      <c r="C744" s="9"/>
      <c r="D744" s="9"/>
      <c r="E744" s="9"/>
      <c r="G744" s="9"/>
      <c r="I744" s="9"/>
      <c r="M744" s="9"/>
      <c r="N744" s="9"/>
      <c r="O744" s="9"/>
      <c r="Q744" s="9"/>
      <c r="S744" s="9"/>
      <c r="U744" s="9"/>
      <c r="W744" s="9"/>
      <c r="AA744" s="9"/>
      <c r="AB744" s="9"/>
      <c r="AC744" s="9"/>
      <c r="AE744" s="9"/>
    </row>
    <row r="745" spans="1:31">
      <c r="A745" s="389"/>
      <c r="B745" s="9"/>
      <c r="C745" s="9"/>
      <c r="D745" s="9"/>
      <c r="E745" s="9"/>
      <c r="G745" s="9"/>
      <c r="I745" s="9"/>
      <c r="M745" s="9"/>
      <c r="N745" s="9"/>
      <c r="O745" s="9"/>
      <c r="Q745" s="9"/>
      <c r="S745" s="9"/>
      <c r="U745" s="9"/>
      <c r="W745" s="9"/>
      <c r="AA745" s="9"/>
      <c r="AB745" s="9"/>
      <c r="AC745" s="9"/>
      <c r="AE745" s="9"/>
    </row>
    <row r="746" spans="1:31">
      <c r="A746" s="389"/>
      <c r="B746" s="9"/>
      <c r="C746" s="9"/>
      <c r="D746" s="9"/>
      <c r="E746" s="9"/>
      <c r="G746" s="9"/>
      <c r="I746" s="9"/>
      <c r="M746" s="9"/>
      <c r="N746" s="9"/>
      <c r="O746" s="9"/>
      <c r="Q746" s="9"/>
      <c r="S746" s="9"/>
      <c r="U746" s="9"/>
      <c r="W746" s="9"/>
      <c r="AA746" s="9"/>
      <c r="AB746" s="9"/>
      <c r="AC746" s="9"/>
      <c r="AE746" s="9"/>
    </row>
    <row r="747" spans="1:31">
      <c r="A747" s="389"/>
      <c r="B747" s="9"/>
      <c r="C747" s="9"/>
      <c r="D747" s="9"/>
      <c r="E747" s="9"/>
      <c r="G747" s="9"/>
      <c r="I747" s="9"/>
      <c r="M747" s="9"/>
      <c r="N747" s="9"/>
      <c r="O747" s="9"/>
      <c r="Q747" s="9"/>
      <c r="S747" s="9"/>
      <c r="U747" s="9"/>
      <c r="W747" s="9"/>
      <c r="AA747" s="9"/>
      <c r="AB747" s="9"/>
      <c r="AC747" s="9"/>
      <c r="AE747" s="9"/>
    </row>
    <row r="748" spans="1:31">
      <c r="A748" s="389"/>
      <c r="B748" s="9"/>
      <c r="C748" s="9"/>
      <c r="D748" s="9"/>
      <c r="E748" s="9"/>
      <c r="G748" s="9"/>
      <c r="I748" s="9"/>
      <c r="M748" s="9"/>
      <c r="N748" s="9"/>
      <c r="O748" s="9"/>
      <c r="Q748" s="9"/>
      <c r="S748" s="9"/>
      <c r="U748" s="9"/>
      <c r="W748" s="9"/>
      <c r="AA748" s="9"/>
      <c r="AB748" s="9"/>
      <c r="AC748" s="9"/>
      <c r="AE748" s="9"/>
    </row>
    <row r="749" spans="1:31">
      <c r="A749" s="389"/>
      <c r="B749" s="9"/>
      <c r="C749" s="9"/>
      <c r="D749" s="9"/>
      <c r="E749" s="9"/>
      <c r="G749" s="9"/>
      <c r="I749" s="9"/>
      <c r="M749" s="9"/>
      <c r="N749" s="9"/>
      <c r="O749" s="9"/>
      <c r="Q749" s="9"/>
      <c r="S749" s="9"/>
      <c r="U749" s="9"/>
      <c r="W749" s="9"/>
      <c r="AA749" s="9"/>
      <c r="AB749" s="9"/>
      <c r="AC749" s="9"/>
      <c r="AE749" s="9"/>
    </row>
    <row r="750" spans="1:31">
      <c r="A750" s="389"/>
      <c r="B750" s="9"/>
      <c r="C750" s="9"/>
      <c r="D750" s="9"/>
      <c r="E750" s="9"/>
      <c r="G750" s="9"/>
      <c r="I750" s="9"/>
      <c r="M750" s="9"/>
      <c r="N750" s="9"/>
      <c r="O750" s="9"/>
      <c r="Q750" s="9"/>
      <c r="S750" s="9"/>
      <c r="U750" s="9"/>
      <c r="W750" s="9"/>
      <c r="AA750" s="9"/>
      <c r="AB750" s="9"/>
      <c r="AC750" s="9"/>
      <c r="AE750" s="9"/>
    </row>
    <row r="751" spans="1:31">
      <c r="A751" s="389"/>
      <c r="B751" s="9"/>
      <c r="C751" s="9"/>
      <c r="D751" s="9"/>
      <c r="E751" s="9"/>
      <c r="G751" s="9"/>
      <c r="I751" s="9"/>
      <c r="M751" s="9"/>
      <c r="N751" s="9"/>
      <c r="O751" s="9"/>
      <c r="Q751" s="9"/>
      <c r="S751" s="9"/>
      <c r="U751" s="9"/>
      <c r="W751" s="9"/>
      <c r="AA751" s="9"/>
      <c r="AB751" s="9"/>
      <c r="AC751" s="9"/>
      <c r="AE751" s="9"/>
    </row>
    <row r="752" spans="1:31">
      <c r="A752" s="389"/>
      <c r="B752" s="9"/>
      <c r="C752" s="9"/>
      <c r="D752" s="9"/>
      <c r="E752" s="9"/>
      <c r="G752" s="9"/>
      <c r="I752" s="9"/>
      <c r="M752" s="9"/>
      <c r="N752" s="9"/>
      <c r="O752" s="9"/>
      <c r="Q752" s="9"/>
      <c r="S752" s="9"/>
      <c r="U752" s="9"/>
      <c r="W752" s="9"/>
      <c r="AA752" s="9"/>
      <c r="AB752" s="9"/>
      <c r="AC752" s="9"/>
      <c r="AE752" s="9"/>
    </row>
    <row r="753" spans="1:31">
      <c r="A753" s="389"/>
      <c r="B753" s="9"/>
      <c r="C753" s="9"/>
      <c r="D753" s="9"/>
      <c r="E753" s="9"/>
      <c r="G753" s="9"/>
      <c r="I753" s="9"/>
      <c r="M753" s="9"/>
      <c r="N753" s="9"/>
      <c r="O753" s="9"/>
      <c r="Q753" s="9"/>
      <c r="S753" s="9"/>
      <c r="U753" s="9"/>
      <c r="W753" s="9"/>
      <c r="AA753" s="9"/>
      <c r="AB753" s="9"/>
      <c r="AC753" s="9"/>
      <c r="AE753" s="9"/>
    </row>
    <row r="754" spans="1:31">
      <c r="A754" s="389"/>
      <c r="B754" s="9"/>
      <c r="C754" s="9"/>
      <c r="D754" s="9"/>
      <c r="E754" s="9"/>
      <c r="G754" s="9"/>
      <c r="I754" s="9"/>
      <c r="M754" s="9"/>
      <c r="N754" s="9"/>
      <c r="O754" s="9"/>
      <c r="Q754" s="9"/>
      <c r="S754" s="9"/>
      <c r="U754" s="9"/>
      <c r="W754" s="9"/>
      <c r="AA754" s="9"/>
      <c r="AB754" s="9"/>
      <c r="AC754" s="9"/>
      <c r="AE754" s="9"/>
    </row>
    <row r="755" spans="1:31">
      <c r="A755" s="389"/>
      <c r="B755" s="9"/>
      <c r="C755" s="9"/>
      <c r="D755" s="9"/>
      <c r="E755" s="9"/>
      <c r="G755" s="9"/>
      <c r="I755" s="9"/>
      <c r="M755" s="9"/>
      <c r="N755" s="9"/>
      <c r="O755" s="9"/>
      <c r="Q755" s="9"/>
      <c r="S755" s="9"/>
      <c r="U755" s="9"/>
      <c r="W755" s="9"/>
      <c r="AA755" s="9"/>
      <c r="AB755" s="9"/>
      <c r="AC755" s="9"/>
      <c r="AE755" s="9"/>
    </row>
    <row r="756" spans="1:31">
      <c r="A756" s="389"/>
      <c r="B756" s="9"/>
      <c r="C756" s="9"/>
      <c r="D756" s="9"/>
      <c r="E756" s="9"/>
      <c r="G756" s="9"/>
      <c r="I756" s="9"/>
      <c r="M756" s="9"/>
      <c r="N756" s="9"/>
      <c r="O756" s="9"/>
      <c r="Q756" s="9"/>
      <c r="S756" s="9"/>
      <c r="U756" s="9"/>
      <c r="W756" s="9"/>
      <c r="AA756" s="9"/>
      <c r="AB756" s="9"/>
      <c r="AC756" s="9"/>
      <c r="AE756" s="9"/>
    </row>
    <row r="757" spans="1:31">
      <c r="A757" s="389"/>
      <c r="B757" s="9"/>
      <c r="C757" s="9"/>
      <c r="D757" s="9"/>
      <c r="E757" s="9"/>
      <c r="G757" s="9"/>
      <c r="I757" s="9"/>
      <c r="M757" s="9"/>
      <c r="N757" s="9"/>
      <c r="O757" s="9"/>
      <c r="Q757" s="9"/>
      <c r="S757" s="9"/>
      <c r="U757" s="9"/>
      <c r="W757" s="9"/>
      <c r="AA757" s="9"/>
      <c r="AB757" s="9"/>
      <c r="AC757" s="9"/>
      <c r="AE757" s="9"/>
    </row>
    <row r="758" spans="1:31">
      <c r="A758" s="389"/>
      <c r="B758" s="9"/>
      <c r="C758" s="9"/>
      <c r="D758" s="9"/>
      <c r="E758" s="9"/>
      <c r="G758" s="9"/>
      <c r="I758" s="9"/>
      <c r="M758" s="9"/>
      <c r="N758" s="9"/>
      <c r="O758" s="9"/>
      <c r="Q758" s="9"/>
      <c r="S758" s="9"/>
      <c r="U758" s="9"/>
      <c r="W758" s="9"/>
      <c r="AA758" s="9"/>
      <c r="AB758" s="9"/>
      <c r="AC758" s="9"/>
      <c r="AE758" s="9"/>
    </row>
    <row r="759" spans="1:31">
      <c r="A759" s="389"/>
      <c r="B759" s="9"/>
      <c r="C759" s="9"/>
      <c r="D759" s="9"/>
      <c r="E759" s="9"/>
      <c r="G759" s="9"/>
      <c r="I759" s="9"/>
      <c r="M759" s="9"/>
      <c r="N759" s="9"/>
      <c r="O759" s="9"/>
      <c r="Q759" s="9"/>
      <c r="S759" s="9"/>
      <c r="U759" s="9"/>
      <c r="W759" s="9"/>
      <c r="AA759" s="9"/>
      <c r="AB759" s="9"/>
      <c r="AC759" s="9"/>
      <c r="AE759" s="9"/>
    </row>
    <row r="760" spans="1:31">
      <c r="A760" s="389"/>
      <c r="B760" s="9"/>
      <c r="C760" s="9"/>
      <c r="D760" s="9"/>
      <c r="E760" s="9"/>
      <c r="G760" s="9"/>
      <c r="I760" s="9"/>
      <c r="M760" s="9"/>
      <c r="N760" s="9"/>
      <c r="O760" s="9"/>
      <c r="Q760" s="9"/>
      <c r="S760" s="9"/>
      <c r="U760" s="9"/>
      <c r="W760" s="9"/>
      <c r="AA760" s="9"/>
      <c r="AB760" s="9"/>
      <c r="AC760" s="9"/>
      <c r="AE760" s="9"/>
    </row>
    <row r="761" spans="1:31">
      <c r="A761" s="389"/>
      <c r="B761" s="9"/>
      <c r="C761" s="9"/>
      <c r="D761" s="9"/>
      <c r="E761" s="9"/>
      <c r="G761" s="9"/>
      <c r="I761" s="9"/>
      <c r="M761" s="9"/>
      <c r="N761" s="9"/>
      <c r="O761" s="9"/>
      <c r="Q761" s="9"/>
      <c r="S761" s="9"/>
      <c r="U761" s="9"/>
      <c r="W761" s="9"/>
      <c r="AA761" s="9"/>
      <c r="AB761" s="9"/>
      <c r="AC761" s="9"/>
      <c r="AE761" s="9"/>
    </row>
    <row r="762" spans="1:31">
      <c r="A762" s="389"/>
      <c r="B762" s="9"/>
      <c r="C762" s="9"/>
      <c r="D762" s="9"/>
      <c r="E762" s="9"/>
      <c r="G762" s="9"/>
      <c r="I762" s="9"/>
      <c r="M762" s="9"/>
      <c r="N762" s="9"/>
      <c r="O762" s="9"/>
      <c r="Q762" s="9"/>
      <c r="S762" s="9"/>
      <c r="U762" s="9"/>
      <c r="W762" s="9"/>
      <c r="AA762" s="9"/>
      <c r="AB762" s="9"/>
      <c r="AC762" s="9"/>
      <c r="AE762" s="9"/>
    </row>
    <row r="763" spans="1:31">
      <c r="A763" s="389"/>
      <c r="B763" s="9"/>
      <c r="C763" s="9"/>
      <c r="D763" s="9"/>
      <c r="E763" s="9"/>
      <c r="G763" s="9"/>
      <c r="I763" s="9"/>
      <c r="M763" s="9"/>
      <c r="N763" s="9"/>
      <c r="O763" s="9"/>
      <c r="Q763" s="9"/>
      <c r="S763" s="9"/>
      <c r="U763" s="9"/>
      <c r="W763" s="9"/>
      <c r="AA763" s="9"/>
      <c r="AB763" s="9"/>
      <c r="AC763" s="9"/>
      <c r="AE763" s="9"/>
    </row>
    <row r="764" spans="1:31">
      <c r="A764" s="389"/>
      <c r="B764" s="9"/>
      <c r="C764" s="9"/>
      <c r="D764" s="9"/>
      <c r="E764" s="9"/>
      <c r="G764" s="9"/>
      <c r="I764" s="9"/>
      <c r="M764" s="9"/>
      <c r="N764" s="9"/>
      <c r="O764" s="9"/>
      <c r="Q764" s="9"/>
      <c r="S764" s="9"/>
      <c r="U764" s="9"/>
      <c r="W764" s="9"/>
      <c r="AA764" s="9"/>
      <c r="AB764" s="9"/>
      <c r="AC764" s="9"/>
      <c r="AE764" s="9"/>
    </row>
    <row r="765" spans="1:31">
      <c r="A765" s="389"/>
      <c r="B765" s="9"/>
      <c r="C765" s="9"/>
      <c r="D765" s="9"/>
      <c r="E765" s="9"/>
      <c r="G765" s="9"/>
      <c r="I765" s="9"/>
      <c r="M765" s="9"/>
      <c r="N765" s="9"/>
      <c r="O765" s="9"/>
      <c r="Q765" s="9"/>
      <c r="S765" s="9"/>
      <c r="U765" s="9"/>
      <c r="W765" s="9"/>
      <c r="AA765" s="9"/>
      <c r="AB765" s="9"/>
      <c r="AC765" s="9"/>
      <c r="AE765" s="9"/>
    </row>
    <row r="766" spans="1:31">
      <c r="A766" s="389"/>
      <c r="B766" s="9"/>
      <c r="C766" s="9"/>
      <c r="D766" s="9"/>
      <c r="E766" s="9"/>
      <c r="G766" s="9"/>
      <c r="I766" s="9"/>
      <c r="M766" s="9"/>
      <c r="N766" s="9"/>
      <c r="O766" s="9"/>
      <c r="Q766" s="9"/>
      <c r="S766" s="9"/>
      <c r="U766" s="9"/>
      <c r="W766" s="9"/>
      <c r="AA766" s="9"/>
      <c r="AB766" s="9"/>
      <c r="AC766" s="9"/>
      <c r="AE766" s="9"/>
    </row>
    <row r="767" spans="1:31">
      <c r="A767" s="389"/>
      <c r="B767" s="9"/>
      <c r="C767" s="9"/>
      <c r="D767" s="9"/>
      <c r="E767" s="9"/>
      <c r="G767" s="9"/>
      <c r="I767" s="9"/>
      <c r="M767" s="9"/>
      <c r="N767" s="9"/>
      <c r="O767" s="9"/>
      <c r="Q767" s="9"/>
      <c r="S767" s="9"/>
      <c r="U767" s="9"/>
      <c r="W767" s="9"/>
      <c r="AA767" s="9"/>
      <c r="AB767" s="9"/>
      <c r="AC767" s="9"/>
      <c r="AE767" s="9"/>
    </row>
    <row r="768" spans="1:31">
      <c r="A768" s="389"/>
      <c r="B768" s="9"/>
      <c r="C768" s="9"/>
      <c r="D768" s="9"/>
      <c r="E768" s="9"/>
      <c r="G768" s="9"/>
      <c r="I768" s="9"/>
      <c r="M768" s="9"/>
      <c r="N768" s="9"/>
      <c r="O768" s="9"/>
      <c r="Q768" s="9"/>
      <c r="S768" s="9"/>
      <c r="U768" s="9"/>
      <c r="W768" s="9"/>
      <c r="AA768" s="9"/>
      <c r="AB768" s="9"/>
      <c r="AC768" s="9"/>
      <c r="AE768" s="9"/>
    </row>
    <row r="769" spans="1:31">
      <c r="A769" s="389"/>
      <c r="B769" s="9"/>
      <c r="C769" s="9"/>
      <c r="D769" s="9"/>
      <c r="E769" s="9"/>
      <c r="G769" s="9"/>
      <c r="I769" s="9"/>
      <c r="M769" s="9"/>
      <c r="N769" s="9"/>
      <c r="O769" s="9"/>
      <c r="Q769" s="9"/>
      <c r="S769" s="9"/>
      <c r="U769" s="9"/>
      <c r="W769" s="9"/>
      <c r="AA769" s="9"/>
      <c r="AB769" s="9"/>
      <c r="AC769" s="9"/>
      <c r="AE769" s="9"/>
    </row>
    <row r="770" spans="1:31">
      <c r="A770" s="389"/>
      <c r="B770" s="9"/>
      <c r="C770" s="9"/>
      <c r="D770" s="9"/>
      <c r="E770" s="9"/>
      <c r="G770" s="9"/>
      <c r="I770" s="9"/>
      <c r="M770" s="9"/>
      <c r="N770" s="9"/>
      <c r="O770" s="9"/>
      <c r="Q770" s="9"/>
      <c r="S770" s="9"/>
      <c r="U770" s="9"/>
      <c r="W770" s="9"/>
      <c r="AA770" s="9"/>
      <c r="AB770" s="9"/>
      <c r="AC770" s="9"/>
      <c r="AE770" s="9"/>
    </row>
    <row r="771" spans="1:31">
      <c r="A771" s="389"/>
      <c r="B771" s="9"/>
      <c r="C771" s="9"/>
      <c r="D771" s="9"/>
      <c r="E771" s="9"/>
      <c r="G771" s="9"/>
      <c r="I771" s="9"/>
      <c r="M771" s="9"/>
      <c r="N771" s="9"/>
      <c r="O771" s="9"/>
      <c r="Q771" s="9"/>
      <c r="S771" s="9"/>
      <c r="U771" s="9"/>
      <c r="W771" s="9"/>
      <c r="AA771" s="9"/>
      <c r="AB771" s="9"/>
      <c r="AC771" s="9"/>
      <c r="AE771" s="9"/>
    </row>
    <row r="772" spans="1:31">
      <c r="A772" s="389"/>
      <c r="B772" s="9"/>
      <c r="C772" s="9"/>
      <c r="D772" s="9"/>
      <c r="E772" s="9"/>
      <c r="G772" s="9"/>
      <c r="I772" s="9"/>
      <c r="M772" s="9"/>
      <c r="N772" s="9"/>
      <c r="O772" s="9"/>
      <c r="Q772" s="9"/>
      <c r="S772" s="9"/>
      <c r="U772" s="9"/>
      <c r="W772" s="9"/>
      <c r="AA772" s="9"/>
      <c r="AB772" s="9"/>
      <c r="AC772" s="9"/>
      <c r="AE772" s="9"/>
    </row>
    <row r="773" spans="1:31">
      <c r="A773" s="389"/>
      <c r="B773" s="9"/>
      <c r="C773" s="9"/>
      <c r="D773" s="9"/>
      <c r="E773" s="9"/>
      <c r="G773" s="9"/>
      <c r="I773" s="9"/>
      <c r="M773" s="9"/>
      <c r="N773" s="9"/>
      <c r="O773" s="9"/>
      <c r="Q773" s="9"/>
      <c r="S773" s="9"/>
      <c r="U773" s="9"/>
      <c r="W773" s="9"/>
      <c r="AA773" s="9"/>
      <c r="AB773" s="9"/>
      <c r="AC773" s="9"/>
      <c r="AE773" s="9"/>
    </row>
    <row r="774" spans="1:31">
      <c r="A774" s="389"/>
      <c r="B774" s="9"/>
      <c r="C774" s="9"/>
      <c r="D774" s="9"/>
      <c r="E774" s="9"/>
      <c r="G774" s="9"/>
      <c r="I774" s="9"/>
      <c r="M774" s="9"/>
      <c r="N774" s="9"/>
      <c r="O774" s="9"/>
      <c r="Q774" s="9"/>
      <c r="S774" s="9"/>
      <c r="U774" s="9"/>
      <c r="W774" s="9"/>
      <c r="AA774" s="9"/>
      <c r="AB774" s="9"/>
      <c r="AC774" s="9"/>
      <c r="AE774" s="9"/>
    </row>
    <row r="775" spans="1:31">
      <c r="A775" s="389"/>
      <c r="B775" s="9"/>
      <c r="C775" s="9"/>
      <c r="D775" s="9"/>
      <c r="E775" s="9"/>
      <c r="G775" s="9"/>
      <c r="I775" s="9"/>
      <c r="M775" s="9"/>
      <c r="N775" s="9"/>
      <c r="O775" s="9"/>
      <c r="Q775" s="9"/>
      <c r="S775" s="9"/>
      <c r="U775" s="9"/>
      <c r="W775" s="9"/>
      <c r="AA775" s="9"/>
      <c r="AB775" s="9"/>
      <c r="AC775" s="9"/>
      <c r="AE775" s="9"/>
    </row>
    <row r="776" spans="1:31">
      <c r="A776" s="389"/>
      <c r="B776" s="9"/>
      <c r="C776" s="9"/>
      <c r="D776" s="9"/>
      <c r="E776" s="9"/>
      <c r="G776" s="9"/>
      <c r="I776" s="9"/>
      <c r="M776" s="9"/>
      <c r="N776" s="9"/>
      <c r="O776" s="9"/>
      <c r="Q776" s="9"/>
      <c r="S776" s="9"/>
      <c r="U776" s="9"/>
      <c r="W776" s="9"/>
      <c r="AA776" s="9"/>
      <c r="AB776" s="9"/>
      <c r="AC776" s="9"/>
      <c r="AE776" s="9"/>
    </row>
    <row r="777" spans="1:31">
      <c r="A777" s="389"/>
      <c r="B777" s="9"/>
      <c r="C777" s="9"/>
      <c r="D777" s="9"/>
      <c r="E777" s="9"/>
      <c r="G777" s="9"/>
      <c r="I777" s="9"/>
      <c r="M777" s="9"/>
      <c r="N777" s="9"/>
      <c r="O777" s="9"/>
      <c r="Q777" s="9"/>
      <c r="S777" s="9"/>
      <c r="U777" s="9"/>
      <c r="W777" s="9"/>
      <c r="AA777" s="9"/>
      <c r="AB777" s="9"/>
      <c r="AC777" s="9"/>
      <c r="AE777" s="9"/>
    </row>
    <row r="778" spans="1:31">
      <c r="A778" s="389"/>
      <c r="B778" s="9"/>
      <c r="C778" s="9"/>
      <c r="D778" s="9"/>
      <c r="E778" s="9"/>
      <c r="G778" s="9"/>
      <c r="I778" s="9"/>
      <c r="M778" s="9"/>
      <c r="N778" s="9"/>
      <c r="O778" s="9"/>
      <c r="Q778" s="9"/>
      <c r="S778" s="9"/>
      <c r="U778" s="9"/>
      <c r="W778" s="9"/>
      <c r="AA778" s="9"/>
      <c r="AB778" s="9"/>
      <c r="AC778" s="9"/>
      <c r="AE778" s="9"/>
    </row>
    <row r="779" spans="1:31">
      <c r="A779" s="389"/>
      <c r="B779" s="9"/>
      <c r="C779" s="9"/>
      <c r="D779" s="9"/>
      <c r="E779" s="9"/>
      <c r="G779" s="9"/>
      <c r="I779" s="9"/>
      <c r="M779" s="9"/>
      <c r="N779" s="9"/>
      <c r="O779" s="9"/>
      <c r="Q779" s="9"/>
      <c r="S779" s="9"/>
      <c r="U779" s="9"/>
      <c r="W779" s="9"/>
      <c r="AA779" s="9"/>
      <c r="AB779" s="9"/>
      <c r="AC779" s="9"/>
      <c r="AE779" s="9"/>
    </row>
    <row r="780" spans="1:31">
      <c r="A780" s="389"/>
      <c r="B780" s="9"/>
      <c r="C780" s="9"/>
      <c r="D780" s="9"/>
      <c r="E780" s="9"/>
      <c r="G780" s="9"/>
      <c r="I780" s="9"/>
      <c r="M780" s="9"/>
      <c r="N780" s="9"/>
      <c r="O780" s="9"/>
      <c r="Q780" s="9"/>
      <c r="S780" s="9"/>
      <c r="U780" s="9"/>
      <c r="W780" s="9"/>
      <c r="AA780" s="9"/>
      <c r="AB780" s="9"/>
      <c r="AC780" s="9"/>
      <c r="AE780" s="9"/>
    </row>
    <row r="781" spans="1:31">
      <c r="A781" s="389"/>
      <c r="B781" s="9"/>
      <c r="C781" s="9"/>
      <c r="D781" s="9"/>
      <c r="E781" s="9"/>
      <c r="G781" s="9"/>
      <c r="I781" s="9"/>
      <c r="M781" s="9"/>
      <c r="N781" s="9"/>
      <c r="O781" s="9"/>
      <c r="Q781" s="9"/>
      <c r="S781" s="9"/>
      <c r="U781" s="9"/>
      <c r="W781" s="9"/>
      <c r="AA781" s="9"/>
      <c r="AB781" s="9"/>
      <c r="AC781" s="9"/>
      <c r="AE781" s="9"/>
    </row>
    <row r="782" spans="1:31">
      <c r="A782" s="389"/>
      <c r="B782" s="9"/>
      <c r="C782" s="9"/>
      <c r="D782" s="9"/>
      <c r="E782" s="9"/>
      <c r="G782" s="9"/>
      <c r="I782" s="9"/>
      <c r="M782" s="9"/>
      <c r="N782" s="9"/>
      <c r="O782" s="9"/>
      <c r="Q782" s="9"/>
      <c r="S782" s="9"/>
      <c r="U782" s="9"/>
      <c r="W782" s="9"/>
      <c r="AA782" s="9"/>
      <c r="AB782" s="9"/>
      <c r="AC782" s="9"/>
      <c r="AE782" s="9"/>
    </row>
    <row r="783" spans="1:31">
      <c r="A783" s="389"/>
      <c r="B783" s="9"/>
      <c r="C783" s="9"/>
      <c r="D783" s="9"/>
      <c r="E783" s="9"/>
      <c r="G783" s="9"/>
      <c r="I783" s="9"/>
      <c r="M783" s="9"/>
      <c r="N783" s="9"/>
      <c r="O783" s="9"/>
      <c r="Q783" s="9"/>
      <c r="S783" s="9"/>
      <c r="U783" s="9"/>
      <c r="W783" s="9"/>
      <c r="AA783" s="9"/>
      <c r="AB783" s="9"/>
      <c r="AC783" s="9"/>
      <c r="AE783" s="9"/>
    </row>
    <row r="784" spans="1:31">
      <c r="A784" s="389"/>
      <c r="B784" s="9"/>
      <c r="C784" s="9"/>
      <c r="D784" s="9"/>
      <c r="E784" s="9"/>
      <c r="G784" s="9"/>
      <c r="I784" s="9"/>
      <c r="M784" s="9"/>
      <c r="N784" s="9"/>
      <c r="O784" s="9"/>
      <c r="Q784" s="9"/>
      <c r="S784" s="9"/>
      <c r="U784" s="9"/>
      <c r="W784" s="9"/>
      <c r="AA784" s="9"/>
      <c r="AB784" s="9"/>
      <c r="AC784" s="9"/>
      <c r="AE784" s="9"/>
    </row>
    <row r="785" spans="1:31">
      <c r="A785" s="389"/>
      <c r="B785" s="9"/>
      <c r="C785" s="9"/>
      <c r="D785" s="9"/>
      <c r="E785" s="9"/>
      <c r="G785" s="9"/>
      <c r="I785" s="9"/>
      <c r="M785" s="9"/>
      <c r="N785" s="9"/>
      <c r="O785" s="9"/>
      <c r="Q785" s="9"/>
      <c r="S785" s="9"/>
      <c r="U785" s="9"/>
      <c r="W785" s="9"/>
      <c r="AA785" s="9"/>
      <c r="AB785" s="9"/>
      <c r="AC785" s="9"/>
      <c r="AE785" s="9"/>
    </row>
    <row r="786" spans="1:31">
      <c r="A786" s="389"/>
      <c r="B786" s="9"/>
      <c r="C786" s="9"/>
      <c r="D786" s="9"/>
      <c r="E786" s="9"/>
      <c r="G786" s="9"/>
      <c r="I786" s="9"/>
      <c r="M786" s="9"/>
      <c r="N786" s="9"/>
      <c r="O786" s="9"/>
      <c r="Q786" s="9"/>
      <c r="S786" s="9"/>
      <c r="U786" s="9"/>
      <c r="W786" s="9"/>
      <c r="AA786" s="9"/>
      <c r="AB786" s="9"/>
      <c r="AC786" s="9"/>
      <c r="AE786" s="9"/>
    </row>
    <row r="787" spans="1:31">
      <c r="A787" s="389"/>
      <c r="B787" s="9"/>
      <c r="C787" s="9"/>
      <c r="D787" s="9"/>
      <c r="E787" s="9"/>
      <c r="G787" s="9"/>
      <c r="I787" s="9"/>
      <c r="M787" s="9"/>
      <c r="N787" s="9"/>
      <c r="O787" s="9"/>
      <c r="Q787" s="9"/>
      <c r="S787" s="9"/>
      <c r="U787" s="9"/>
      <c r="W787" s="9"/>
      <c r="AA787" s="9"/>
      <c r="AB787" s="9"/>
      <c r="AC787" s="9"/>
      <c r="AE787" s="9"/>
    </row>
    <row r="788" spans="1:31">
      <c r="A788" s="389"/>
      <c r="B788" s="9"/>
      <c r="C788" s="9"/>
      <c r="D788" s="9"/>
      <c r="E788" s="9"/>
      <c r="G788" s="9"/>
      <c r="I788" s="9"/>
      <c r="M788" s="9"/>
      <c r="N788" s="9"/>
      <c r="O788" s="9"/>
      <c r="Q788" s="9"/>
      <c r="S788" s="9"/>
      <c r="U788" s="9"/>
      <c r="W788" s="9"/>
      <c r="AA788" s="9"/>
      <c r="AB788" s="9"/>
      <c r="AC788" s="9"/>
      <c r="AE788" s="9"/>
    </row>
    <row r="789" spans="1:31">
      <c r="A789" s="389"/>
      <c r="B789" s="9"/>
      <c r="C789" s="9"/>
      <c r="D789" s="9"/>
      <c r="E789" s="9"/>
      <c r="G789" s="9"/>
      <c r="I789" s="9"/>
      <c r="M789" s="9"/>
      <c r="N789" s="9"/>
      <c r="O789" s="9"/>
      <c r="Q789" s="9"/>
      <c r="S789" s="9"/>
      <c r="U789" s="9"/>
      <c r="W789" s="9"/>
      <c r="AA789" s="9"/>
      <c r="AB789" s="9"/>
      <c r="AC789" s="9"/>
      <c r="AE789" s="9"/>
    </row>
    <row r="790" spans="1:31">
      <c r="A790" s="389"/>
      <c r="B790" s="9"/>
      <c r="C790" s="9"/>
      <c r="D790" s="9"/>
      <c r="E790" s="9"/>
      <c r="G790" s="9"/>
      <c r="I790" s="9"/>
      <c r="M790" s="9"/>
      <c r="N790" s="9"/>
      <c r="O790" s="9"/>
      <c r="Q790" s="9"/>
      <c r="S790" s="9"/>
      <c r="U790" s="9"/>
      <c r="W790" s="9"/>
      <c r="AA790" s="9"/>
      <c r="AB790" s="9"/>
      <c r="AC790" s="9"/>
      <c r="AE790" s="9"/>
    </row>
    <row r="791" spans="1:31">
      <c r="A791" s="389"/>
      <c r="B791" s="9"/>
      <c r="C791" s="9"/>
      <c r="D791" s="9"/>
      <c r="E791" s="9"/>
      <c r="G791" s="9"/>
      <c r="I791" s="9"/>
      <c r="M791" s="9"/>
      <c r="N791" s="9"/>
      <c r="O791" s="9"/>
      <c r="Q791" s="9"/>
      <c r="S791" s="9"/>
      <c r="U791" s="9"/>
      <c r="W791" s="9"/>
      <c r="AA791" s="9"/>
      <c r="AB791" s="9"/>
      <c r="AC791" s="9"/>
      <c r="AE791" s="9"/>
    </row>
    <row r="792" spans="1:31">
      <c r="A792" s="389"/>
      <c r="B792" s="9"/>
      <c r="C792" s="9"/>
      <c r="D792" s="9"/>
      <c r="E792" s="9"/>
      <c r="G792" s="9"/>
      <c r="I792" s="9"/>
      <c r="M792" s="9"/>
      <c r="N792" s="9"/>
      <c r="O792" s="9"/>
      <c r="Q792" s="9"/>
      <c r="S792" s="9"/>
      <c r="U792" s="9"/>
      <c r="W792" s="9"/>
      <c r="AA792" s="9"/>
      <c r="AB792" s="9"/>
      <c r="AC792" s="9"/>
      <c r="AE792" s="9"/>
    </row>
    <row r="793" spans="1:31">
      <c r="A793" s="389"/>
      <c r="B793" s="9"/>
      <c r="C793" s="9"/>
      <c r="D793" s="9"/>
      <c r="E793" s="9"/>
      <c r="G793" s="9"/>
      <c r="I793" s="9"/>
      <c r="M793" s="9"/>
      <c r="N793" s="9"/>
      <c r="O793" s="9"/>
      <c r="Q793" s="9"/>
      <c r="S793" s="9"/>
      <c r="U793" s="9"/>
      <c r="W793" s="9"/>
      <c r="AA793" s="9"/>
      <c r="AB793" s="9"/>
      <c r="AC793" s="9"/>
      <c r="AE793" s="9"/>
    </row>
    <row r="794" spans="1:31">
      <c r="A794" s="389"/>
      <c r="B794" s="9"/>
      <c r="C794" s="9"/>
      <c r="D794" s="9"/>
      <c r="E794" s="9"/>
      <c r="G794" s="9"/>
      <c r="I794" s="9"/>
      <c r="M794" s="9"/>
      <c r="N794" s="9"/>
      <c r="O794" s="9"/>
      <c r="Q794" s="9"/>
      <c r="S794" s="9"/>
      <c r="U794" s="9"/>
      <c r="W794" s="9"/>
      <c r="AA794" s="9"/>
      <c r="AB794" s="9"/>
      <c r="AC794" s="9"/>
      <c r="AE794" s="9"/>
    </row>
    <row r="795" spans="1:31">
      <c r="A795" s="389"/>
      <c r="B795" s="9"/>
      <c r="C795" s="9"/>
      <c r="D795" s="9"/>
      <c r="E795" s="9"/>
      <c r="G795" s="9"/>
      <c r="I795" s="9"/>
      <c r="M795" s="9"/>
      <c r="N795" s="9"/>
      <c r="O795" s="9"/>
      <c r="Q795" s="9"/>
      <c r="S795" s="9"/>
      <c r="U795" s="9"/>
      <c r="W795" s="9"/>
      <c r="AA795" s="9"/>
      <c r="AB795" s="9"/>
      <c r="AC795" s="9"/>
      <c r="AE795" s="9"/>
    </row>
    <row r="796" spans="1:31">
      <c r="A796" s="389"/>
      <c r="B796" s="9"/>
      <c r="C796" s="9"/>
      <c r="D796" s="9"/>
      <c r="E796" s="9"/>
      <c r="G796" s="9"/>
      <c r="I796" s="9"/>
      <c r="M796" s="9"/>
      <c r="N796" s="9"/>
      <c r="O796" s="9"/>
      <c r="Q796" s="9"/>
      <c r="S796" s="9"/>
      <c r="U796" s="9"/>
      <c r="W796" s="9"/>
      <c r="AA796" s="9"/>
      <c r="AB796" s="9"/>
      <c r="AC796" s="9"/>
      <c r="AE796" s="9"/>
    </row>
    <row r="797" spans="1:31">
      <c r="A797" s="389"/>
      <c r="B797" s="9"/>
      <c r="C797" s="9"/>
      <c r="D797" s="9"/>
      <c r="E797" s="9"/>
      <c r="G797" s="9"/>
      <c r="I797" s="9"/>
      <c r="M797" s="9"/>
      <c r="N797" s="9"/>
      <c r="O797" s="9"/>
      <c r="Q797" s="9"/>
      <c r="S797" s="9"/>
      <c r="U797" s="9"/>
      <c r="W797" s="9"/>
      <c r="AA797" s="9"/>
      <c r="AB797" s="9"/>
      <c r="AC797" s="9"/>
      <c r="AE797" s="9"/>
    </row>
    <row r="798" spans="1:31">
      <c r="A798" s="389"/>
      <c r="B798" s="9"/>
      <c r="C798" s="9"/>
      <c r="D798" s="9"/>
      <c r="E798" s="9"/>
      <c r="G798" s="9"/>
      <c r="I798" s="9"/>
      <c r="M798" s="9"/>
      <c r="N798" s="9"/>
      <c r="O798" s="9"/>
      <c r="Q798" s="9"/>
      <c r="S798" s="9"/>
      <c r="U798" s="9"/>
      <c r="W798" s="9"/>
      <c r="AA798" s="9"/>
      <c r="AB798" s="9"/>
      <c r="AC798" s="9"/>
      <c r="AE798" s="9"/>
    </row>
    <row r="799" spans="1:31">
      <c r="A799" s="389"/>
      <c r="B799" s="9"/>
      <c r="C799" s="9"/>
      <c r="D799" s="9"/>
      <c r="E799" s="9"/>
      <c r="G799" s="9"/>
      <c r="I799" s="9"/>
      <c r="M799" s="9"/>
      <c r="N799" s="9"/>
      <c r="O799" s="9"/>
      <c r="Q799" s="9"/>
      <c r="S799" s="9"/>
      <c r="U799" s="9"/>
      <c r="W799" s="9"/>
      <c r="AA799" s="9"/>
      <c r="AB799" s="9"/>
      <c r="AC799" s="9"/>
      <c r="AE799" s="9"/>
    </row>
    <row r="800" spans="1:31">
      <c r="A800" s="389"/>
      <c r="B800" s="9"/>
      <c r="C800" s="9"/>
      <c r="D800" s="9"/>
      <c r="E800" s="9"/>
      <c r="G800" s="9"/>
      <c r="I800" s="9"/>
      <c r="M800" s="9"/>
      <c r="N800" s="9"/>
      <c r="O800" s="9"/>
      <c r="Q800" s="9"/>
      <c r="S800" s="9"/>
      <c r="U800" s="9"/>
      <c r="W800" s="9"/>
      <c r="AA800" s="9"/>
      <c r="AB800" s="9"/>
      <c r="AC800" s="9"/>
      <c r="AE800" s="9"/>
    </row>
    <row r="801" spans="1:31">
      <c r="A801" s="389"/>
      <c r="B801" s="9"/>
      <c r="C801" s="9"/>
      <c r="D801" s="9"/>
      <c r="E801" s="9"/>
      <c r="G801" s="9"/>
      <c r="I801" s="9"/>
      <c r="M801" s="9"/>
      <c r="N801" s="9"/>
      <c r="O801" s="9"/>
      <c r="Q801" s="9"/>
      <c r="S801" s="9"/>
      <c r="U801" s="9"/>
      <c r="W801" s="9"/>
      <c r="AA801" s="9"/>
      <c r="AB801" s="9"/>
      <c r="AC801" s="9"/>
      <c r="AE801" s="9"/>
    </row>
    <row r="802" spans="1:31">
      <c r="A802" s="389"/>
      <c r="B802" s="9"/>
      <c r="C802" s="9"/>
      <c r="D802" s="9"/>
      <c r="E802" s="9"/>
      <c r="G802" s="9"/>
      <c r="I802" s="9"/>
      <c r="M802" s="9"/>
      <c r="N802" s="9"/>
      <c r="O802" s="9"/>
      <c r="Q802" s="9"/>
      <c r="S802" s="9"/>
      <c r="U802" s="9"/>
      <c r="W802" s="9"/>
      <c r="AA802" s="9"/>
      <c r="AB802" s="9"/>
      <c r="AC802" s="9"/>
      <c r="AE802" s="9"/>
    </row>
    <row r="803" spans="1:31">
      <c r="A803" s="389"/>
      <c r="B803" s="9"/>
      <c r="C803" s="9"/>
      <c r="D803" s="9"/>
      <c r="E803" s="9"/>
      <c r="G803" s="9"/>
      <c r="I803" s="9"/>
      <c r="M803" s="9"/>
      <c r="N803" s="9"/>
      <c r="O803" s="9"/>
      <c r="Q803" s="9"/>
      <c r="S803" s="9"/>
      <c r="U803" s="9"/>
      <c r="W803" s="9"/>
      <c r="AA803" s="9"/>
      <c r="AB803" s="9"/>
      <c r="AC803" s="9"/>
      <c r="AE803" s="9"/>
    </row>
    <row r="804" spans="1:31">
      <c r="A804" s="389"/>
      <c r="B804" s="9"/>
      <c r="C804" s="9"/>
      <c r="D804" s="9"/>
      <c r="E804" s="9"/>
      <c r="G804" s="9"/>
      <c r="I804" s="9"/>
      <c r="M804" s="9"/>
      <c r="N804" s="9"/>
      <c r="O804" s="9"/>
      <c r="Q804" s="9"/>
      <c r="S804" s="9"/>
      <c r="U804" s="9"/>
      <c r="W804" s="9"/>
      <c r="AA804" s="9"/>
      <c r="AB804" s="9"/>
      <c r="AC804" s="9"/>
      <c r="AE804" s="9"/>
    </row>
    <row r="805" spans="1:31">
      <c r="A805" s="389"/>
      <c r="B805" s="9"/>
      <c r="C805" s="9"/>
      <c r="D805" s="9"/>
      <c r="E805" s="9"/>
      <c r="G805" s="9"/>
      <c r="I805" s="9"/>
      <c r="M805" s="9"/>
      <c r="N805" s="9"/>
      <c r="O805" s="9"/>
      <c r="Q805" s="9"/>
      <c r="S805" s="9"/>
      <c r="U805" s="9"/>
      <c r="W805" s="9"/>
      <c r="AA805" s="9"/>
      <c r="AB805" s="9"/>
      <c r="AC805" s="9"/>
      <c r="AE805" s="9"/>
    </row>
    <row r="806" spans="1:31">
      <c r="A806" s="389"/>
      <c r="B806" s="9"/>
      <c r="C806" s="9"/>
      <c r="D806" s="9"/>
      <c r="E806" s="9"/>
      <c r="G806" s="9"/>
      <c r="I806" s="9"/>
      <c r="M806" s="9"/>
      <c r="N806" s="9"/>
      <c r="O806" s="9"/>
      <c r="Q806" s="9"/>
      <c r="S806" s="9"/>
      <c r="U806" s="9"/>
      <c r="W806" s="9"/>
      <c r="AA806" s="9"/>
      <c r="AB806" s="9"/>
      <c r="AC806" s="9"/>
      <c r="AE806" s="9"/>
    </row>
    <row r="807" spans="1:31">
      <c r="A807" s="389"/>
      <c r="B807" s="9"/>
      <c r="C807" s="9"/>
      <c r="D807" s="9"/>
      <c r="E807" s="9"/>
      <c r="G807" s="9"/>
      <c r="I807" s="9"/>
      <c r="M807" s="9"/>
      <c r="N807" s="9"/>
      <c r="O807" s="9"/>
      <c r="Q807" s="9"/>
      <c r="S807" s="9"/>
      <c r="U807" s="9"/>
      <c r="W807" s="9"/>
      <c r="AA807" s="9"/>
      <c r="AB807" s="9"/>
      <c r="AC807" s="9"/>
      <c r="AE807" s="9"/>
    </row>
    <row r="808" spans="1:31">
      <c r="A808" s="389"/>
      <c r="B808" s="9"/>
      <c r="C808" s="9"/>
      <c r="D808" s="9"/>
      <c r="E808" s="9"/>
      <c r="G808" s="9"/>
      <c r="I808" s="9"/>
      <c r="M808" s="9"/>
      <c r="N808" s="9"/>
      <c r="O808" s="9"/>
      <c r="Q808" s="9"/>
      <c r="S808" s="9"/>
      <c r="U808" s="9"/>
      <c r="W808" s="9"/>
      <c r="AA808" s="9"/>
      <c r="AB808" s="9"/>
      <c r="AC808" s="9"/>
      <c r="AE808" s="9"/>
    </row>
    <row r="809" spans="1:31">
      <c r="A809" s="389"/>
      <c r="B809" s="9"/>
      <c r="C809" s="9"/>
      <c r="D809" s="9"/>
      <c r="E809" s="9"/>
      <c r="G809" s="9"/>
      <c r="I809" s="9"/>
      <c r="M809" s="9"/>
      <c r="N809" s="9"/>
      <c r="O809" s="9"/>
      <c r="Q809" s="9"/>
      <c r="S809" s="9"/>
      <c r="U809" s="9"/>
      <c r="W809" s="9"/>
      <c r="AA809" s="9"/>
      <c r="AB809" s="9"/>
      <c r="AC809" s="9"/>
      <c r="AE809" s="9"/>
    </row>
    <row r="810" spans="1:31">
      <c r="A810" s="389"/>
      <c r="B810" s="9"/>
      <c r="C810" s="9"/>
      <c r="D810" s="9"/>
      <c r="E810" s="9"/>
      <c r="G810" s="9"/>
      <c r="I810" s="9"/>
      <c r="M810" s="9"/>
      <c r="N810" s="9"/>
      <c r="O810" s="9"/>
      <c r="Q810" s="9"/>
      <c r="S810" s="9"/>
      <c r="U810" s="9"/>
      <c r="W810" s="9"/>
      <c r="AA810" s="9"/>
      <c r="AB810" s="9"/>
      <c r="AC810" s="9"/>
      <c r="AE810" s="9"/>
    </row>
    <row r="811" spans="1:31">
      <c r="A811" s="389"/>
      <c r="B811" s="9"/>
      <c r="C811" s="9"/>
      <c r="D811" s="9"/>
      <c r="E811" s="9"/>
      <c r="G811" s="9"/>
      <c r="I811" s="9"/>
      <c r="M811" s="9"/>
      <c r="N811" s="9"/>
      <c r="O811" s="9"/>
      <c r="Q811" s="9"/>
      <c r="S811" s="9"/>
      <c r="U811" s="9"/>
      <c r="W811" s="9"/>
      <c r="AA811" s="9"/>
      <c r="AB811" s="9"/>
      <c r="AC811" s="9"/>
      <c r="AE811" s="9"/>
    </row>
    <row r="812" spans="1:31">
      <c r="A812" s="389"/>
      <c r="B812" s="9"/>
      <c r="C812" s="9"/>
      <c r="D812" s="9"/>
      <c r="E812" s="9"/>
      <c r="G812" s="9"/>
      <c r="I812" s="9"/>
      <c r="M812" s="9"/>
      <c r="N812" s="9"/>
      <c r="O812" s="9"/>
      <c r="Q812" s="9"/>
      <c r="S812" s="9"/>
      <c r="U812" s="9"/>
      <c r="W812" s="9"/>
      <c r="AA812" s="9"/>
      <c r="AB812" s="9"/>
      <c r="AC812" s="9"/>
      <c r="AE812" s="9"/>
    </row>
    <row r="813" spans="1:31">
      <c r="A813" s="389"/>
      <c r="B813" s="9"/>
      <c r="C813" s="9"/>
      <c r="D813" s="9"/>
      <c r="E813" s="9"/>
      <c r="G813" s="9"/>
      <c r="I813" s="9"/>
      <c r="M813" s="9"/>
      <c r="N813" s="9"/>
      <c r="O813" s="9"/>
      <c r="Q813" s="9"/>
      <c r="S813" s="9"/>
      <c r="U813" s="9"/>
      <c r="W813" s="9"/>
      <c r="AA813" s="9"/>
      <c r="AB813" s="9"/>
      <c r="AC813" s="9"/>
      <c r="AE813" s="9"/>
    </row>
    <row r="814" spans="1:31">
      <c r="A814" s="389"/>
      <c r="B814" s="9"/>
      <c r="C814" s="9"/>
      <c r="D814" s="9"/>
      <c r="E814" s="9"/>
      <c r="G814" s="9"/>
      <c r="I814" s="9"/>
      <c r="M814" s="9"/>
      <c r="N814" s="9"/>
      <c r="O814" s="9"/>
      <c r="Q814" s="9"/>
      <c r="S814" s="9"/>
      <c r="U814" s="9"/>
      <c r="W814" s="9"/>
      <c r="AA814" s="9"/>
      <c r="AB814" s="9"/>
      <c r="AC814" s="9"/>
      <c r="AE814" s="9"/>
    </row>
    <row r="815" spans="1:31">
      <c r="A815" s="389"/>
      <c r="B815" s="9"/>
      <c r="C815" s="9"/>
      <c r="D815" s="9"/>
      <c r="E815" s="9"/>
      <c r="G815" s="9"/>
      <c r="I815" s="9"/>
      <c r="M815" s="9"/>
      <c r="N815" s="9"/>
      <c r="O815" s="9"/>
      <c r="Q815" s="9"/>
      <c r="S815" s="9"/>
      <c r="U815" s="9"/>
      <c r="W815" s="9"/>
      <c r="AA815" s="9"/>
      <c r="AB815" s="9"/>
      <c r="AC815" s="9"/>
      <c r="AE815" s="9"/>
    </row>
    <row r="816" spans="1:31">
      <c r="A816" s="389"/>
      <c r="B816" s="9"/>
      <c r="C816" s="9"/>
      <c r="D816" s="9"/>
      <c r="E816" s="9"/>
      <c r="G816" s="9"/>
      <c r="I816" s="9"/>
      <c r="M816" s="9"/>
      <c r="N816" s="9"/>
      <c r="O816" s="9"/>
      <c r="Q816" s="9"/>
      <c r="S816" s="9"/>
      <c r="U816" s="9"/>
      <c r="W816" s="9"/>
      <c r="AA816" s="9"/>
      <c r="AB816" s="9"/>
      <c r="AC816" s="9"/>
      <c r="AE816" s="9"/>
    </row>
    <row r="817" spans="1:31">
      <c r="A817" s="389"/>
      <c r="B817" s="9"/>
      <c r="C817" s="9"/>
      <c r="D817" s="9"/>
      <c r="E817" s="9"/>
      <c r="G817" s="9"/>
      <c r="I817" s="9"/>
      <c r="M817" s="9"/>
      <c r="N817" s="9"/>
      <c r="O817" s="9"/>
      <c r="Q817" s="9"/>
      <c r="S817" s="9"/>
      <c r="U817" s="9"/>
      <c r="W817" s="9"/>
      <c r="AA817" s="9"/>
      <c r="AB817" s="9"/>
      <c r="AC817" s="9"/>
      <c r="AE817" s="9"/>
    </row>
    <row r="818" spans="1:31">
      <c r="A818" s="389"/>
      <c r="B818" s="9"/>
      <c r="C818" s="9"/>
      <c r="D818" s="9"/>
      <c r="E818" s="9"/>
      <c r="G818" s="9"/>
      <c r="I818" s="9"/>
      <c r="M818" s="9"/>
      <c r="N818" s="9"/>
      <c r="O818" s="9"/>
      <c r="Q818" s="9"/>
      <c r="S818" s="9"/>
      <c r="U818" s="9"/>
      <c r="W818" s="9"/>
      <c r="AA818" s="9"/>
      <c r="AB818" s="9"/>
      <c r="AC818" s="9"/>
      <c r="AE818" s="9"/>
    </row>
    <row r="819" spans="1:31">
      <c r="A819" s="389"/>
      <c r="B819" s="9"/>
      <c r="C819" s="9"/>
      <c r="D819" s="9"/>
      <c r="E819" s="9"/>
      <c r="G819" s="9"/>
      <c r="I819" s="9"/>
      <c r="M819" s="9"/>
      <c r="N819" s="9"/>
      <c r="O819" s="9"/>
      <c r="Q819" s="9"/>
      <c r="S819" s="9"/>
      <c r="U819" s="9"/>
      <c r="W819" s="9"/>
      <c r="AA819" s="9"/>
      <c r="AB819" s="9"/>
      <c r="AC819" s="9"/>
      <c r="AE819" s="9"/>
    </row>
    <row r="820" spans="1:31">
      <c r="A820" s="389"/>
      <c r="B820" s="9"/>
      <c r="C820" s="9"/>
      <c r="D820" s="9"/>
      <c r="E820" s="9"/>
      <c r="G820" s="9"/>
      <c r="I820" s="9"/>
      <c r="M820" s="9"/>
      <c r="N820" s="9"/>
      <c r="O820" s="9"/>
      <c r="Q820" s="9"/>
      <c r="S820" s="9"/>
      <c r="U820" s="9"/>
      <c r="W820" s="9"/>
      <c r="AA820" s="9"/>
      <c r="AB820" s="9"/>
      <c r="AC820" s="9"/>
      <c r="AE820" s="9"/>
    </row>
    <row r="821" spans="1:31">
      <c r="A821" s="389"/>
      <c r="B821" s="9"/>
      <c r="C821" s="9"/>
      <c r="D821" s="9"/>
      <c r="E821" s="9"/>
      <c r="G821" s="9"/>
      <c r="I821" s="9"/>
      <c r="M821" s="9"/>
      <c r="N821" s="9"/>
      <c r="O821" s="9"/>
      <c r="Q821" s="9"/>
      <c r="S821" s="9"/>
      <c r="U821" s="9"/>
      <c r="W821" s="9"/>
      <c r="AA821" s="9"/>
      <c r="AB821" s="9"/>
      <c r="AC821" s="9"/>
      <c r="AE821" s="9"/>
    </row>
    <row r="822" spans="1:31">
      <c r="A822" s="389"/>
      <c r="B822" s="9"/>
      <c r="C822" s="9"/>
      <c r="D822" s="9"/>
      <c r="E822" s="9"/>
      <c r="G822" s="9"/>
      <c r="I822" s="9"/>
      <c r="M822" s="9"/>
      <c r="N822" s="9"/>
      <c r="O822" s="9"/>
      <c r="Q822" s="9"/>
      <c r="S822" s="9"/>
      <c r="U822" s="9"/>
      <c r="W822" s="9"/>
      <c r="AA822" s="9"/>
      <c r="AB822" s="9"/>
      <c r="AC822" s="9"/>
      <c r="AE822" s="9"/>
    </row>
    <row r="823" spans="1:31">
      <c r="A823" s="389"/>
      <c r="B823" s="9"/>
      <c r="C823" s="9"/>
      <c r="D823" s="9"/>
      <c r="E823" s="9"/>
      <c r="G823" s="9"/>
      <c r="I823" s="9"/>
      <c r="M823" s="9"/>
      <c r="N823" s="9"/>
      <c r="O823" s="9"/>
      <c r="Q823" s="9"/>
      <c r="S823" s="9"/>
      <c r="U823" s="9"/>
      <c r="W823" s="9"/>
      <c r="AA823" s="9"/>
      <c r="AB823" s="9"/>
      <c r="AC823" s="9"/>
      <c r="AE823" s="9"/>
    </row>
    <row r="824" spans="1:31">
      <c r="A824" s="389"/>
      <c r="B824" s="9"/>
      <c r="C824" s="9"/>
      <c r="D824" s="9"/>
      <c r="E824" s="9"/>
      <c r="G824" s="9"/>
      <c r="I824" s="9"/>
      <c r="M824" s="9"/>
      <c r="N824" s="9"/>
      <c r="O824" s="9"/>
      <c r="Q824" s="9"/>
      <c r="S824" s="9"/>
      <c r="U824" s="9"/>
      <c r="W824" s="9"/>
      <c r="AA824" s="9"/>
      <c r="AB824" s="9"/>
      <c r="AC824" s="9"/>
      <c r="AE824" s="9"/>
    </row>
    <row r="825" spans="1:31">
      <c r="A825" s="389"/>
      <c r="B825" s="9"/>
      <c r="C825" s="9"/>
      <c r="D825" s="9"/>
      <c r="E825" s="9"/>
      <c r="G825" s="9"/>
      <c r="I825" s="9"/>
      <c r="M825" s="9"/>
      <c r="N825" s="9"/>
      <c r="O825" s="9"/>
      <c r="Q825" s="9"/>
      <c r="S825" s="9"/>
      <c r="U825" s="9"/>
      <c r="W825" s="9"/>
      <c r="AA825" s="9"/>
      <c r="AB825" s="9"/>
      <c r="AC825" s="9"/>
      <c r="AE825" s="9"/>
    </row>
    <row r="826" spans="1:31">
      <c r="A826" s="389"/>
      <c r="B826" s="9"/>
      <c r="C826" s="9"/>
      <c r="D826" s="9"/>
      <c r="E826" s="9"/>
      <c r="G826" s="9"/>
      <c r="I826" s="9"/>
      <c r="M826" s="9"/>
      <c r="N826" s="9"/>
      <c r="O826" s="9"/>
      <c r="Q826" s="9"/>
      <c r="S826" s="9"/>
      <c r="U826" s="9"/>
      <c r="W826" s="9"/>
      <c r="AA826" s="9"/>
      <c r="AB826" s="9"/>
      <c r="AC826" s="9"/>
      <c r="AE826" s="9"/>
    </row>
    <row r="827" spans="1:31">
      <c r="A827" s="389"/>
      <c r="B827" s="9"/>
      <c r="C827" s="9"/>
      <c r="D827" s="9"/>
      <c r="E827" s="9"/>
      <c r="G827" s="9"/>
      <c r="I827" s="9"/>
      <c r="M827" s="9"/>
      <c r="N827" s="9"/>
      <c r="O827" s="9"/>
      <c r="Q827" s="9"/>
      <c r="S827" s="9"/>
      <c r="U827" s="9"/>
      <c r="W827" s="9"/>
      <c r="AA827" s="9"/>
      <c r="AB827" s="9"/>
      <c r="AC827" s="9"/>
      <c r="AE827" s="9"/>
    </row>
    <row r="828" spans="1:31">
      <c r="A828" s="389"/>
      <c r="B828" s="9"/>
      <c r="C828" s="9"/>
      <c r="D828" s="9"/>
      <c r="E828" s="9"/>
      <c r="G828" s="9"/>
      <c r="I828" s="9"/>
      <c r="M828" s="9"/>
      <c r="N828" s="9"/>
      <c r="O828" s="9"/>
      <c r="Q828" s="9"/>
      <c r="S828" s="9"/>
      <c r="U828" s="9"/>
      <c r="W828" s="9"/>
      <c r="AA828" s="9"/>
      <c r="AB828" s="9"/>
      <c r="AC828" s="9"/>
      <c r="AE828" s="9"/>
    </row>
    <row r="829" spans="1:31">
      <c r="A829" s="389"/>
      <c r="B829" s="9"/>
      <c r="C829" s="9"/>
      <c r="D829" s="9"/>
      <c r="E829" s="9"/>
      <c r="G829" s="9"/>
      <c r="I829" s="9"/>
      <c r="M829" s="9"/>
      <c r="N829" s="9"/>
      <c r="O829" s="9"/>
      <c r="Q829" s="9"/>
      <c r="S829" s="9"/>
      <c r="U829" s="9"/>
      <c r="W829" s="9"/>
      <c r="AA829" s="9"/>
      <c r="AB829" s="9"/>
      <c r="AC829" s="9"/>
      <c r="AE829" s="9"/>
    </row>
    <row r="830" spans="1:31">
      <c r="A830" s="389"/>
      <c r="B830" s="9"/>
      <c r="C830" s="9"/>
      <c r="D830" s="9"/>
      <c r="E830" s="9"/>
      <c r="G830" s="9"/>
      <c r="I830" s="9"/>
      <c r="M830" s="9"/>
      <c r="N830" s="9"/>
      <c r="O830" s="9"/>
      <c r="Q830" s="9"/>
      <c r="S830" s="9"/>
      <c r="U830" s="9"/>
      <c r="W830" s="9"/>
      <c r="AA830" s="9"/>
      <c r="AB830" s="9"/>
      <c r="AC830" s="9"/>
      <c r="AE830" s="9"/>
    </row>
    <row r="831" spans="1:31">
      <c r="A831" s="389"/>
      <c r="B831" s="9"/>
      <c r="C831" s="9"/>
      <c r="D831" s="9"/>
      <c r="E831" s="9"/>
      <c r="G831" s="9"/>
      <c r="I831" s="9"/>
      <c r="M831" s="9"/>
      <c r="N831" s="9"/>
      <c r="O831" s="9"/>
      <c r="Q831" s="9"/>
      <c r="S831" s="9"/>
      <c r="U831" s="9"/>
      <c r="W831" s="9"/>
      <c r="AA831" s="9"/>
      <c r="AB831" s="9"/>
      <c r="AC831" s="9"/>
      <c r="AE831" s="9"/>
    </row>
    <row r="832" spans="1:31">
      <c r="A832" s="389"/>
      <c r="B832" s="9"/>
      <c r="C832" s="9"/>
      <c r="D832" s="9"/>
      <c r="E832" s="9"/>
      <c r="G832" s="9"/>
      <c r="I832" s="9"/>
      <c r="M832" s="9"/>
      <c r="N832" s="9"/>
      <c r="O832" s="9"/>
      <c r="Q832" s="9"/>
      <c r="S832" s="9"/>
      <c r="U832" s="9"/>
      <c r="W832" s="9"/>
      <c r="AA832" s="9"/>
      <c r="AB832" s="9"/>
      <c r="AC832" s="9"/>
      <c r="AE832" s="9"/>
    </row>
    <row r="833" spans="1:31">
      <c r="A833" s="389"/>
      <c r="B833" s="9"/>
      <c r="C833" s="9"/>
      <c r="D833" s="9"/>
      <c r="E833" s="9"/>
      <c r="G833" s="9"/>
      <c r="I833" s="9"/>
      <c r="M833" s="9"/>
      <c r="N833" s="9"/>
      <c r="O833" s="9"/>
      <c r="Q833" s="9"/>
      <c r="S833" s="9"/>
      <c r="U833" s="9"/>
      <c r="W833" s="9"/>
      <c r="AA833" s="9"/>
      <c r="AB833" s="9"/>
      <c r="AC833" s="9"/>
      <c r="AE833" s="9"/>
    </row>
    <row r="834" spans="1:31">
      <c r="A834" s="389"/>
      <c r="B834" s="9"/>
      <c r="C834" s="9"/>
      <c r="D834" s="9"/>
      <c r="E834" s="9"/>
      <c r="G834" s="9"/>
      <c r="I834" s="9"/>
      <c r="M834" s="9"/>
      <c r="N834" s="9"/>
      <c r="O834" s="9"/>
      <c r="Q834" s="9"/>
      <c r="S834" s="9"/>
      <c r="U834" s="9"/>
      <c r="W834" s="9"/>
      <c r="AA834" s="9"/>
      <c r="AB834" s="9"/>
      <c r="AC834" s="9"/>
      <c r="AE834" s="9"/>
    </row>
    <row r="835" spans="1:31">
      <c r="A835" s="389"/>
      <c r="B835" s="9"/>
      <c r="C835" s="9"/>
      <c r="D835" s="9"/>
      <c r="E835" s="9"/>
      <c r="G835" s="9"/>
      <c r="I835" s="9"/>
      <c r="M835" s="9"/>
      <c r="N835" s="9"/>
      <c r="O835" s="9"/>
      <c r="Q835" s="9"/>
      <c r="S835" s="9"/>
      <c r="U835" s="9"/>
      <c r="W835" s="9"/>
      <c r="AA835" s="9"/>
      <c r="AB835" s="9"/>
      <c r="AC835" s="9"/>
      <c r="AE835" s="9"/>
    </row>
    <row r="836" spans="1:31">
      <c r="A836" s="389"/>
      <c r="B836" s="9"/>
      <c r="C836" s="9"/>
      <c r="D836" s="9"/>
      <c r="E836" s="9"/>
      <c r="G836" s="9"/>
      <c r="I836" s="9"/>
      <c r="M836" s="9"/>
      <c r="N836" s="9"/>
      <c r="O836" s="9"/>
      <c r="Q836" s="9"/>
      <c r="S836" s="9"/>
      <c r="U836" s="9"/>
      <c r="W836" s="9"/>
      <c r="AA836" s="9"/>
      <c r="AB836" s="9"/>
      <c r="AC836" s="9"/>
      <c r="AE836" s="9"/>
    </row>
    <row r="837" spans="1:31">
      <c r="A837" s="389"/>
      <c r="B837" s="9"/>
      <c r="C837" s="9"/>
      <c r="D837" s="9"/>
      <c r="E837" s="9"/>
      <c r="G837" s="9"/>
      <c r="I837" s="9"/>
      <c r="M837" s="9"/>
      <c r="N837" s="9"/>
      <c r="O837" s="9"/>
      <c r="Q837" s="9"/>
      <c r="S837" s="9"/>
      <c r="U837" s="9"/>
      <c r="W837" s="9"/>
      <c r="AA837" s="9"/>
      <c r="AB837" s="9"/>
      <c r="AC837" s="9"/>
      <c r="AE837" s="9"/>
    </row>
    <row r="838" spans="1:31">
      <c r="A838" s="389"/>
      <c r="B838" s="9"/>
      <c r="C838" s="9"/>
      <c r="D838" s="9"/>
      <c r="E838" s="9"/>
      <c r="G838" s="9"/>
      <c r="I838" s="9"/>
      <c r="M838" s="9"/>
      <c r="N838" s="9"/>
      <c r="O838" s="9"/>
      <c r="Q838" s="9"/>
      <c r="S838" s="9"/>
      <c r="U838" s="9"/>
      <c r="W838" s="9"/>
      <c r="AA838" s="9"/>
      <c r="AB838" s="9"/>
      <c r="AC838" s="9"/>
      <c r="AE838" s="9"/>
    </row>
    <row r="839" spans="1:31">
      <c r="A839" s="389"/>
      <c r="B839" s="9"/>
      <c r="C839" s="9"/>
      <c r="D839" s="9"/>
      <c r="E839" s="9"/>
      <c r="G839" s="9"/>
      <c r="I839" s="9"/>
      <c r="M839" s="9"/>
      <c r="N839" s="9"/>
      <c r="O839" s="9"/>
      <c r="Q839" s="9"/>
      <c r="S839" s="9"/>
      <c r="U839" s="9"/>
      <c r="W839" s="9"/>
      <c r="AA839" s="9"/>
      <c r="AB839" s="9"/>
      <c r="AC839" s="9"/>
      <c r="AE839" s="9"/>
    </row>
    <row r="840" spans="1:31">
      <c r="A840" s="389"/>
      <c r="B840" s="9"/>
      <c r="C840" s="9"/>
      <c r="D840" s="9"/>
      <c r="E840" s="9"/>
      <c r="G840" s="9"/>
      <c r="I840" s="9"/>
      <c r="M840" s="9"/>
      <c r="N840" s="9"/>
      <c r="O840" s="9"/>
      <c r="Q840" s="9"/>
      <c r="S840" s="9"/>
      <c r="U840" s="9"/>
      <c r="W840" s="9"/>
      <c r="AA840" s="9"/>
      <c r="AB840" s="9"/>
      <c r="AC840" s="9"/>
      <c r="AE840" s="9"/>
    </row>
    <row r="841" spans="1:31">
      <c r="A841" s="389"/>
      <c r="B841" s="9"/>
      <c r="C841" s="9"/>
      <c r="D841" s="9"/>
      <c r="E841" s="9"/>
      <c r="G841" s="9"/>
      <c r="I841" s="9"/>
      <c r="M841" s="9"/>
      <c r="N841" s="9"/>
      <c r="O841" s="9"/>
      <c r="Q841" s="9"/>
      <c r="S841" s="9"/>
      <c r="U841" s="9"/>
      <c r="W841" s="9"/>
      <c r="AA841" s="9"/>
      <c r="AB841" s="9"/>
      <c r="AC841" s="9"/>
      <c r="AE841" s="9"/>
    </row>
    <row r="842" spans="1:31">
      <c r="A842" s="389"/>
      <c r="B842" s="9"/>
      <c r="C842" s="9"/>
      <c r="D842" s="9"/>
      <c r="E842" s="9"/>
      <c r="G842" s="9"/>
      <c r="I842" s="9"/>
      <c r="M842" s="9"/>
      <c r="N842" s="9"/>
      <c r="O842" s="9"/>
      <c r="Q842" s="9"/>
      <c r="S842" s="9"/>
      <c r="U842" s="9"/>
      <c r="W842" s="9"/>
      <c r="AA842" s="9"/>
      <c r="AB842" s="9"/>
      <c r="AC842" s="9"/>
      <c r="AE842" s="9"/>
    </row>
    <row r="843" spans="1:31">
      <c r="A843" s="389"/>
      <c r="B843" s="9"/>
      <c r="C843" s="9"/>
      <c r="D843" s="9"/>
      <c r="E843" s="9"/>
      <c r="G843" s="9"/>
      <c r="I843" s="9"/>
      <c r="M843" s="9"/>
      <c r="N843" s="9"/>
      <c r="O843" s="9"/>
      <c r="Q843" s="9"/>
      <c r="S843" s="9"/>
      <c r="U843" s="9"/>
      <c r="W843" s="9"/>
      <c r="AA843" s="9"/>
      <c r="AB843" s="9"/>
      <c r="AC843" s="9"/>
      <c r="AE843" s="9"/>
    </row>
    <row r="844" spans="1:31">
      <c r="A844" s="389"/>
      <c r="B844" s="9"/>
      <c r="C844" s="9"/>
      <c r="D844" s="9"/>
      <c r="E844" s="9"/>
      <c r="G844" s="9"/>
      <c r="I844" s="9"/>
      <c r="M844" s="9"/>
      <c r="N844" s="9"/>
      <c r="O844" s="9"/>
      <c r="Q844" s="9"/>
      <c r="S844" s="9"/>
      <c r="U844" s="9"/>
      <c r="W844" s="9"/>
      <c r="AA844" s="9"/>
      <c r="AB844" s="9"/>
      <c r="AC844" s="9"/>
      <c r="AE844" s="9"/>
    </row>
    <row r="845" spans="1:31">
      <c r="A845" s="389"/>
      <c r="B845" s="9"/>
      <c r="C845" s="9"/>
      <c r="D845" s="9"/>
      <c r="E845" s="9"/>
      <c r="G845" s="9"/>
      <c r="I845" s="9"/>
      <c r="M845" s="9"/>
      <c r="N845" s="9"/>
      <c r="O845" s="9"/>
      <c r="Q845" s="9"/>
      <c r="S845" s="9"/>
      <c r="U845" s="9"/>
      <c r="W845" s="9"/>
      <c r="AA845" s="9"/>
      <c r="AB845" s="9"/>
      <c r="AC845" s="9"/>
      <c r="AE845" s="9"/>
    </row>
    <row r="846" spans="1:31">
      <c r="A846" s="389"/>
      <c r="B846" s="9"/>
      <c r="C846" s="9"/>
      <c r="D846" s="9"/>
      <c r="E846" s="9"/>
      <c r="G846" s="9"/>
      <c r="I846" s="9"/>
      <c r="M846" s="9"/>
      <c r="N846" s="9"/>
      <c r="O846" s="9"/>
      <c r="Q846" s="9"/>
      <c r="S846" s="9"/>
      <c r="U846" s="9"/>
      <c r="W846" s="9"/>
      <c r="AA846" s="9"/>
      <c r="AB846" s="9"/>
      <c r="AC846" s="9"/>
      <c r="AE846" s="9"/>
    </row>
    <row r="847" spans="1:31">
      <c r="A847" s="389"/>
      <c r="B847" s="9"/>
      <c r="C847" s="9"/>
      <c r="D847" s="9"/>
      <c r="E847" s="9"/>
      <c r="G847" s="9"/>
      <c r="I847" s="9"/>
      <c r="M847" s="9"/>
      <c r="N847" s="9"/>
      <c r="O847" s="9"/>
      <c r="Q847" s="9"/>
      <c r="S847" s="9"/>
      <c r="U847" s="9"/>
      <c r="W847" s="9"/>
      <c r="AA847" s="9"/>
      <c r="AB847" s="9"/>
      <c r="AC847" s="9"/>
      <c r="AE847" s="9"/>
    </row>
    <row r="848" spans="1:31">
      <c r="A848" s="389"/>
      <c r="B848" s="9"/>
      <c r="C848" s="9"/>
      <c r="D848" s="9"/>
      <c r="E848" s="9"/>
      <c r="G848" s="9"/>
      <c r="I848" s="9"/>
      <c r="M848" s="9"/>
      <c r="N848" s="9"/>
      <c r="O848" s="9"/>
      <c r="Q848" s="9"/>
      <c r="S848" s="9"/>
      <c r="U848" s="9"/>
      <c r="W848" s="9"/>
      <c r="AA848" s="9"/>
      <c r="AB848" s="9"/>
      <c r="AC848" s="9"/>
      <c r="AE848" s="9"/>
    </row>
    <row r="849" spans="1:31">
      <c r="A849" s="389"/>
      <c r="B849" s="9"/>
      <c r="C849" s="9"/>
      <c r="D849" s="9"/>
      <c r="E849" s="9"/>
      <c r="G849" s="9"/>
      <c r="I849" s="9"/>
      <c r="M849" s="9"/>
      <c r="N849" s="9"/>
      <c r="O849" s="9"/>
      <c r="Q849" s="9"/>
      <c r="S849" s="9"/>
      <c r="U849" s="9"/>
      <c r="W849" s="9"/>
      <c r="AA849" s="9"/>
      <c r="AB849" s="9"/>
      <c r="AC849" s="9"/>
      <c r="AE849" s="9"/>
    </row>
    <row r="850" spans="1:31">
      <c r="A850" s="389"/>
      <c r="B850" s="9"/>
      <c r="C850" s="9"/>
      <c r="D850" s="9"/>
      <c r="E850" s="9"/>
      <c r="G850" s="9"/>
      <c r="I850" s="9"/>
      <c r="M850" s="9"/>
      <c r="N850" s="9"/>
      <c r="O850" s="9"/>
      <c r="Q850" s="9"/>
      <c r="S850" s="9"/>
      <c r="U850" s="9"/>
      <c r="W850" s="9"/>
      <c r="AA850" s="9"/>
      <c r="AB850" s="9"/>
      <c r="AC850" s="9"/>
      <c r="AE850" s="9"/>
    </row>
    <row r="851" spans="1:31">
      <c r="A851" s="389"/>
      <c r="B851" s="9"/>
      <c r="C851" s="9"/>
      <c r="D851" s="9"/>
      <c r="E851" s="9"/>
      <c r="G851" s="9"/>
      <c r="I851" s="9"/>
      <c r="M851" s="9"/>
      <c r="N851" s="9"/>
      <c r="O851" s="9"/>
      <c r="Q851" s="9"/>
      <c r="S851" s="9"/>
      <c r="U851" s="9"/>
      <c r="W851" s="9"/>
      <c r="AA851" s="9"/>
      <c r="AB851" s="9"/>
      <c r="AC851" s="9"/>
      <c r="AE851" s="9"/>
    </row>
    <row r="852" spans="1:31">
      <c r="A852" s="389"/>
      <c r="B852" s="9"/>
      <c r="C852" s="9"/>
      <c r="D852" s="9"/>
      <c r="E852" s="9"/>
      <c r="G852" s="9"/>
      <c r="I852" s="9"/>
      <c r="M852" s="9"/>
      <c r="N852" s="9"/>
      <c r="O852" s="9"/>
      <c r="Q852" s="9"/>
      <c r="S852" s="9"/>
      <c r="U852" s="9"/>
      <c r="W852" s="9"/>
      <c r="AA852" s="9"/>
      <c r="AB852" s="9"/>
      <c r="AC852" s="9"/>
      <c r="AE852" s="9"/>
    </row>
    <row r="853" spans="1:31">
      <c r="A853" s="389"/>
      <c r="B853" s="9"/>
      <c r="C853" s="9"/>
      <c r="D853" s="9"/>
      <c r="E853" s="9"/>
      <c r="G853" s="9"/>
      <c r="I853" s="9"/>
      <c r="M853" s="9"/>
      <c r="N853" s="9"/>
      <c r="O853" s="9"/>
      <c r="Q853" s="9"/>
      <c r="S853" s="9"/>
      <c r="U853" s="9"/>
      <c r="W853" s="9"/>
      <c r="AA853" s="9"/>
      <c r="AB853" s="9"/>
      <c r="AC853" s="9"/>
      <c r="AE853" s="9"/>
    </row>
    <row r="854" spans="1:31">
      <c r="A854" s="389"/>
      <c r="B854" s="9"/>
      <c r="C854" s="9"/>
      <c r="D854" s="9"/>
      <c r="E854" s="9"/>
      <c r="G854" s="9"/>
      <c r="I854" s="9"/>
      <c r="M854" s="9"/>
      <c r="N854" s="9"/>
      <c r="O854" s="9"/>
      <c r="Q854" s="9"/>
      <c r="S854" s="9"/>
      <c r="U854" s="9"/>
      <c r="W854" s="9"/>
      <c r="AA854" s="9"/>
      <c r="AB854" s="9"/>
      <c r="AC854" s="9"/>
      <c r="AE854" s="9"/>
    </row>
    <row r="855" spans="1:31">
      <c r="A855" s="389"/>
      <c r="B855" s="9"/>
      <c r="C855" s="9"/>
      <c r="D855" s="9"/>
      <c r="E855" s="9"/>
      <c r="G855" s="9"/>
      <c r="I855" s="9"/>
      <c r="M855" s="9"/>
      <c r="N855" s="9"/>
      <c r="O855" s="9"/>
      <c r="Q855" s="9"/>
      <c r="S855" s="9"/>
      <c r="U855" s="9"/>
      <c r="W855" s="9"/>
      <c r="AA855" s="9"/>
      <c r="AB855" s="9"/>
      <c r="AC855" s="9"/>
      <c r="AE855" s="9"/>
    </row>
    <row r="856" spans="1:31">
      <c r="A856" s="389"/>
      <c r="B856" s="9"/>
      <c r="C856" s="9"/>
      <c r="D856" s="9"/>
      <c r="E856" s="9"/>
      <c r="G856" s="9"/>
      <c r="I856" s="9"/>
      <c r="M856" s="9"/>
      <c r="N856" s="9"/>
      <c r="O856" s="9"/>
      <c r="Q856" s="9"/>
      <c r="S856" s="9"/>
      <c r="U856" s="9"/>
      <c r="W856" s="9"/>
      <c r="AA856" s="9"/>
      <c r="AB856" s="9"/>
      <c r="AC856" s="9"/>
      <c r="AE856" s="9"/>
    </row>
    <row r="857" spans="1:31">
      <c r="A857" s="389"/>
      <c r="B857" s="9"/>
      <c r="C857" s="9"/>
      <c r="D857" s="9"/>
      <c r="E857" s="9"/>
      <c r="G857" s="9"/>
      <c r="I857" s="9"/>
      <c r="M857" s="9"/>
      <c r="N857" s="9"/>
      <c r="O857" s="9"/>
      <c r="Q857" s="9"/>
      <c r="S857" s="9"/>
      <c r="U857" s="9"/>
      <c r="W857" s="9"/>
      <c r="AA857" s="9"/>
      <c r="AB857" s="9"/>
      <c r="AC857" s="9"/>
      <c r="AE857" s="9"/>
    </row>
    <row r="858" spans="1:31">
      <c r="A858" s="389"/>
      <c r="B858" s="9"/>
      <c r="C858" s="9"/>
      <c r="D858" s="9"/>
      <c r="E858" s="9"/>
      <c r="G858" s="9"/>
      <c r="I858" s="9"/>
      <c r="M858" s="9"/>
      <c r="N858" s="9"/>
      <c r="O858" s="9"/>
      <c r="Q858" s="9"/>
      <c r="S858" s="9"/>
      <c r="U858" s="9"/>
      <c r="W858" s="9"/>
      <c r="AA858" s="9"/>
      <c r="AB858" s="9"/>
      <c r="AC858" s="9"/>
      <c r="AE858" s="9"/>
    </row>
    <row r="859" spans="1:31">
      <c r="A859" s="389"/>
      <c r="B859" s="9"/>
      <c r="C859" s="9"/>
      <c r="D859" s="9"/>
      <c r="E859" s="9"/>
      <c r="G859" s="9"/>
      <c r="I859" s="9"/>
      <c r="M859" s="9"/>
      <c r="N859" s="9"/>
      <c r="O859" s="9"/>
      <c r="Q859" s="9"/>
      <c r="S859" s="9"/>
      <c r="U859" s="9"/>
      <c r="W859" s="9"/>
      <c r="AA859" s="9"/>
      <c r="AB859" s="9"/>
      <c r="AC859" s="9"/>
      <c r="AE859" s="9"/>
    </row>
    <row r="860" spans="1:31">
      <c r="A860" s="389"/>
      <c r="B860" s="9"/>
      <c r="C860" s="9"/>
      <c r="D860" s="9"/>
      <c r="E860" s="9"/>
      <c r="G860" s="9"/>
      <c r="I860" s="9"/>
      <c r="M860" s="9"/>
      <c r="N860" s="9"/>
      <c r="O860" s="9"/>
      <c r="Q860" s="9"/>
      <c r="S860" s="9"/>
      <c r="U860" s="9"/>
      <c r="W860" s="9"/>
      <c r="AA860" s="9"/>
      <c r="AB860" s="9"/>
      <c r="AC860" s="9"/>
      <c r="AE860" s="9"/>
    </row>
    <row r="861" spans="1:31">
      <c r="A861" s="389"/>
      <c r="B861" s="9"/>
      <c r="C861" s="9"/>
      <c r="D861" s="9"/>
      <c r="E861" s="9"/>
      <c r="G861" s="9"/>
      <c r="I861" s="9"/>
      <c r="M861" s="9"/>
      <c r="N861" s="9"/>
      <c r="O861" s="9"/>
      <c r="Q861" s="9"/>
      <c r="S861" s="9"/>
      <c r="U861" s="9"/>
      <c r="W861" s="9"/>
      <c r="AA861" s="9"/>
      <c r="AB861" s="9"/>
      <c r="AC861" s="9"/>
      <c r="AE861" s="9"/>
    </row>
    <row r="862" spans="1:31">
      <c r="A862" s="389"/>
      <c r="B862" s="9"/>
      <c r="C862" s="9"/>
      <c r="D862" s="9"/>
      <c r="E862" s="9"/>
      <c r="G862" s="9"/>
      <c r="I862" s="9"/>
      <c r="M862" s="9"/>
      <c r="N862" s="9"/>
      <c r="O862" s="9"/>
      <c r="Q862" s="9"/>
      <c r="S862" s="9"/>
      <c r="U862" s="9"/>
      <c r="W862" s="9"/>
      <c r="AA862" s="9"/>
      <c r="AB862" s="9"/>
      <c r="AC862" s="9"/>
      <c r="AE862" s="9"/>
    </row>
    <row r="863" spans="1:31">
      <c r="A863" s="389"/>
      <c r="B863" s="9"/>
      <c r="C863" s="9"/>
      <c r="D863" s="9"/>
      <c r="E863" s="9"/>
      <c r="G863" s="9"/>
      <c r="I863" s="9"/>
      <c r="M863" s="9"/>
      <c r="N863" s="9"/>
      <c r="O863" s="9"/>
      <c r="Q863" s="9"/>
      <c r="S863" s="9"/>
      <c r="U863" s="9"/>
      <c r="W863" s="9"/>
      <c r="AA863" s="9"/>
      <c r="AB863" s="9"/>
      <c r="AC863" s="9"/>
      <c r="AE863" s="9"/>
    </row>
    <row r="864" spans="1:31">
      <c r="A864" s="389"/>
      <c r="B864" s="9"/>
      <c r="C864" s="9"/>
      <c r="D864" s="9"/>
      <c r="E864" s="9"/>
      <c r="G864" s="9"/>
      <c r="I864" s="9"/>
      <c r="M864" s="9"/>
      <c r="N864" s="9"/>
      <c r="O864" s="9"/>
      <c r="Q864" s="9"/>
      <c r="S864" s="9"/>
      <c r="U864" s="9"/>
      <c r="W864" s="9"/>
      <c r="AA864" s="9"/>
      <c r="AB864" s="9"/>
      <c r="AC864" s="9"/>
      <c r="AE864" s="9"/>
    </row>
    <row r="865" spans="1:31">
      <c r="A865" s="389"/>
      <c r="B865" s="9"/>
      <c r="C865" s="9"/>
      <c r="D865" s="9"/>
      <c r="E865" s="9"/>
      <c r="G865" s="9"/>
      <c r="I865" s="9"/>
      <c r="M865" s="9"/>
      <c r="N865" s="9"/>
      <c r="O865" s="9"/>
      <c r="Q865" s="9"/>
      <c r="S865" s="9"/>
      <c r="U865" s="9"/>
      <c r="W865" s="9"/>
      <c r="AA865" s="9"/>
      <c r="AB865" s="9"/>
      <c r="AC865" s="9"/>
      <c r="AE865" s="9"/>
    </row>
    <row r="866" spans="1:31">
      <c r="A866" s="389"/>
      <c r="B866" s="9"/>
      <c r="C866" s="9"/>
      <c r="D866" s="9"/>
      <c r="E866" s="9"/>
      <c r="G866" s="9"/>
      <c r="I866" s="9"/>
      <c r="M866" s="9"/>
      <c r="N866" s="9"/>
      <c r="O866" s="9"/>
      <c r="Q866" s="9"/>
      <c r="S866" s="9"/>
      <c r="U866" s="9"/>
      <c r="W866" s="9"/>
      <c r="AA866" s="9"/>
      <c r="AB866" s="9"/>
      <c r="AC866" s="9"/>
      <c r="AE866" s="9"/>
    </row>
    <row r="867" spans="1:31">
      <c r="A867" s="389"/>
      <c r="B867" s="9"/>
      <c r="C867" s="9"/>
      <c r="D867" s="9"/>
      <c r="E867" s="9"/>
      <c r="G867" s="9"/>
      <c r="I867" s="9"/>
      <c r="M867" s="9"/>
      <c r="N867" s="9"/>
      <c r="O867" s="9"/>
      <c r="Q867" s="9"/>
      <c r="S867" s="9"/>
      <c r="U867" s="9"/>
      <c r="W867" s="9"/>
      <c r="AA867" s="9"/>
      <c r="AB867" s="9"/>
      <c r="AC867" s="9"/>
      <c r="AE867" s="9"/>
    </row>
    <row r="868" spans="1:31">
      <c r="A868" s="389"/>
      <c r="B868" s="9"/>
      <c r="C868" s="9"/>
      <c r="D868" s="9"/>
      <c r="E868" s="9"/>
      <c r="G868" s="9"/>
      <c r="I868" s="9"/>
      <c r="M868" s="9"/>
      <c r="N868" s="9"/>
      <c r="O868" s="9"/>
      <c r="Q868" s="9"/>
      <c r="S868" s="9"/>
      <c r="U868" s="9"/>
      <c r="W868" s="9"/>
      <c r="AA868" s="9"/>
      <c r="AB868" s="9"/>
      <c r="AC868" s="9"/>
      <c r="AE868" s="9"/>
    </row>
    <row r="869" spans="1:31">
      <c r="A869" s="389"/>
      <c r="B869" s="9"/>
      <c r="C869" s="9"/>
      <c r="D869" s="9"/>
      <c r="E869" s="9"/>
      <c r="G869" s="9"/>
      <c r="I869" s="9"/>
      <c r="M869" s="9"/>
      <c r="N869" s="9"/>
      <c r="O869" s="9"/>
      <c r="Q869" s="9"/>
      <c r="S869" s="9"/>
      <c r="U869" s="9"/>
      <c r="W869" s="9"/>
      <c r="AA869" s="9"/>
      <c r="AB869" s="9"/>
      <c r="AC869" s="9"/>
      <c r="AE869" s="9"/>
    </row>
    <row r="870" spans="1:31">
      <c r="A870" s="389"/>
      <c r="B870" s="9"/>
      <c r="C870" s="9"/>
      <c r="D870" s="9"/>
      <c r="E870" s="9"/>
      <c r="G870" s="9"/>
      <c r="I870" s="9"/>
      <c r="M870" s="9"/>
      <c r="N870" s="9"/>
      <c r="O870" s="9"/>
      <c r="Q870" s="9"/>
      <c r="S870" s="9"/>
      <c r="U870" s="9"/>
      <c r="W870" s="9"/>
      <c r="AA870" s="9"/>
      <c r="AB870" s="9"/>
      <c r="AC870" s="9"/>
      <c r="AE870" s="9"/>
    </row>
    <row r="871" spans="1:31">
      <c r="A871" s="389"/>
      <c r="B871" s="9"/>
      <c r="C871" s="9"/>
      <c r="D871" s="9"/>
      <c r="E871" s="9"/>
      <c r="G871" s="9"/>
      <c r="I871" s="9"/>
      <c r="M871" s="9"/>
      <c r="N871" s="9"/>
      <c r="O871" s="9"/>
      <c r="Q871" s="9"/>
      <c r="S871" s="9"/>
      <c r="U871" s="9"/>
      <c r="W871" s="9"/>
      <c r="AA871" s="9"/>
      <c r="AB871" s="9"/>
      <c r="AC871" s="9"/>
      <c r="AE871" s="9"/>
    </row>
    <row r="872" spans="1:31">
      <c r="A872" s="389"/>
      <c r="B872" s="9"/>
      <c r="C872" s="9"/>
      <c r="D872" s="9"/>
      <c r="E872" s="9"/>
      <c r="G872" s="9"/>
      <c r="I872" s="9"/>
      <c r="M872" s="9"/>
      <c r="N872" s="9"/>
      <c r="O872" s="9"/>
      <c r="Q872" s="9"/>
      <c r="S872" s="9"/>
      <c r="U872" s="9"/>
      <c r="W872" s="9"/>
      <c r="AA872" s="9"/>
      <c r="AB872" s="9"/>
      <c r="AC872" s="9"/>
      <c r="AE872" s="9"/>
    </row>
    <row r="873" spans="1:31">
      <c r="A873" s="389"/>
      <c r="B873" s="9"/>
      <c r="C873" s="9"/>
      <c r="D873" s="9"/>
      <c r="E873" s="9"/>
      <c r="G873" s="9"/>
      <c r="I873" s="9"/>
      <c r="M873" s="9"/>
      <c r="N873" s="9"/>
      <c r="O873" s="9"/>
      <c r="Q873" s="9"/>
      <c r="S873" s="9"/>
      <c r="U873" s="9"/>
      <c r="W873" s="9"/>
      <c r="AA873" s="9"/>
      <c r="AB873" s="9"/>
      <c r="AC873" s="9"/>
      <c r="AE873" s="9"/>
    </row>
    <row r="874" spans="1:31">
      <c r="A874" s="389"/>
      <c r="B874" s="9"/>
      <c r="C874" s="9"/>
      <c r="D874" s="9"/>
      <c r="E874" s="9"/>
      <c r="G874" s="9"/>
      <c r="I874" s="9"/>
      <c r="M874" s="9"/>
      <c r="N874" s="9"/>
      <c r="O874" s="9"/>
      <c r="Q874" s="9"/>
      <c r="S874" s="9"/>
      <c r="U874" s="9"/>
      <c r="W874" s="9"/>
      <c r="AA874" s="9"/>
      <c r="AB874" s="9"/>
      <c r="AC874" s="9"/>
      <c r="AE874" s="9"/>
    </row>
    <row r="875" spans="1:31">
      <c r="A875" s="389"/>
      <c r="B875" s="9"/>
      <c r="C875" s="9"/>
      <c r="D875" s="9"/>
      <c r="E875" s="9"/>
      <c r="G875" s="9"/>
      <c r="I875" s="9"/>
      <c r="M875" s="9"/>
      <c r="N875" s="9"/>
      <c r="O875" s="9"/>
      <c r="Q875" s="9"/>
      <c r="S875" s="9"/>
      <c r="U875" s="9"/>
      <c r="W875" s="9"/>
      <c r="AA875" s="9"/>
      <c r="AB875" s="9"/>
      <c r="AC875" s="9"/>
      <c r="AE875" s="9"/>
    </row>
    <row r="876" spans="1:31">
      <c r="A876" s="389"/>
      <c r="B876" s="9"/>
      <c r="C876" s="9"/>
      <c r="D876" s="9"/>
      <c r="E876" s="9"/>
      <c r="G876" s="9"/>
      <c r="I876" s="9"/>
      <c r="M876" s="9"/>
      <c r="N876" s="9"/>
      <c r="O876" s="9"/>
      <c r="Q876" s="9"/>
      <c r="S876" s="9"/>
      <c r="U876" s="9"/>
      <c r="W876" s="9"/>
      <c r="AA876" s="9"/>
      <c r="AB876" s="9"/>
      <c r="AC876" s="9"/>
      <c r="AE876" s="9"/>
    </row>
    <row r="877" spans="1:31">
      <c r="A877" s="389"/>
      <c r="B877" s="9"/>
      <c r="C877" s="9"/>
      <c r="D877" s="9"/>
      <c r="E877" s="9"/>
      <c r="G877" s="9"/>
      <c r="I877" s="9"/>
      <c r="M877" s="9"/>
      <c r="N877" s="9"/>
      <c r="O877" s="9"/>
      <c r="Q877" s="9"/>
      <c r="S877" s="9"/>
      <c r="U877" s="9"/>
      <c r="W877" s="9"/>
      <c r="AA877" s="9"/>
      <c r="AB877" s="9"/>
      <c r="AC877" s="9"/>
      <c r="AE877" s="9"/>
    </row>
    <row r="878" spans="1:31">
      <c r="A878" s="389"/>
      <c r="B878" s="9"/>
      <c r="C878" s="9"/>
      <c r="D878" s="9"/>
      <c r="E878" s="9"/>
      <c r="G878" s="9"/>
      <c r="I878" s="9"/>
      <c r="M878" s="9"/>
      <c r="N878" s="9"/>
      <c r="O878" s="9"/>
      <c r="Q878" s="9"/>
      <c r="S878" s="9"/>
      <c r="U878" s="9"/>
      <c r="W878" s="9"/>
      <c r="AA878" s="9"/>
      <c r="AB878" s="9"/>
      <c r="AC878" s="9"/>
      <c r="AE878" s="9"/>
    </row>
    <row r="879" spans="1:31">
      <c r="A879" s="389"/>
      <c r="B879" s="9"/>
      <c r="C879" s="9"/>
      <c r="D879" s="9"/>
      <c r="E879" s="9"/>
      <c r="G879" s="9"/>
      <c r="I879" s="9"/>
      <c r="M879" s="9"/>
      <c r="N879" s="9"/>
      <c r="O879" s="9"/>
      <c r="Q879" s="9"/>
      <c r="S879" s="9"/>
      <c r="U879" s="9"/>
      <c r="W879" s="9"/>
      <c r="AA879" s="9"/>
      <c r="AB879" s="9"/>
      <c r="AC879" s="9"/>
      <c r="AE879" s="9"/>
    </row>
    <row r="880" spans="1:31">
      <c r="A880" s="389"/>
      <c r="B880" s="9"/>
      <c r="C880" s="9"/>
      <c r="D880" s="9"/>
      <c r="E880" s="9"/>
      <c r="G880" s="9"/>
      <c r="I880" s="9"/>
      <c r="M880" s="9"/>
      <c r="N880" s="9"/>
      <c r="O880" s="9"/>
      <c r="Q880" s="9"/>
      <c r="S880" s="9"/>
      <c r="U880" s="9"/>
      <c r="W880" s="9"/>
      <c r="AA880" s="9"/>
      <c r="AB880" s="9"/>
      <c r="AC880" s="9"/>
      <c r="AE880" s="9"/>
    </row>
    <row r="881" spans="1:31">
      <c r="A881" s="389"/>
      <c r="B881" s="9"/>
      <c r="C881" s="9"/>
      <c r="D881" s="9"/>
      <c r="E881" s="9"/>
      <c r="G881" s="9"/>
      <c r="I881" s="9"/>
      <c r="M881" s="9"/>
      <c r="N881" s="9"/>
      <c r="O881" s="9"/>
      <c r="Q881" s="9"/>
      <c r="S881" s="9"/>
      <c r="U881" s="9"/>
      <c r="W881" s="9"/>
      <c r="AA881" s="9"/>
      <c r="AB881" s="9"/>
      <c r="AC881" s="9"/>
      <c r="AE881" s="9"/>
    </row>
    <row r="882" spans="1:31">
      <c r="A882" s="389"/>
      <c r="B882" s="9"/>
      <c r="C882" s="9"/>
      <c r="D882" s="9"/>
      <c r="E882" s="9"/>
      <c r="G882" s="9"/>
      <c r="I882" s="9"/>
      <c r="M882" s="9"/>
      <c r="N882" s="9"/>
      <c r="O882" s="9"/>
      <c r="Q882" s="9"/>
      <c r="S882" s="9"/>
      <c r="U882" s="9"/>
      <c r="W882" s="9"/>
      <c r="AA882" s="9"/>
      <c r="AB882" s="9"/>
      <c r="AC882" s="9"/>
      <c r="AE882" s="9"/>
    </row>
    <row r="883" spans="1:31">
      <c r="A883" s="389"/>
      <c r="B883" s="9"/>
      <c r="C883" s="9"/>
      <c r="D883" s="9"/>
      <c r="E883" s="9"/>
      <c r="G883" s="9"/>
      <c r="I883" s="9"/>
      <c r="M883" s="9"/>
      <c r="N883" s="9"/>
      <c r="O883" s="9"/>
      <c r="Q883" s="9"/>
      <c r="S883" s="9"/>
      <c r="U883" s="9"/>
      <c r="W883" s="9"/>
      <c r="AA883" s="9"/>
      <c r="AB883" s="9"/>
      <c r="AC883" s="9"/>
      <c r="AE883" s="9"/>
    </row>
    <row r="884" spans="1:31">
      <c r="A884" s="389"/>
      <c r="B884" s="9"/>
      <c r="C884" s="9"/>
      <c r="D884" s="9"/>
      <c r="E884" s="9"/>
      <c r="G884" s="9"/>
      <c r="I884" s="9"/>
      <c r="M884" s="9"/>
      <c r="N884" s="9"/>
      <c r="O884" s="9"/>
      <c r="Q884" s="9"/>
      <c r="S884" s="9"/>
      <c r="U884" s="9"/>
      <c r="W884" s="9"/>
      <c r="AA884" s="9"/>
      <c r="AB884" s="9"/>
      <c r="AC884" s="9"/>
      <c r="AE884" s="9"/>
    </row>
    <row r="885" spans="1:31">
      <c r="A885" s="389"/>
      <c r="B885" s="9"/>
      <c r="C885" s="9"/>
      <c r="D885" s="9"/>
      <c r="E885" s="9"/>
      <c r="G885" s="9"/>
      <c r="I885" s="9"/>
      <c r="M885" s="9"/>
      <c r="N885" s="9"/>
      <c r="O885" s="9"/>
      <c r="Q885" s="9"/>
      <c r="S885" s="9"/>
      <c r="U885" s="9"/>
      <c r="W885" s="9"/>
      <c r="AA885" s="9"/>
      <c r="AB885" s="9"/>
      <c r="AC885" s="9"/>
      <c r="AE885" s="9"/>
    </row>
    <row r="886" spans="1:31">
      <c r="A886" s="389"/>
      <c r="B886" s="9"/>
      <c r="C886" s="9"/>
      <c r="D886" s="9"/>
      <c r="E886" s="9"/>
      <c r="G886" s="9"/>
      <c r="I886" s="9"/>
      <c r="M886" s="9"/>
      <c r="N886" s="9"/>
      <c r="O886" s="9"/>
      <c r="Q886" s="9"/>
      <c r="S886" s="9"/>
      <c r="U886" s="9"/>
      <c r="W886" s="9"/>
      <c r="AA886" s="9"/>
      <c r="AB886" s="9"/>
      <c r="AC886" s="9"/>
      <c r="AE886" s="9"/>
    </row>
    <row r="887" spans="1:31">
      <c r="A887" s="389"/>
      <c r="B887" s="9"/>
      <c r="C887" s="9"/>
      <c r="D887" s="9"/>
      <c r="E887" s="9"/>
      <c r="G887" s="9"/>
      <c r="I887" s="9"/>
      <c r="M887" s="9"/>
      <c r="N887" s="9"/>
      <c r="O887" s="9"/>
      <c r="Q887" s="9"/>
      <c r="S887" s="9"/>
      <c r="U887" s="9"/>
      <c r="W887" s="9"/>
      <c r="AA887" s="9"/>
      <c r="AB887" s="9"/>
      <c r="AC887" s="9"/>
      <c r="AE887" s="9"/>
    </row>
    <row r="888" spans="1:31">
      <c r="A888" s="389"/>
      <c r="B888" s="9"/>
      <c r="C888" s="9"/>
      <c r="D888" s="9"/>
      <c r="E888" s="9"/>
      <c r="G888" s="9"/>
      <c r="I888" s="9"/>
      <c r="M888" s="9"/>
      <c r="N888" s="9"/>
      <c r="O888" s="9"/>
      <c r="Q888" s="9"/>
      <c r="S888" s="9"/>
      <c r="U888" s="9"/>
      <c r="W888" s="9"/>
      <c r="AA888" s="9"/>
      <c r="AB888" s="9"/>
      <c r="AC888" s="9"/>
      <c r="AE888" s="9"/>
    </row>
    <row r="889" spans="1:31">
      <c r="A889" s="389"/>
      <c r="B889" s="9"/>
      <c r="C889" s="9"/>
      <c r="D889" s="9"/>
      <c r="E889" s="9"/>
      <c r="G889" s="9"/>
      <c r="I889" s="9"/>
      <c r="M889" s="9"/>
      <c r="N889" s="9"/>
      <c r="O889" s="9"/>
      <c r="Q889" s="9"/>
      <c r="S889" s="9"/>
      <c r="U889" s="9"/>
      <c r="W889" s="9"/>
      <c r="AA889" s="9"/>
      <c r="AB889" s="9"/>
      <c r="AC889" s="9"/>
      <c r="AE889" s="9"/>
    </row>
    <row r="890" spans="1:31">
      <c r="A890" s="389"/>
      <c r="B890" s="9"/>
      <c r="C890" s="9"/>
      <c r="D890" s="9"/>
      <c r="E890" s="9"/>
      <c r="G890" s="9"/>
      <c r="I890" s="9"/>
      <c r="M890" s="9"/>
      <c r="N890" s="9"/>
      <c r="O890" s="9"/>
      <c r="Q890" s="9"/>
      <c r="S890" s="9"/>
      <c r="U890" s="9"/>
      <c r="W890" s="9"/>
      <c r="AA890" s="9"/>
      <c r="AB890" s="9"/>
      <c r="AC890" s="9"/>
      <c r="AE890" s="9"/>
    </row>
    <row r="891" spans="1:31">
      <c r="A891" s="389"/>
      <c r="B891" s="9"/>
      <c r="C891" s="9"/>
      <c r="D891" s="9"/>
      <c r="E891" s="9"/>
      <c r="G891" s="9"/>
      <c r="I891" s="9"/>
      <c r="M891" s="9"/>
      <c r="N891" s="9"/>
      <c r="O891" s="9"/>
      <c r="Q891" s="9"/>
      <c r="S891" s="9"/>
      <c r="U891" s="9"/>
      <c r="W891" s="9"/>
      <c r="AA891" s="9"/>
      <c r="AB891" s="9"/>
      <c r="AC891" s="9"/>
      <c r="AE891" s="9"/>
    </row>
    <row r="892" spans="1:31">
      <c r="A892" s="389"/>
      <c r="B892" s="9"/>
      <c r="C892" s="9"/>
      <c r="D892" s="9"/>
      <c r="E892" s="9"/>
      <c r="G892" s="9"/>
      <c r="I892" s="9"/>
      <c r="M892" s="9"/>
      <c r="N892" s="9"/>
      <c r="O892" s="9"/>
      <c r="Q892" s="9"/>
      <c r="S892" s="9"/>
      <c r="U892" s="9"/>
      <c r="W892" s="9"/>
      <c r="AA892" s="9"/>
      <c r="AB892" s="9"/>
      <c r="AC892" s="9"/>
      <c r="AE892" s="9"/>
    </row>
    <row r="893" spans="1:31">
      <c r="A893" s="389"/>
      <c r="B893" s="9"/>
      <c r="C893" s="9"/>
      <c r="D893" s="9"/>
      <c r="E893" s="9"/>
      <c r="G893" s="9"/>
      <c r="I893" s="9"/>
      <c r="M893" s="9"/>
      <c r="N893" s="9"/>
      <c r="O893" s="9"/>
      <c r="Q893" s="9"/>
      <c r="S893" s="9"/>
      <c r="U893" s="9"/>
      <c r="W893" s="9"/>
      <c r="AA893" s="9"/>
      <c r="AB893" s="9"/>
      <c r="AC893" s="9"/>
      <c r="AE893" s="9"/>
    </row>
    <row r="894" spans="1:31">
      <c r="A894" s="389"/>
      <c r="B894" s="9"/>
      <c r="C894" s="9"/>
      <c r="D894" s="9"/>
      <c r="E894" s="9"/>
      <c r="G894" s="9"/>
      <c r="I894" s="9"/>
      <c r="M894" s="9"/>
      <c r="N894" s="9"/>
      <c r="O894" s="9"/>
      <c r="Q894" s="9"/>
      <c r="S894" s="9"/>
      <c r="U894" s="9"/>
      <c r="W894" s="9"/>
      <c r="AA894" s="9"/>
      <c r="AB894" s="9"/>
      <c r="AC894" s="9"/>
      <c r="AE894" s="9"/>
    </row>
    <row r="895" spans="1:31">
      <c r="A895" s="389"/>
      <c r="B895" s="9"/>
      <c r="C895" s="9"/>
      <c r="D895" s="9"/>
      <c r="E895" s="9"/>
      <c r="G895" s="9"/>
      <c r="I895" s="9"/>
      <c r="M895" s="9"/>
      <c r="N895" s="9"/>
      <c r="O895" s="9"/>
      <c r="Q895" s="9"/>
      <c r="S895" s="9"/>
      <c r="U895" s="9"/>
      <c r="W895" s="9"/>
      <c r="AA895" s="9"/>
      <c r="AB895" s="9"/>
      <c r="AC895" s="9"/>
      <c r="AE895" s="9"/>
    </row>
    <row r="896" spans="1:31">
      <c r="A896" s="389"/>
      <c r="B896" s="9"/>
      <c r="C896" s="9"/>
      <c r="D896" s="9"/>
      <c r="E896" s="9"/>
      <c r="G896" s="9"/>
      <c r="I896" s="9"/>
      <c r="M896" s="9"/>
      <c r="N896" s="9"/>
      <c r="O896" s="9"/>
      <c r="Q896" s="9"/>
      <c r="S896" s="9"/>
      <c r="U896" s="9"/>
      <c r="W896" s="9"/>
      <c r="AA896" s="9"/>
      <c r="AB896" s="9"/>
      <c r="AC896" s="9"/>
      <c r="AE896" s="9"/>
    </row>
    <row r="897" spans="1:31">
      <c r="A897" s="389"/>
      <c r="B897" s="9"/>
      <c r="C897" s="9"/>
      <c r="D897" s="9"/>
      <c r="E897" s="9"/>
      <c r="G897" s="9"/>
      <c r="I897" s="9"/>
      <c r="M897" s="9"/>
      <c r="N897" s="9"/>
      <c r="O897" s="9"/>
      <c r="Q897" s="9"/>
      <c r="S897" s="9"/>
      <c r="U897" s="9"/>
      <c r="W897" s="9"/>
      <c r="AA897" s="9"/>
      <c r="AB897" s="9"/>
      <c r="AC897" s="9"/>
      <c r="AE897" s="9"/>
    </row>
    <row r="898" spans="1:31">
      <c r="A898" s="389"/>
      <c r="B898" s="9"/>
      <c r="C898" s="9"/>
      <c r="D898" s="9"/>
      <c r="E898" s="9"/>
      <c r="G898" s="9"/>
      <c r="I898" s="9"/>
      <c r="M898" s="9"/>
      <c r="N898" s="9"/>
      <c r="O898" s="9"/>
      <c r="Q898" s="9"/>
      <c r="S898" s="9"/>
      <c r="U898" s="9"/>
      <c r="W898" s="9"/>
      <c r="AA898" s="9"/>
      <c r="AB898" s="9"/>
      <c r="AC898" s="9"/>
      <c r="AE898" s="9"/>
    </row>
    <row r="899" spans="1:31">
      <c r="A899" s="389"/>
      <c r="B899" s="9"/>
      <c r="C899" s="9"/>
      <c r="D899" s="9"/>
      <c r="E899" s="9"/>
      <c r="G899" s="9"/>
      <c r="I899" s="9"/>
      <c r="M899" s="9"/>
      <c r="N899" s="9"/>
      <c r="O899" s="9"/>
      <c r="Q899" s="9"/>
      <c r="S899" s="9"/>
      <c r="U899" s="9"/>
      <c r="W899" s="9"/>
      <c r="AA899" s="9"/>
      <c r="AB899" s="9"/>
      <c r="AC899" s="9"/>
      <c r="AE899" s="9"/>
    </row>
    <row r="900" spans="1:31">
      <c r="A900" s="389"/>
      <c r="B900" s="9"/>
      <c r="C900" s="9"/>
      <c r="D900" s="9"/>
      <c r="E900" s="9"/>
      <c r="G900" s="9"/>
      <c r="I900" s="9"/>
      <c r="M900" s="9"/>
      <c r="N900" s="9"/>
      <c r="O900" s="9"/>
      <c r="Q900" s="9"/>
      <c r="S900" s="9"/>
      <c r="U900" s="9"/>
      <c r="W900" s="9"/>
      <c r="AA900" s="9"/>
      <c r="AB900" s="9"/>
      <c r="AC900" s="9"/>
      <c r="AE900" s="9"/>
    </row>
    <row r="901" spans="1:31">
      <c r="A901" s="389"/>
      <c r="B901" s="9"/>
      <c r="C901" s="9"/>
      <c r="D901" s="9"/>
      <c r="E901" s="9"/>
      <c r="G901" s="9"/>
      <c r="I901" s="9"/>
      <c r="M901" s="9"/>
      <c r="N901" s="9"/>
      <c r="O901" s="9"/>
      <c r="Q901" s="9"/>
      <c r="S901" s="9"/>
      <c r="U901" s="9"/>
      <c r="W901" s="9"/>
      <c r="AA901" s="9"/>
      <c r="AB901" s="9"/>
      <c r="AC901" s="9"/>
      <c r="AE901" s="9"/>
    </row>
    <row r="902" spans="1:31">
      <c r="A902" s="389"/>
      <c r="B902" s="9"/>
      <c r="C902" s="9"/>
      <c r="D902" s="9"/>
      <c r="E902" s="9"/>
      <c r="G902" s="9"/>
      <c r="I902" s="9"/>
      <c r="M902" s="9"/>
      <c r="N902" s="9"/>
      <c r="O902" s="9"/>
      <c r="Q902" s="9"/>
      <c r="S902" s="9"/>
      <c r="U902" s="9"/>
      <c r="W902" s="9"/>
      <c r="AA902" s="9"/>
      <c r="AB902" s="9"/>
      <c r="AC902" s="9"/>
      <c r="AE902" s="9"/>
    </row>
    <row r="903" spans="1:31">
      <c r="A903" s="389"/>
      <c r="B903" s="9"/>
      <c r="C903" s="9"/>
      <c r="D903" s="9"/>
      <c r="E903" s="9"/>
      <c r="G903" s="9"/>
      <c r="I903" s="9"/>
      <c r="M903" s="9"/>
      <c r="N903" s="9"/>
      <c r="O903" s="9"/>
      <c r="Q903" s="9"/>
      <c r="S903" s="9"/>
      <c r="U903" s="9"/>
      <c r="W903" s="9"/>
      <c r="AA903" s="9"/>
      <c r="AB903" s="9"/>
      <c r="AC903" s="9"/>
      <c r="AE903" s="9"/>
    </row>
    <row r="904" spans="1:31">
      <c r="A904" s="389"/>
      <c r="B904" s="9"/>
      <c r="C904" s="9"/>
      <c r="D904" s="9"/>
      <c r="E904" s="9"/>
      <c r="G904" s="9"/>
      <c r="I904" s="9"/>
      <c r="M904" s="9"/>
      <c r="N904" s="9"/>
      <c r="O904" s="9"/>
      <c r="Q904" s="9"/>
      <c r="S904" s="9"/>
      <c r="U904" s="9"/>
      <c r="W904" s="9"/>
      <c r="AA904" s="9"/>
      <c r="AB904" s="9"/>
      <c r="AC904" s="9"/>
      <c r="AE904" s="9"/>
    </row>
    <row r="905" spans="1:31">
      <c r="A905" s="389"/>
      <c r="B905" s="9"/>
      <c r="C905" s="9"/>
      <c r="D905" s="9"/>
      <c r="E905" s="9"/>
      <c r="G905" s="9"/>
      <c r="I905" s="9"/>
      <c r="M905" s="9"/>
      <c r="N905" s="9"/>
      <c r="O905" s="9"/>
      <c r="Q905" s="9"/>
      <c r="S905" s="9"/>
      <c r="U905" s="9"/>
      <c r="W905" s="9"/>
      <c r="AA905" s="9"/>
      <c r="AB905" s="9"/>
      <c r="AC905" s="9"/>
      <c r="AE905" s="9"/>
    </row>
    <row r="906" spans="1:31">
      <c r="A906" s="389"/>
      <c r="B906" s="9"/>
      <c r="C906" s="9"/>
      <c r="D906" s="9"/>
      <c r="E906" s="9"/>
      <c r="G906" s="9"/>
      <c r="I906" s="9"/>
      <c r="M906" s="9"/>
      <c r="N906" s="9"/>
      <c r="O906" s="9"/>
      <c r="Q906" s="9"/>
      <c r="S906" s="9"/>
      <c r="U906" s="9"/>
      <c r="W906" s="9"/>
      <c r="AA906" s="9"/>
      <c r="AB906" s="9"/>
      <c r="AC906" s="9"/>
      <c r="AE906" s="9"/>
    </row>
    <row r="907" spans="1:31">
      <c r="A907" s="389"/>
      <c r="B907" s="9"/>
      <c r="C907" s="9"/>
      <c r="D907" s="9"/>
      <c r="E907" s="9"/>
      <c r="G907" s="9"/>
      <c r="I907" s="9"/>
      <c r="M907" s="9"/>
      <c r="N907" s="9"/>
      <c r="O907" s="9"/>
      <c r="Q907" s="9"/>
      <c r="S907" s="9"/>
      <c r="U907" s="9"/>
      <c r="W907" s="9"/>
      <c r="AA907" s="9"/>
      <c r="AB907" s="9"/>
      <c r="AC907" s="9"/>
      <c r="AE907" s="9"/>
    </row>
    <row r="908" spans="1:31">
      <c r="A908" s="389"/>
      <c r="B908" s="9"/>
      <c r="C908" s="9"/>
      <c r="D908" s="9"/>
      <c r="E908" s="9"/>
      <c r="G908" s="9"/>
      <c r="I908" s="9"/>
      <c r="M908" s="9"/>
      <c r="N908" s="9"/>
      <c r="O908" s="9"/>
      <c r="Q908" s="9"/>
      <c r="S908" s="9"/>
      <c r="U908" s="9"/>
      <c r="W908" s="9"/>
      <c r="AA908" s="9"/>
      <c r="AB908" s="9"/>
      <c r="AC908" s="9"/>
      <c r="AE908" s="9"/>
    </row>
    <row r="909" spans="1:31">
      <c r="A909" s="389"/>
      <c r="B909" s="9"/>
      <c r="C909" s="9"/>
      <c r="D909" s="9"/>
      <c r="E909" s="9"/>
      <c r="G909" s="9"/>
      <c r="I909" s="9"/>
      <c r="M909" s="9"/>
      <c r="N909" s="9"/>
      <c r="O909" s="9"/>
      <c r="Q909" s="9"/>
      <c r="S909" s="9"/>
      <c r="U909" s="9"/>
      <c r="W909" s="9"/>
      <c r="AA909" s="9"/>
      <c r="AB909" s="9"/>
      <c r="AC909" s="9"/>
      <c r="AE909" s="9"/>
    </row>
    <row r="910" spans="1:31">
      <c r="A910" s="389"/>
      <c r="B910" s="9"/>
      <c r="C910" s="9"/>
      <c r="D910" s="9"/>
      <c r="E910" s="9"/>
      <c r="G910" s="9"/>
      <c r="I910" s="9"/>
      <c r="M910" s="9"/>
      <c r="N910" s="9"/>
      <c r="O910" s="9"/>
      <c r="Q910" s="9"/>
      <c r="S910" s="9"/>
      <c r="U910" s="9"/>
      <c r="W910" s="9"/>
      <c r="AA910" s="9"/>
      <c r="AB910" s="9"/>
      <c r="AC910" s="9"/>
      <c r="AE910" s="9"/>
    </row>
    <row r="911" spans="1:31">
      <c r="A911" s="389"/>
      <c r="B911" s="9"/>
      <c r="C911" s="9"/>
      <c r="D911" s="9"/>
      <c r="E911" s="9"/>
      <c r="G911" s="9"/>
      <c r="I911" s="9"/>
      <c r="M911" s="9"/>
      <c r="N911" s="9"/>
      <c r="O911" s="9"/>
      <c r="Q911" s="9"/>
      <c r="S911" s="9"/>
      <c r="U911" s="9"/>
      <c r="W911" s="9"/>
      <c r="AA911" s="9"/>
      <c r="AB911" s="9"/>
      <c r="AC911" s="9"/>
      <c r="AE911" s="9"/>
    </row>
    <row r="912" spans="1:31">
      <c r="A912" s="389"/>
      <c r="B912" s="9"/>
      <c r="C912" s="9"/>
      <c r="D912" s="9"/>
      <c r="E912" s="9"/>
      <c r="G912" s="9"/>
      <c r="I912" s="9"/>
      <c r="M912" s="9"/>
      <c r="N912" s="9"/>
      <c r="O912" s="9"/>
      <c r="Q912" s="9"/>
      <c r="S912" s="9"/>
      <c r="U912" s="9"/>
      <c r="W912" s="9"/>
      <c r="AA912" s="9"/>
      <c r="AB912" s="9"/>
      <c r="AC912" s="9"/>
      <c r="AE912" s="9"/>
    </row>
    <row r="913" spans="1:31">
      <c r="A913" s="389"/>
      <c r="B913" s="9"/>
      <c r="C913" s="9"/>
      <c r="D913" s="9"/>
      <c r="E913" s="9"/>
      <c r="G913" s="9"/>
      <c r="I913" s="9"/>
      <c r="M913" s="9"/>
      <c r="N913" s="9"/>
      <c r="O913" s="9"/>
      <c r="Q913" s="9"/>
      <c r="S913" s="9"/>
      <c r="U913" s="9"/>
      <c r="W913" s="9"/>
      <c r="AA913" s="9"/>
      <c r="AB913" s="9"/>
      <c r="AC913" s="9"/>
      <c r="AE913" s="9"/>
    </row>
    <row r="914" spans="1:31">
      <c r="A914" s="389"/>
      <c r="B914" s="9"/>
      <c r="C914" s="9"/>
      <c r="D914" s="9"/>
      <c r="E914" s="9"/>
      <c r="G914" s="9"/>
      <c r="I914" s="9"/>
      <c r="M914" s="9"/>
      <c r="N914" s="9"/>
      <c r="O914" s="9"/>
      <c r="Q914" s="9"/>
      <c r="S914" s="9"/>
      <c r="U914" s="9"/>
      <c r="W914" s="9"/>
      <c r="AA914" s="9"/>
      <c r="AB914" s="9"/>
      <c r="AC914" s="9"/>
      <c r="AE914" s="9"/>
    </row>
    <row r="915" spans="1:31">
      <c r="A915" s="389"/>
      <c r="B915" s="9"/>
      <c r="C915" s="9"/>
      <c r="D915" s="9"/>
      <c r="E915" s="9"/>
      <c r="G915" s="9"/>
      <c r="I915" s="9"/>
      <c r="M915" s="9"/>
      <c r="N915" s="9"/>
      <c r="O915" s="9"/>
      <c r="Q915" s="9"/>
      <c r="S915" s="9"/>
      <c r="U915" s="9"/>
      <c r="W915" s="9"/>
      <c r="AA915" s="9"/>
      <c r="AB915" s="9"/>
      <c r="AC915" s="9"/>
      <c r="AE915" s="9"/>
    </row>
    <row r="916" spans="1:31">
      <c r="A916" s="389"/>
      <c r="B916" s="9"/>
      <c r="C916" s="9"/>
      <c r="D916" s="9"/>
      <c r="E916" s="9"/>
      <c r="G916" s="9"/>
      <c r="I916" s="9"/>
      <c r="M916" s="9"/>
      <c r="N916" s="9"/>
      <c r="O916" s="9"/>
      <c r="Q916" s="9"/>
      <c r="S916" s="9"/>
      <c r="U916" s="9"/>
      <c r="W916" s="9"/>
      <c r="AA916" s="9"/>
      <c r="AB916" s="9"/>
      <c r="AC916" s="9"/>
      <c r="AE916" s="9"/>
    </row>
    <row r="917" spans="1:31">
      <c r="A917" s="389"/>
      <c r="B917" s="9"/>
      <c r="C917" s="9"/>
      <c r="D917" s="9"/>
      <c r="E917" s="9"/>
      <c r="G917" s="9"/>
      <c r="I917" s="9"/>
      <c r="M917" s="9"/>
      <c r="N917" s="9"/>
      <c r="O917" s="9"/>
      <c r="Q917" s="9"/>
      <c r="S917" s="9"/>
      <c r="U917" s="9"/>
      <c r="W917" s="9"/>
      <c r="AA917" s="9"/>
      <c r="AB917" s="9"/>
      <c r="AC917" s="9"/>
      <c r="AE917" s="9"/>
    </row>
    <row r="918" spans="1:31">
      <c r="A918" s="389"/>
      <c r="B918" s="9"/>
      <c r="C918" s="9"/>
      <c r="D918" s="9"/>
      <c r="E918" s="9"/>
      <c r="G918" s="9"/>
      <c r="I918" s="9"/>
      <c r="M918" s="9"/>
      <c r="N918" s="9"/>
      <c r="O918" s="9"/>
      <c r="Q918" s="9"/>
      <c r="S918" s="9"/>
      <c r="U918" s="9"/>
      <c r="W918" s="9"/>
      <c r="AA918" s="9"/>
      <c r="AB918" s="9"/>
      <c r="AC918" s="9"/>
      <c r="AE918" s="9"/>
    </row>
    <row r="919" spans="1:31">
      <c r="A919" s="389"/>
      <c r="B919" s="9"/>
      <c r="C919" s="9"/>
      <c r="D919" s="9"/>
      <c r="E919" s="9"/>
      <c r="G919" s="9"/>
      <c r="I919" s="9"/>
      <c r="M919" s="9"/>
      <c r="N919" s="9"/>
      <c r="O919" s="9"/>
      <c r="Q919" s="9"/>
      <c r="S919" s="9"/>
      <c r="U919" s="9"/>
      <c r="W919" s="9"/>
      <c r="AA919" s="9"/>
      <c r="AB919" s="9"/>
      <c r="AC919" s="9"/>
      <c r="AE919" s="9"/>
    </row>
    <row r="920" spans="1:31">
      <c r="A920" s="389"/>
      <c r="B920" s="9"/>
      <c r="C920" s="9"/>
      <c r="D920" s="9"/>
      <c r="E920" s="9"/>
      <c r="G920" s="9"/>
      <c r="I920" s="9"/>
      <c r="M920" s="9"/>
      <c r="N920" s="9"/>
      <c r="O920" s="9"/>
      <c r="Q920" s="9"/>
      <c r="S920" s="9"/>
      <c r="U920" s="9"/>
      <c r="W920" s="9"/>
      <c r="AA920" s="9"/>
      <c r="AB920" s="9"/>
      <c r="AC920" s="9"/>
      <c r="AE920" s="9"/>
    </row>
    <row r="921" spans="1:31">
      <c r="A921" s="389"/>
      <c r="B921" s="9"/>
      <c r="C921" s="9"/>
      <c r="D921" s="9"/>
      <c r="E921" s="9"/>
      <c r="G921" s="9"/>
      <c r="I921" s="9"/>
      <c r="M921" s="9"/>
      <c r="N921" s="9"/>
      <c r="O921" s="9"/>
      <c r="Q921" s="9"/>
      <c r="S921" s="9"/>
      <c r="U921" s="9"/>
      <c r="W921" s="9"/>
      <c r="AA921" s="9"/>
      <c r="AB921" s="9"/>
      <c r="AC921" s="9"/>
      <c r="AE921" s="9"/>
    </row>
    <row r="922" spans="1:31">
      <c r="A922" s="389"/>
      <c r="B922" s="9"/>
      <c r="C922" s="9"/>
      <c r="D922" s="9"/>
      <c r="E922" s="9"/>
      <c r="G922" s="9"/>
      <c r="I922" s="9"/>
      <c r="M922" s="9"/>
      <c r="N922" s="9"/>
      <c r="O922" s="9"/>
      <c r="Q922" s="9"/>
      <c r="S922" s="9"/>
      <c r="U922" s="9"/>
      <c r="W922" s="9"/>
      <c r="AA922" s="9"/>
      <c r="AB922" s="9"/>
      <c r="AC922" s="9"/>
      <c r="AE922" s="9"/>
    </row>
    <row r="923" spans="1:31">
      <c r="A923" s="389"/>
      <c r="B923" s="9"/>
      <c r="C923" s="9"/>
      <c r="D923" s="9"/>
      <c r="E923" s="9"/>
      <c r="G923" s="9"/>
      <c r="I923" s="9"/>
      <c r="M923" s="9"/>
      <c r="N923" s="9"/>
      <c r="O923" s="9"/>
      <c r="Q923" s="9"/>
      <c r="S923" s="9"/>
      <c r="U923" s="9"/>
      <c r="W923" s="9"/>
      <c r="AA923" s="9"/>
      <c r="AB923" s="9"/>
      <c r="AC923" s="9"/>
      <c r="AE923" s="9"/>
    </row>
    <row r="924" spans="1:31">
      <c r="A924" s="389"/>
      <c r="B924" s="9"/>
      <c r="C924" s="9"/>
      <c r="D924" s="9"/>
      <c r="E924" s="9"/>
      <c r="G924" s="9"/>
      <c r="I924" s="9"/>
      <c r="M924" s="9"/>
      <c r="N924" s="9"/>
      <c r="O924" s="9"/>
      <c r="Q924" s="9"/>
      <c r="S924" s="9"/>
      <c r="U924" s="9"/>
      <c r="W924" s="9"/>
      <c r="AA924" s="9"/>
      <c r="AB924" s="9"/>
      <c r="AC924" s="9"/>
      <c r="AE924" s="9"/>
    </row>
    <row r="925" spans="1:31">
      <c r="A925" s="389"/>
      <c r="B925" s="9"/>
      <c r="C925" s="9"/>
      <c r="D925" s="9"/>
      <c r="E925" s="9"/>
      <c r="G925" s="9"/>
      <c r="I925" s="9"/>
      <c r="M925" s="9"/>
      <c r="N925" s="9"/>
      <c r="O925" s="9"/>
      <c r="Q925" s="9"/>
      <c r="S925" s="9"/>
      <c r="U925" s="9"/>
      <c r="W925" s="9"/>
      <c r="AA925" s="9"/>
      <c r="AB925" s="9"/>
      <c r="AC925" s="9"/>
      <c r="AE925" s="9"/>
    </row>
    <row r="926" spans="1:31">
      <c r="A926" s="389"/>
      <c r="B926" s="9"/>
      <c r="C926" s="9"/>
      <c r="D926" s="9"/>
      <c r="E926" s="9"/>
      <c r="G926" s="9"/>
      <c r="I926" s="9"/>
      <c r="M926" s="9"/>
      <c r="N926" s="9"/>
      <c r="O926" s="9"/>
      <c r="Q926" s="9"/>
      <c r="S926" s="9"/>
      <c r="U926" s="9"/>
      <c r="W926" s="9"/>
      <c r="AA926" s="9"/>
      <c r="AB926" s="9"/>
      <c r="AC926" s="9"/>
      <c r="AE926" s="9"/>
    </row>
    <row r="927" spans="1:31">
      <c r="A927" s="389"/>
      <c r="B927" s="9"/>
      <c r="C927" s="9"/>
      <c r="D927" s="9"/>
      <c r="E927" s="9"/>
      <c r="G927" s="9"/>
      <c r="I927" s="9"/>
      <c r="M927" s="9"/>
      <c r="N927" s="9"/>
      <c r="O927" s="9"/>
      <c r="Q927" s="9"/>
      <c r="S927" s="9"/>
      <c r="U927" s="9"/>
      <c r="W927" s="9"/>
      <c r="AA927" s="9"/>
      <c r="AB927" s="9"/>
      <c r="AC927" s="9"/>
      <c r="AE927" s="9"/>
    </row>
    <row r="928" spans="1:31">
      <c r="A928" s="389"/>
      <c r="B928" s="9"/>
      <c r="C928" s="9"/>
      <c r="D928" s="9"/>
      <c r="E928" s="9"/>
      <c r="G928" s="9"/>
      <c r="I928" s="9"/>
      <c r="M928" s="9"/>
      <c r="N928" s="9"/>
      <c r="O928" s="9"/>
      <c r="Q928" s="9"/>
      <c r="S928" s="9"/>
      <c r="U928" s="9"/>
      <c r="W928" s="9"/>
      <c r="AA928" s="9"/>
      <c r="AB928" s="9"/>
      <c r="AC928" s="9"/>
      <c r="AE928" s="9"/>
    </row>
    <row r="929" spans="1:31">
      <c r="A929" s="389"/>
      <c r="B929" s="9"/>
      <c r="C929" s="9"/>
      <c r="D929" s="9"/>
      <c r="E929" s="9"/>
      <c r="G929" s="9"/>
      <c r="I929" s="9"/>
      <c r="M929" s="9"/>
      <c r="N929" s="9"/>
      <c r="O929" s="9"/>
      <c r="Q929" s="9"/>
      <c r="S929" s="9"/>
      <c r="U929" s="9"/>
      <c r="W929" s="9"/>
      <c r="AA929" s="9"/>
      <c r="AB929" s="9"/>
      <c r="AC929" s="9"/>
      <c r="AE929" s="9"/>
    </row>
    <row r="930" spans="1:31">
      <c r="A930" s="389"/>
      <c r="B930" s="9"/>
      <c r="C930" s="9"/>
      <c r="D930" s="9"/>
      <c r="E930" s="9"/>
      <c r="G930" s="9"/>
      <c r="I930" s="9"/>
      <c r="M930" s="9"/>
      <c r="N930" s="9"/>
      <c r="O930" s="9"/>
      <c r="Q930" s="9"/>
      <c r="S930" s="9"/>
      <c r="U930" s="9"/>
      <c r="W930" s="9"/>
      <c r="AA930" s="9"/>
      <c r="AB930" s="9"/>
      <c r="AC930" s="9"/>
      <c r="AE930" s="9"/>
    </row>
    <row r="931" spans="1:31">
      <c r="A931" s="389"/>
      <c r="B931" s="9"/>
      <c r="C931" s="9"/>
      <c r="D931" s="9"/>
      <c r="E931" s="9"/>
      <c r="G931" s="9"/>
      <c r="I931" s="9"/>
      <c r="M931" s="9"/>
      <c r="N931" s="9"/>
      <c r="O931" s="9"/>
      <c r="Q931" s="9"/>
      <c r="S931" s="9"/>
      <c r="U931" s="9"/>
      <c r="W931" s="9"/>
      <c r="AA931" s="9"/>
      <c r="AB931" s="9"/>
      <c r="AC931" s="9"/>
      <c r="AE931" s="9"/>
    </row>
    <row r="932" spans="1:31">
      <c r="A932" s="389"/>
      <c r="B932" s="9"/>
      <c r="C932" s="9"/>
      <c r="D932" s="9"/>
      <c r="E932" s="9"/>
      <c r="G932" s="9"/>
      <c r="I932" s="9"/>
      <c r="M932" s="9"/>
      <c r="N932" s="9"/>
      <c r="O932" s="9"/>
      <c r="Q932" s="9"/>
      <c r="S932" s="9"/>
      <c r="U932" s="9"/>
      <c r="W932" s="9"/>
      <c r="AA932" s="9"/>
      <c r="AB932" s="9"/>
      <c r="AC932" s="9"/>
      <c r="AE932" s="9"/>
    </row>
    <row r="933" spans="1:31">
      <c r="A933" s="389"/>
      <c r="B933" s="9"/>
      <c r="C933" s="9"/>
      <c r="D933" s="9"/>
      <c r="E933" s="9"/>
      <c r="G933" s="9"/>
      <c r="I933" s="9"/>
      <c r="M933" s="9"/>
      <c r="N933" s="9"/>
      <c r="O933" s="9"/>
      <c r="Q933" s="9"/>
      <c r="S933" s="9"/>
      <c r="U933" s="9"/>
      <c r="W933" s="9"/>
      <c r="AA933" s="9"/>
      <c r="AB933" s="9"/>
      <c r="AC933" s="9"/>
      <c r="AE933" s="9"/>
    </row>
    <row r="934" spans="1:31">
      <c r="A934" s="389"/>
      <c r="B934" s="9"/>
      <c r="C934" s="9"/>
      <c r="D934" s="9"/>
      <c r="E934" s="9"/>
      <c r="G934" s="9"/>
      <c r="I934" s="9"/>
      <c r="M934" s="9"/>
      <c r="N934" s="9"/>
      <c r="O934" s="9"/>
      <c r="Q934" s="9"/>
      <c r="S934" s="9"/>
      <c r="U934" s="9"/>
      <c r="W934" s="9"/>
      <c r="AA934" s="9"/>
      <c r="AB934" s="9"/>
      <c r="AC934" s="9"/>
      <c r="AE934" s="9"/>
    </row>
    <row r="935" spans="1:31">
      <c r="A935" s="389"/>
      <c r="B935" s="9"/>
      <c r="C935" s="9"/>
      <c r="D935" s="9"/>
      <c r="E935" s="9"/>
      <c r="G935" s="9"/>
      <c r="I935" s="9"/>
      <c r="M935" s="9"/>
      <c r="N935" s="9"/>
      <c r="O935" s="9"/>
      <c r="Q935" s="9"/>
      <c r="S935" s="9"/>
      <c r="U935" s="9"/>
      <c r="W935" s="9"/>
      <c r="AA935" s="9"/>
      <c r="AB935" s="9"/>
      <c r="AC935" s="9"/>
      <c r="AE935" s="9"/>
    </row>
    <row r="936" spans="1:31">
      <c r="A936" s="389"/>
      <c r="B936" s="9"/>
      <c r="C936" s="9"/>
      <c r="D936" s="9"/>
      <c r="E936" s="9"/>
      <c r="G936" s="9"/>
      <c r="I936" s="9"/>
      <c r="M936" s="9"/>
      <c r="N936" s="9"/>
      <c r="O936" s="9"/>
      <c r="Q936" s="9"/>
      <c r="S936" s="9"/>
      <c r="U936" s="9"/>
      <c r="W936" s="9"/>
      <c r="AA936" s="9"/>
      <c r="AB936" s="9"/>
      <c r="AC936" s="9"/>
      <c r="AE936" s="9"/>
    </row>
    <row r="937" spans="1:31">
      <c r="A937" s="389"/>
      <c r="B937" s="9"/>
      <c r="C937" s="9"/>
      <c r="D937" s="9"/>
      <c r="E937" s="9"/>
      <c r="G937" s="9"/>
      <c r="I937" s="9"/>
      <c r="M937" s="9"/>
      <c r="N937" s="9"/>
      <c r="O937" s="9"/>
      <c r="Q937" s="9"/>
      <c r="S937" s="9"/>
      <c r="U937" s="9"/>
      <c r="W937" s="9"/>
      <c r="AA937" s="9"/>
      <c r="AB937" s="9"/>
      <c r="AC937" s="9"/>
      <c r="AE937" s="9"/>
    </row>
    <row r="938" spans="1:31">
      <c r="A938" s="389"/>
      <c r="B938" s="9"/>
      <c r="C938" s="9"/>
      <c r="D938" s="9"/>
      <c r="E938" s="9"/>
      <c r="G938" s="9"/>
      <c r="I938" s="9"/>
      <c r="M938" s="9"/>
      <c r="N938" s="9"/>
      <c r="O938" s="9"/>
      <c r="Q938" s="9"/>
      <c r="S938" s="9"/>
      <c r="U938" s="9"/>
      <c r="W938" s="9"/>
      <c r="AA938" s="9"/>
      <c r="AB938" s="9"/>
      <c r="AC938" s="9"/>
      <c r="AE938" s="9"/>
    </row>
    <row r="939" spans="1:31">
      <c r="A939" s="389"/>
      <c r="B939" s="9"/>
      <c r="C939" s="9"/>
      <c r="D939" s="9"/>
      <c r="E939" s="9"/>
      <c r="G939" s="9"/>
      <c r="I939" s="9"/>
      <c r="M939" s="9"/>
      <c r="N939" s="9"/>
      <c r="O939" s="9"/>
      <c r="Q939" s="9"/>
      <c r="S939" s="9"/>
      <c r="U939" s="9"/>
      <c r="W939" s="9"/>
      <c r="AA939" s="9"/>
      <c r="AB939" s="9"/>
      <c r="AC939" s="9"/>
      <c r="AE939" s="9"/>
    </row>
    <row r="940" spans="1:31">
      <c r="A940" s="389"/>
      <c r="B940" s="9"/>
      <c r="C940" s="9"/>
      <c r="D940" s="9"/>
      <c r="E940" s="9"/>
      <c r="G940" s="9"/>
      <c r="I940" s="9"/>
      <c r="M940" s="9"/>
      <c r="N940" s="9"/>
      <c r="O940" s="9"/>
      <c r="Q940" s="9"/>
      <c r="S940" s="9"/>
      <c r="U940" s="9"/>
      <c r="W940" s="9"/>
      <c r="AA940" s="9"/>
      <c r="AB940" s="9"/>
      <c r="AC940" s="9"/>
      <c r="AE940" s="9"/>
    </row>
    <row r="941" spans="1:31">
      <c r="A941" s="389"/>
      <c r="B941" s="9"/>
      <c r="C941" s="9"/>
      <c r="D941" s="9"/>
      <c r="E941" s="9"/>
      <c r="G941" s="9"/>
      <c r="I941" s="9"/>
      <c r="M941" s="9"/>
      <c r="N941" s="9"/>
      <c r="O941" s="9"/>
      <c r="Q941" s="9"/>
      <c r="S941" s="9"/>
      <c r="U941" s="9"/>
      <c r="W941" s="9"/>
      <c r="AA941" s="9"/>
      <c r="AB941" s="9"/>
      <c r="AC941" s="9"/>
      <c r="AE941" s="9"/>
    </row>
    <row r="942" spans="1:31">
      <c r="A942" s="389"/>
      <c r="B942" s="9"/>
      <c r="C942" s="9"/>
      <c r="D942" s="9"/>
      <c r="E942" s="9"/>
      <c r="G942" s="9"/>
      <c r="I942" s="9"/>
      <c r="M942" s="9"/>
      <c r="N942" s="9"/>
      <c r="O942" s="9"/>
      <c r="Q942" s="9"/>
      <c r="S942" s="9"/>
      <c r="U942" s="9"/>
      <c r="W942" s="9"/>
      <c r="AA942" s="9"/>
      <c r="AB942" s="9"/>
      <c r="AC942" s="9"/>
      <c r="AE942" s="9"/>
    </row>
    <row r="943" spans="1:31">
      <c r="A943" s="389"/>
      <c r="B943" s="9"/>
      <c r="C943" s="9"/>
      <c r="D943" s="9"/>
      <c r="E943" s="9"/>
      <c r="G943" s="9"/>
      <c r="I943" s="9"/>
      <c r="M943" s="9"/>
      <c r="N943" s="9"/>
      <c r="O943" s="9"/>
      <c r="Q943" s="9"/>
      <c r="S943" s="9"/>
      <c r="U943" s="9"/>
      <c r="W943" s="9"/>
      <c r="AA943" s="9"/>
      <c r="AB943" s="9"/>
      <c r="AC943" s="9"/>
      <c r="AE943" s="9"/>
    </row>
    <row r="944" spans="1:31">
      <c r="A944" s="389"/>
      <c r="B944" s="9"/>
      <c r="C944" s="9"/>
      <c r="D944" s="9"/>
      <c r="E944" s="9"/>
      <c r="G944" s="9"/>
      <c r="I944" s="9"/>
      <c r="M944" s="9"/>
      <c r="N944" s="9"/>
      <c r="O944" s="9"/>
      <c r="Q944" s="9"/>
      <c r="S944" s="9"/>
      <c r="U944" s="9"/>
      <c r="W944" s="9"/>
      <c r="AA944" s="9"/>
      <c r="AB944" s="9"/>
      <c r="AC944" s="9"/>
      <c r="AE944" s="9"/>
    </row>
    <row r="945" spans="1:31">
      <c r="A945" s="389"/>
      <c r="B945" s="9"/>
      <c r="C945" s="9"/>
      <c r="D945" s="9"/>
      <c r="E945" s="9"/>
      <c r="G945" s="9"/>
      <c r="I945" s="9"/>
      <c r="M945" s="9"/>
      <c r="N945" s="9"/>
      <c r="O945" s="9"/>
      <c r="Q945" s="9"/>
      <c r="S945" s="9"/>
      <c r="U945" s="9"/>
      <c r="W945" s="9"/>
      <c r="AA945" s="9"/>
      <c r="AB945" s="9"/>
      <c r="AC945" s="9"/>
      <c r="AE945" s="9"/>
    </row>
    <row r="946" spans="1:31">
      <c r="A946" s="389"/>
      <c r="B946" s="9"/>
      <c r="C946" s="9"/>
      <c r="D946" s="9"/>
      <c r="E946" s="9"/>
      <c r="G946" s="9"/>
      <c r="I946" s="9"/>
      <c r="M946" s="9"/>
      <c r="N946" s="9"/>
      <c r="O946" s="9"/>
      <c r="Q946" s="9"/>
      <c r="S946" s="9"/>
      <c r="U946" s="9"/>
      <c r="W946" s="9"/>
      <c r="AA946" s="9"/>
      <c r="AB946" s="9"/>
      <c r="AC946" s="9"/>
      <c r="AE946" s="9"/>
    </row>
    <row r="947" spans="1:31">
      <c r="A947" s="389"/>
      <c r="B947" s="9"/>
      <c r="C947" s="9"/>
      <c r="D947" s="9"/>
      <c r="E947" s="9"/>
      <c r="G947" s="9"/>
      <c r="I947" s="9"/>
      <c r="M947" s="9"/>
      <c r="N947" s="9"/>
      <c r="O947" s="9"/>
      <c r="Q947" s="9"/>
      <c r="S947" s="9"/>
      <c r="U947" s="9"/>
      <c r="W947" s="9"/>
      <c r="AA947" s="9"/>
      <c r="AB947" s="9"/>
      <c r="AC947" s="9"/>
      <c r="AE947" s="9"/>
    </row>
    <row r="948" spans="1:31">
      <c r="A948" s="389"/>
      <c r="B948" s="9"/>
      <c r="C948" s="9"/>
      <c r="D948" s="9"/>
      <c r="E948" s="9"/>
      <c r="G948" s="9"/>
      <c r="I948" s="9"/>
      <c r="M948" s="9"/>
      <c r="N948" s="9"/>
      <c r="O948" s="9"/>
      <c r="Q948" s="9"/>
      <c r="S948" s="9"/>
      <c r="U948" s="9"/>
      <c r="W948" s="9"/>
      <c r="AA948" s="9"/>
      <c r="AB948" s="9"/>
      <c r="AC948" s="9"/>
      <c r="AE948" s="9"/>
    </row>
    <row r="949" spans="1:31">
      <c r="A949" s="389"/>
      <c r="B949" s="9"/>
      <c r="C949" s="9"/>
      <c r="D949" s="9"/>
      <c r="E949" s="9"/>
      <c r="G949" s="9"/>
      <c r="I949" s="9"/>
      <c r="M949" s="9"/>
      <c r="N949" s="9"/>
      <c r="O949" s="9"/>
      <c r="Q949" s="9"/>
      <c r="S949" s="9"/>
      <c r="U949" s="9"/>
      <c r="W949" s="9"/>
      <c r="AA949" s="9"/>
      <c r="AB949" s="9"/>
      <c r="AC949" s="9"/>
      <c r="AE949" s="9"/>
    </row>
    <row r="950" spans="1:31">
      <c r="A950" s="389"/>
      <c r="B950" s="9"/>
      <c r="C950" s="9"/>
      <c r="D950" s="9"/>
      <c r="E950" s="9"/>
      <c r="G950" s="9"/>
      <c r="I950" s="9"/>
      <c r="M950" s="9"/>
      <c r="N950" s="9"/>
      <c r="O950" s="9"/>
      <c r="Q950" s="9"/>
      <c r="S950" s="9"/>
      <c r="U950" s="9"/>
      <c r="W950" s="9"/>
      <c r="AA950" s="9"/>
      <c r="AB950" s="9"/>
      <c r="AC950" s="9"/>
      <c r="AE950" s="9"/>
    </row>
    <row r="951" spans="1:31">
      <c r="A951" s="389"/>
      <c r="B951" s="9"/>
      <c r="C951" s="9"/>
      <c r="D951" s="9"/>
      <c r="E951" s="9"/>
      <c r="G951" s="9"/>
      <c r="I951" s="9"/>
      <c r="M951" s="9"/>
      <c r="N951" s="9"/>
      <c r="O951" s="9"/>
      <c r="Q951" s="9"/>
      <c r="S951" s="9"/>
      <c r="U951" s="9"/>
      <c r="W951" s="9"/>
      <c r="AA951" s="9"/>
      <c r="AB951" s="9"/>
      <c r="AC951" s="9"/>
      <c r="AE951" s="9"/>
    </row>
    <row r="952" spans="1:31">
      <c r="A952" s="389"/>
      <c r="B952" s="9"/>
      <c r="C952" s="9"/>
      <c r="D952" s="9"/>
      <c r="E952" s="9"/>
      <c r="G952" s="9"/>
      <c r="I952" s="9"/>
      <c r="M952" s="9"/>
      <c r="N952" s="9"/>
      <c r="O952" s="9"/>
      <c r="Q952" s="9"/>
      <c r="S952" s="9"/>
      <c r="U952" s="9"/>
      <c r="W952" s="9"/>
      <c r="AA952" s="9"/>
      <c r="AB952" s="9"/>
      <c r="AC952" s="9"/>
      <c r="AE952" s="9"/>
    </row>
    <row r="953" spans="1:31">
      <c r="A953" s="389"/>
      <c r="B953" s="9"/>
      <c r="C953" s="9"/>
      <c r="D953" s="9"/>
      <c r="E953" s="9"/>
      <c r="G953" s="9"/>
      <c r="I953" s="9"/>
      <c r="M953" s="9"/>
      <c r="N953" s="9"/>
      <c r="O953" s="9"/>
      <c r="Q953" s="9"/>
      <c r="S953" s="9"/>
      <c r="U953" s="9"/>
      <c r="W953" s="9"/>
      <c r="AA953" s="9"/>
      <c r="AB953" s="9"/>
      <c r="AC953" s="9"/>
      <c r="AE953" s="9"/>
    </row>
    <row r="954" spans="1:31">
      <c r="A954" s="389"/>
      <c r="B954" s="9"/>
      <c r="C954" s="9"/>
      <c r="D954" s="9"/>
      <c r="E954" s="9"/>
      <c r="G954" s="9"/>
      <c r="I954" s="9"/>
      <c r="M954" s="9"/>
      <c r="N954" s="9"/>
      <c r="O954" s="9"/>
      <c r="Q954" s="9"/>
      <c r="S954" s="9"/>
      <c r="U954" s="9"/>
      <c r="W954" s="9"/>
      <c r="AA954" s="9"/>
      <c r="AB954" s="9"/>
      <c r="AC954" s="9"/>
      <c r="AE954" s="9"/>
    </row>
    <row r="955" spans="1:31">
      <c r="A955" s="389"/>
      <c r="B955" s="9"/>
      <c r="C955" s="9"/>
      <c r="D955" s="9"/>
      <c r="E955" s="9"/>
      <c r="G955" s="9"/>
      <c r="I955" s="9"/>
      <c r="M955" s="9"/>
      <c r="N955" s="9"/>
      <c r="O955" s="9"/>
      <c r="Q955" s="9"/>
      <c r="S955" s="9"/>
      <c r="U955" s="9"/>
      <c r="W955" s="9"/>
      <c r="AA955" s="9"/>
      <c r="AB955" s="9"/>
      <c r="AC955" s="9"/>
      <c r="AE955" s="9"/>
    </row>
    <row r="956" spans="1:31">
      <c r="A956" s="389"/>
      <c r="B956" s="9"/>
      <c r="C956" s="9"/>
      <c r="D956" s="9"/>
      <c r="E956" s="9"/>
      <c r="G956" s="9"/>
      <c r="I956" s="9"/>
      <c r="M956" s="9"/>
      <c r="N956" s="9"/>
      <c r="O956" s="9"/>
      <c r="Q956" s="9"/>
      <c r="S956" s="9"/>
      <c r="U956" s="9"/>
      <c r="W956" s="9"/>
      <c r="AA956" s="9"/>
      <c r="AB956" s="9"/>
      <c r="AC956" s="9"/>
      <c r="AE956" s="9"/>
    </row>
    <row r="957" spans="1:31">
      <c r="A957" s="389"/>
      <c r="B957" s="9"/>
      <c r="C957" s="9"/>
      <c r="D957" s="9"/>
      <c r="E957" s="9"/>
      <c r="G957" s="9"/>
      <c r="I957" s="9"/>
      <c r="M957" s="9"/>
      <c r="N957" s="9"/>
      <c r="O957" s="9"/>
      <c r="Q957" s="9"/>
      <c r="S957" s="9"/>
      <c r="U957" s="9"/>
      <c r="W957" s="9"/>
      <c r="AA957" s="9"/>
      <c r="AB957" s="9"/>
      <c r="AC957" s="9"/>
      <c r="AE957" s="9"/>
    </row>
    <row r="958" spans="1:31">
      <c r="A958" s="389"/>
      <c r="B958" s="9"/>
      <c r="C958" s="9"/>
      <c r="D958" s="9"/>
      <c r="E958" s="9"/>
      <c r="G958" s="9"/>
      <c r="I958" s="9"/>
      <c r="M958" s="9"/>
      <c r="N958" s="9"/>
      <c r="O958" s="9"/>
      <c r="Q958" s="9"/>
      <c r="S958" s="9"/>
      <c r="U958" s="9"/>
      <c r="W958" s="9"/>
      <c r="AA958" s="9"/>
      <c r="AB958" s="9"/>
      <c r="AC958" s="9"/>
      <c r="AE958" s="9"/>
    </row>
    <row r="959" spans="1:31">
      <c r="A959" s="389"/>
      <c r="B959" s="9"/>
      <c r="C959" s="9"/>
      <c r="D959" s="9"/>
      <c r="E959" s="9"/>
      <c r="G959" s="9"/>
      <c r="I959" s="9"/>
      <c r="M959" s="9"/>
      <c r="N959" s="9"/>
      <c r="O959" s="9"/>
      <c r="Q959" s="9"/>
      <c r="S959" s="9"/>
      <c r="U959" s="9"/>
      <c r="W959" s="9"/>
      <c r="AA959" s="9"/>
      <c r="AB959" s="9"/>
      <c r="AC959" s="9"/>
      <c r="AE959" s="9"/>
    </row>
    <row r="960" spans="1:31">
      <c r="A960" s="389"/>
      <c r="B960" s="9"/>
      <c r="C960" s="9"/>
      <c r="D960" s="9"/>
      <c r="E960" s="9"/>
      <c r="G960" s="9"/>
      <c r="I960" s="9"/>
      <c r="M960" s="9"/>
      <c r="N960" s="9"/>
      <c r="O960" s="9"/>
      <c r="Q960" s="9"/>
      <c r="S960" s="9"/>
      <c r="U960" s="9"/>
      <c r="W960" s="9"/>
      <c r="AA960" s="9"/>
      <c r="AB960" s="9"/>
      <c r="AC960" s="9"/>
      <c r="AE960" s="9"/>
    </row>
    <row r="961" spans="1:31">
      <c r="A961" s="389"/>
      <c r="B961" s="9"/>
      <c r="C961" s="9"/>
      <c r="D961" s="9"/>
      <c r="E961" s="9"/>
      <c r="G961" s="9"/>
      <c r="I961" s="9"/>
      <c r="M961" s="9"/>
      <c r="N961" s="9"/>
      <c r="O961" s="9"/>
      <c r="Q961" s="9"/>
      <c r="S961" s="9"/>
      <c r="U961" s="9"/>
      <c r="W961" s="9"/>
      <c r="AA961" s="9"/>
      <c r="AB961" s="9"/>
      <c r="AC961" s="9"/>
      <c r="AE961" s="9"/>
    </row>
    <row r="962" spans="1:31">
      <c r="A962" s="389"/>
      <c r="B962" s="9"/>
      <c r="C962" s="9"/>
      <c r="D962" s="9"/>
      <c r="E962" s="9"/>
      <c r="G962" s="9"/>
      <c r="I962" s="9"/>
      <c r="M962" s="9"/>
      <c r="N962" s="9"/>
      <c r="O962" s="9"/>
      <c r="Q962" s="9"/>
      <c r="S962" s="9"/>
      <c r="U962" s="9"/>
      <c r="W962" s="9"/>
      <c r="AA962" s="9"/>
      <c r="AB962" s="9"/>
      <c r="AC962" s="9"/>
      <c r="AE962" s="9"/>
    </row>
    <row r="963" spans="1:31">
      <c r="A963" s="389"/>
      <c r="B963" s="9"/>
      <c r="C963" s="9"/>
      <c r="D963" s="9"/>
      <c r="E963" s="9"/>
      <c r="G963" s="9"/>
      <c r="I963" s="9"/>
      <c r="M963" s="9"/>
      <c r="N963" s="9"/>
      <c r="O963" s="9"/>
      <c r="Q963" s="9"/>
      <c r="S963" s="9"/>
      <c r="U963" s="9"/>
      <c r="W963" s="9"/>
      <c r="AA963" s="9"/>
      <c r="AB963" s="9"/>
      <c r="AC963" s="9"/>
      <c r="AE963" s="9"/>
    </row>
    <row r="964" spans="1:31">
      <c r="A964" s="389"/>
      <c r="B964" s="9"/>
      <c r="C964" s="9"/>
      <c r="D964" s="9"/>
      <c r="E964" s="9"/>
      <c r="G964" s="9"/>
      <c r="I964" s="9"/>
      <c r="M964" s="9"/>
      <c r="N964" s="9"/>
      <c r="O964" s="9"/>
      <c r="Q964" s="9"/>
      <c r="S964" s="9"/>
      <c r="U964" s="9"/>
      <c r="W964" s="9"/>
      <c r="AA964" s="9"/>
      <c r="AB964" s="9"/>
      <c r="AC964" s="9"/>
      <c r="AE964" s="9"/>
    </row>
    <row r="965" spans="1:31">
      <c r="A965" s="389"/>
      <c r="B965" s="9"/>
      <c r="C965" s="9"/>
      <c r="D965" s="9"/>
      <c r="E965" s="9"/>
      <c r="G965" s="9"/>
      <c r="I965" s="9"/>
      <c r="M965" s="9"/>
      <c r="N965" s="9"/>
      <c r="O965" s="9"/>
      <c r="Q965" s="9"/>
      <c r="S965" s="9"/>
      <c r="U965" s="9"/>
      <c r="W965" s="9"/>
      <c r="AA965" s="9"/>
      <c r="AB965" s="9"/>
      <c r="AC965" s="9"/>
      <c r="AE965" s="9"/>
    </row>
    <row r="966" spans="1:31">
      <c r="A966" s="389"/>
      <c r="B966" s="9"/>
      <c r="C966" s="9"/>
      <c r="D966" s="9"/>
      <c r="E966" s="9"/>
      <c r="G966" s="9"/>
      <c r="I966" s="9"/>
      <c r="M966" s="9"/>
      <c r="N966" s="9"/>
      <c r="O966" s="9"/>
      <c r="Q966" s="9"/>
      <c r="S966" s="9"/>
      <c r="U966" s="9"/>
      <c r="W966" s="9"/>
      <c r="AA966" s="9"/>
      <c r="AB966" s="9"/>
      <c r="AC966" s="9"/>
      <c r="AE966" s="9"/>
    </row>
    <row r="967" spans="1:31">
      <c r="A967" s="389"/>
      <c r="B967" s="9"/>
      <c r="C967" s="9"/>
      <c r="D967" s="9"/>
      <c r="E967" s="9"/>
      <c r="G967" s="9"/>
      <c r="I967" s="9"/>
      <c r="M967" s="9"/>
      <c r="N967" s="9"/>
      <c r="O967" s="9"/>
      <c r="Q967" s="9"/>
      <c r="S967" s="9"/>
      <c r="U967" s="9"/>
      <c r="W967" s="9"/>
      <c r="AA967" s="9"/>
      <c r="AB967" s="9"/>
      <c r="AC967" s="9"/>
      <c r="AE967" s="9"/>
    </row>
    <row r="968" spans="1:31">
      <c r="A968" s="389"/>
      <c r="B968" s="9"/>
      <c r="C968" s="9"/>
      <c r="D968" s="9"/>
      <c r="E968" s="9"/>
      <c r="G968" s="9"/>
      <c r="I968" s="9"/>
      <c r="M968" s="9"/>
      <c r="N968" s="9"/>
      <c r="O968" s="9"/>
      <c r="Q968" s="9"/>
      <c r="S968" s="9"/>
      <c r="U968" s="9"/>
      <c r="W968" s="9"/>
      <c r="AA968" s="9"/>
      <c r="AB968" s="9"/>
      <c r="AC968" s="9"/>
      <c r="AE968" s="9"/>
    </row>
    <row r="969" spans="1:31">
      <c r="A969" s="389"/>
      <c r="B969" s="9"/>
      <c r="C969" s="9"/>
      <c r="D969" s="9"/>
      <c r="E969" s="9"/>
      <c r="G969" s="9"/>
      <c r="I969" s="9"/>
      <c r="M969" s="9"/>
      <c r="N969" s="9"/>
      <c r="O969" s="9"/>
      <c r="Q969" s="9"/>
      <c r="S969" s="9"/>
      <c r="U969" s="9"/>
      <c r="W969" s="9"/>
      <c r="AA969" s="9"/>
      <c r="AB969" s="9"/>
      <c r="AC969" s="9"/>
      <c r="AE969" s="9"/>
    </row>
    <row r="970" spans="1:31">
      <c r="A970" s="389"/>
      <c r="B970" s="9"/>
      <c r="C970" s="9"/>
      <c r="D970" s="9"/>
      <c r="E970" s="9"/>
      <c r="G970" s="9"/>
      <c r="I970" s="9"/>
      <c r="M970" s="9"/>
      <c r="N970" s="9"/>
      <c r="O970" s="9"/>
      <c r="Q970" s="9"/>
      <c r="S970" s="9"/>
      <c r="U970" s="9"/>
      <c r="W970" s="9"/>
      <c r="AA970" s="9"/>
      <c r="AB970" s="9"/>
      <c r="AC970" s="9"/>
      <c r="AE970" s="9"/>
    </row>
    <row r="971" spans="1:31">
      <c r="A971" s="389"/>
      <c r="B971" s="9"/>
      <c r="C971" s="9"/>
      <c r="D971" s="9"/>
      <c r="E971" s="9"/>
      <c r="G971" s="9"/>
      <c r="I971" s="9"/>
      <c r="M971" s="9"/>
      <c r="N971" s="9"/>
      <c r="O971" s="9"/>
      <c r="Q971" s="9"/>
      <c r="S971" s="9"/>
      <c r="U971" s="9"/>
      <c r="W971" s="9"/>
      <c r="AA971" s="9"/>
      <c r="AB971" s="9"/>
      <c r="AC971" s="9"/>
      <c r="AE971" s="9"/>
    </row>
    <row r="972" spans="1:31">
      <c r="A972" s="389"/>
      <c r="B972" s="9"/>
      <c r="C972" s="9"/>
      <c r="D972" s="9"/>
      <c r="E972" s="9"/>
      <c r="G972" s="9"/>
      <c r="I972" s="9"/>
      <c r="M972" s="9"/>
      <c r="N972" s="9"/>
      <c r="O972" s="9"/>
      <c r="Q972" s="9"/>
      <c r="S972" s="9"/>
      <c r="U972" s="9"/>
      <c r="W972" s="9"/>
      <c r="AA972" s="9"/>
      <c r="AB972" s="9"/>
      <c r="AC972" s="9"/>
      <c r="AE972" s="9"/>
    </row>
    <row r="973" spans="1:31">
      <c r="A973" s="389"/>
      <c r="B973" s="9"/>
      <c r="C973" s="9"/>
      <c r="D973" s="9"/>
      <c r="E973" s="9"/>
      <c r="G973" s="9"/>
      <c r="I973" s="9"/>
      <c r="M973" s="9"/>
      <c r="N973" s="9"/>
      <c r="O973" s="9"/>
      <c r="Q973" s="9"/>
      <c r="S973" s="9"/>
      <c r="U973" s="9"/>
      <c r="W973" s="9"/>
      <c r="AA973" s="9"/>
      <c r="AB973" s="9"/>
      <c r="AC973" s="9"/>
      <c r="AE973" s="9"/>
    </row>
    <row r="974" spans="1:31">
      <c r="A974" s="389"/>
      <c r="B974" s="9"/>
      <c r="C974" s="9"/>
      <c r="D974" s="9"/>
      <c r="E974" s="9"/>
      <c r="G974" s="9"/>
      <c r="I974" s="9"/>
      <c r="M974" s="9"/>
      <c r="N974" s="9"/>
      <c r="O974" s="9"/>
      <c r="Q974" s="9"/>
      <c r="S974" s="9"/>
      <c r="U974" s="9"/>
      <c r="W974" s="9"/>
      <c r="AA974" s="9"/>
      <c r="AB974" s="9"/>
      <c r="AC974" s="9"/>
      <c r="AE974" s="9"/>
    </row>
    <row r="975" spans="1:31">
      <c r="A975" s="389"/>
      <c r="B975" s="9"/>
      <c r="C975" s="9"/>
      <c r="D975" s="9"/>
      <c r="E975" s="9"/>
      <c r="G975" s="9"/>
      <c r="I975" s="9"/>
      <c r="M975" s="9"/>
      <c r="N975" s="9"/>
      <c r="O975" s="9"/>
      <c r="Q975" s="9"/>
      <c r="S975" s="9"/>
      <c r="U975" s="9"/>
      <c r="W975" s="9"/>
      <c r="AA975" s="9"/>
      <c r="AB975" s="9"/>
      <c r="AC975" s="9"/>
      <c r="AE975" s="9"/>
    </row>
    <row r="976" spans="1:31">
      <c r="A976" s="389"/>
      <c r="B976" s="9"/>
      <c r="C976" s="9"/>
      <c r="D976" s="9"/>
      <c r="E976" s="9"/>
      <c r="G976" s="9"/>
      <c r="I976" s="9"/>
      <c r="M976" s="9"/>
      <c r="N976" s="9"/>
      <c r="O976" s="9"/>
      <c r="Q976" s="9"/>
      <c r="S976" s="9"/>
      <c r="U976" s="9"/>
      <c r="W976" s="9"/>
      <c r="AA976" s="9"/>
      <c r="AB976" s="9"/>
      <c r="AC976" s="9"/>
      <c r="AE976" s="9"/>
    </row>
    <row r="977" spans="1:31">
      <c r="A977" s="389"/>
      <c r="B977" s="9"/>
      <c r="C977" s="9"/>
      <c r="D977" s="9"/>
      <c r="E977" s="9"/>
      <c r="G977" s="9"/>
      <c r="I977" s="9"/>
      <c r="M977" s="9"/>
      <c r="N977" s="9"/>
      <c r="O977" s="9"/>
      <c r="Q977" s="9"/>
      <c r="S977" s="9"/>
      <c r="U977" s="9"/>
      <c r="W977" s="9"/>
      <c r="AA977" s="9"/>
      <c r="AB977" s="9"/>
      <c r="AC977" s="9"/>
      <c r="AE977" s="9"/>
    </row>
    <row r="978" spans="1:31">
      <c r="A978" s="389"/>
      <c r="B978" s="9"/>
      <c r="C978" s="9"/>
      <c r="D978" s="9"/>
      <c r="E978" s="9"/>
      <c r="G978" s="9"/>
      <c r="I978" s="9"/>
      <c r="M978" s="9"/>
      <c r="N978" s="9"/>
      <c r="O978" s="9"/>
      <c r="Q978" s="9"/>
      <c r="S978" s="9"/>
      <c r="U978" s="9"/>
      <c r="W978" s="9"/>
      <c r="AA978" s="9"/>
      <c r="AB978" s="9"/>
      <c r="AC978" s="9"/>
      <c r="AE978" s="9"/>
    </row>
    <row r="979" spans="1:31">
      <c r="A979" s="389"/>
      <c r="B979" s="9"/>
      <c r="C979" s="9"/>
      <c r="D979" s="9"/>
      <c r="E979" s="9"/>
      <c r="G979" s="9"/>
      <c r="I979" s="9"/>
      <c r="M979" s="9"/>
      <c r="N979" s="9"/>
      <c r="O979" s="9"/>
      <c r="Q979" s="9"/>
      <c r="S979" s="9"/>
      <c r="U979" s="9"/>
      <c r="W979" s="9"/>
      <c r="AA979" s="9"/>
      <c r="AB979" s="9"/>
      <c r="AC979" s="9"/>
      <c r="AE979" s="9"/>
    </row>
    <row r="980" spans="1:31">
      <c r="A980" s="389"/>
      <c r="B980" s="9"/>
      <c r="C980" s="9"/>
      <c r="D980" s="9"/>
      <c r="E980" s="9"/>
      <c r="G980" s="9"/>
      <c r="I980" s="9"/>
      <c r="M980" s="9"/>
      <c r="N980" s="9"/>
      <c r="O980" s="9"/>
      <c r="Q980" s="9"/>
      <c r="S980" s="9"/>
      <c r="U980" s="9"/>
      <c r="W980" s="9"/>
      <c r="AA980" s="9"/>
      <c r="AB980" s="9"/>
      <c r="AC980" s="9"/>
      <c r="AE980" s="9"/>
    </row>
    <row r="981" spans="1:31">
      <c r="A981" s="389"/>
      <c r="B981" s="9"/>
      <c r="C981" s="9"/>
      <c r="D981" s="9"/>
      <c r="E981" s="9"/>
      <c r="G981" s="9"/>
      <c r="I981" s="9"/>
      <c r="M981" s="9"/>
      <c r="N981" s="9"/>
      <c r="O981" s="9"/>
      <c r="Q981" s="9"/>
      <c r="S981" s="9"/>
      <c r="U981" s="9"/>
      <c r="W981" s="9"/>
      <c r="AA981" s="9"/>
      <c r="AB981" s="9"/>
      <c r="AC981" s="9"/>
      <c r="AE981" s="9"/>
    </row>
    <row r="982" spans="1:31">
      <c r="A982" s="389"/>
      <c r="B982" s="9"/>
      <c r="C982" s="9"/>
      <c r="D982" s="9"/>
      <c r="E982" s="9"/>
      <c r="G982" s="9"/>
      <c r="I982" s="9"/>
      <c r="M982" s="9"/>
      <c r="N982" s="9"/>
      <c r="O982" s="9"/>
      <c r="Q982" s="9"/>
      <c r="S982" s="9"/>
      <c r="U982" s="9"/>
      <c r="W982" s="9"/>
      <c r="AA982" s="9"/>
      <c r="AB982" s="9"/>
      <c r="AC982" s="9"/>
      <c r="AE982" s="9"/>
    </row>
    <row r="983" spans="1:31">
      <c r="A983" s="389"/>
      <c r="B983" s="9"/>
      <c r="C983" s="9"/>
      <c r="D983" s="9"/>
      <c r="E983" s="9"/>
      <c r="G983" s="9"/>
      <c r="I983" s="9"/>
      <c r="M983" s="9"/>
      <c r="N983" s="9"/>
      <c r="O983" s="9"/>
      <c r="Q983" s="9"/>
      <c r="S983" s="9"/>
      <c r="U983" s="9"/>
      <c r="W983" s="9"/>
      <c r="AA983" s="9"/>
      <c r="AB983" s="9"/>
      <c r="AC983" s="9"/>
      <c r="AE983" s="9"/>
    </row>
    <row r="984" spans="1:31">
      <c r="A984" s="389"/>
      <c r="B984" s="9"/>
      <c r="C984" s="9"/>
      <c r="D984" s="9"/>
      <c r="E984" s="9"/>
      <c r="G984" s="9"/>
      <c r="I984" s="9"/>
      <c r="M984" s="9"/>
      <c r="N984" s="9"/>
      <c r="O984" s="9"/>
      <c r="Q984" s="9"/>
      <c r="S984" s="9"/>
      <c r="U984" s="9"/>
      <c r="W984" s="9"/>
      <c r="AA984" s="9"/>
      <c r="AB984" s="9"/>
      <c r="AC984" s="9"/>
      <c r="AE984" s="9"/>
    </row>
    <row r="985" spans="1:31">
      <c r="A985" s="389"/>
      <c r="B985" s="9"/>
      <c r="C985" s="9"/>
      <c r="D985" s="9"/>
      <c r="E985" s="9"/>
      <c r="G985" s="9"/>
      <c r="I985" s="9"/>
      <c r="M985" s="9"/>
      <c r="N985" s="9"/>
      <c r="O985" s="9"/>
      <c r="Q985" s="9"/>
      <c r="S985" s="9"/>
      <c r="U985" s="9"/>
      <c r="W985" s="9"/>
      <c r="AA985" s="9"/>
      <c r="AB985" s="9"/>
      <c r="AC985" s="9"/>
      <c r="AE985" s="9"/>
    </row>
    <row r="986" spans="1:31">
      <c r="A986" s="389"/>
      <c r="B986" s="9"/>
      <c r="C986" s="9"/>
      <c r="D986" s="9"/>
      <c r="E986" s="9"/>
      <c r="G986" s="9"/>
      <c r="I986" s="9"/>
      <c r="M986" s="9"/>
      <c r="N986" s="9"/>
      <c r="O986" s="9"/>
      <c r="Q986" s="9"/>
      <c r="S986" s="9"/>
      <c r="U986" s="9"/>
      <c r="W986" s="9"/>
      <c r="AA986" s="9"/>
      <c r="AB986" s="9"/>
      <c r="AC986" s="9"/>
      <c r="AE986" s="9"/>
    </row>
    <row r="987" spans="1:31">
      <c r="A987" s="389"/>
      <c r="B987" s="9"/>
      <c r="C987" s="9"/>
      <c r="D987" s="9"/>
      <c r="E987" s="9"/>
      <c r="G987" s="9"/>
      <c r="I987" s="9"/>
      <c r="M987" s="9"/>
      <c r="N987" s="9"/>
      <c r="O987" s="9"/>
      <c r="Q987" s="9"/>
      <c r="S987" s="9"/>
      <c r="U987" s="9"/>
      <c r="W987" s="9"/>
      <c r="AA987" s="9"/>
      <c r="AB987" s="9"/>
      <c r="AC987" s="9"/>
      <c r="AE987" s="9"/>
    </row>
    <row r="988" spans="1:31">
      <c r="A988" s="389"/>
      <c r="B988" s="9"/>
      <c r="C988" s="9"/>
      <c r="D988" s="9"/>
      <c r="E988" s="9"/>
      <c r="G988" s="9"/>
      <c r="I988" s="9"/>
      <c r="M988" s="9"/>
      <c r="N988" s="9"/>
      <c r="O988" s="9"/>
      <c r="Q988" s="9"/>
      <c r="S988" s="9"/>
      <c r="U988" s="9"/>
      <c r="W988" s="9"/>
      <c r="AA988" s="9"/>
      <c r="AB988" s="9"/>
      <c r="AC988" s="9"/>
      <c r="AE988" s="9"/>
    </row>
    <row r="989" spans="1:31">
      <c r="A989" s="389"/>
      <c r="B989" s="9"/>
      <c r="C989" s="9"/>
      <c r="D989" s="9"/>
      <c r="E989" s="9"/>
      <c r="G989" s="9"/>
      <c r="I989" s="9"/>
      <c r="M989" s="9"/>
      <c r="N989" s="9"/>
      <c r="O989" s="9"/>
      <c r="Q989" s="9"/>
      <c r="S989" s="9"/>
      <c r="U989" s="9"/>
      <c r="W989" s="9"/>
      <c r="AA989" s="9"/>
      <c r="AB989" s="9"/>
      <c r="AC989" s="9"/>
      <c r="AE989" s="9"/>
    </row>
    <row r="990" spans="1:31">
      <c r="A990" s="389"/>
      <c r="B990" s="9"/>
      <c r="C990" s="9"/>
      <c r="D990" s="9"/>
      <c r="E990" s="9"/>
      <c r="G990" s="9"/>
      <c r="I990" s="9"/>
      <c r="M990" s="9"/>
      <c r="N990" s="9"/>
      <c r="O990" s="9"/>
      <c r="Q990" s="9"/>
      <c r="S990" s="9"/>
      <c r="U990" s="9"/>
      <c r="W990" s="9"/>
      <c r="AA990" s="9"/>
      <c r="AB990" s="9"/>
      <c r="AC990" s="9"/>
      <c r="AE990" s="9"/>
    </row>
    <row r="991" spans="1:31">
      <c r="A991" s="389"/>
      <c r="B991" s="9"/>
      <c r="C991" s="9"/>
      <c r="D991" s="9"/>
      <c r="E991" s="9"/>
      <c r="G991" s="9"/>
      <c r="I991" s="9"/>
      <c r="M991" s="9"/>
      <c r="N991" s="9"/>
      <c r="O991" s="9"/>
      <c r="Q991" s="9"/>
      <c r="S991" s="9"/>
      <c r="U991" s="9"/>
      <c r="W991" s="9"/>
      <c r="AA991" s="9"/>
      <c r="AB991" s="9"/>
      <c r="AC991" s="9"/>
      <c r="AE991" s="9"/>
    </row>
    <row r="992" spans="1:31">
      <c r="A992" s="389"/>
      <c r="B992" s="9"/>
      <c r="C992" s="9"/>
      <c r="D992" s="9"/>
      <c r="E992" s="9"/>
      <c r="G992" s="9"/>
      <c r="I992" s="9"/>
      <c r="M992" s="9"/>
      <c r="N992" s="9"/>
      <c r="O992" s="9"/>
      <c r="Q992" s="9"/>
      <c r="S992" s="9"/>
      <c r="U992" s="9"/>
      <c r="W992" s="9"/>
      <c r="AA992" s="9"/>
      <c r="AB992" s="9"/>
      <c r="AC992" s="9"/>
      <c r="AE992" s="9"/>
    </row>
    <row r="993" spans="1:31">
      <c r="A993" s="389"/>
      <c r="B993" s="9"/>
      <c r="C993" s="9"/>
      <c r="D993" s="9"/>
      <c r="E993" s="9"/>
      <c r="G993" s="9"/>
      <c r="I993" s="9"/>
      <c r="M993" s="9"/>
      <c r="N993" s="9"/>
      <c r="O993" s="9"/>
      <c r="Q993" s="9"/>
      <c r="S993" s="9"/>
      <c r="U993" s="9"/>
      <c r="W993" s="9"/>
      <c r="AA993" s="9"/>
      <c r="AB993" s="9"/>
      <c r="AC993" s="9"/>
      <c r="AE993" s="9"/>
    </row>
    <row r="994" spans="1:31">
      <c r="A994" s="389"/>
      <c r="B994" s="9"/>
      <c r="C994" s="9"/>
      <c r="D994" s="9"/>
      <c r="E994" s="9"/>
      <c r="G994" s="9"/>
      <c r="I994" s="9"/>
      <c r="M994" s="9"/>
      <c r="N994" s="9"/>
      <c r="O994" s="9"/>
      <c r="Q994" s="9"/>
      <c r="S994" s="9"/>
      <c r="U994" s="9"/>
      <c r="W994" s="9"/>
      <c r="AA994" s="9"/>
      <c r="AB994" s="9"/>
      <c r="AC994" s="9"/>
      <c r="AE994" s="9"/>
    </row>
    <row r="995" spans="1:31">
      <c r="A995" s="389"/>
      <c r="B995" s="9"/>
      <c r="C995" s="9"/>
      <c r="D995" s="9"/>
      <c r="E995" s="9"/>
      <c r="G995" s="9"/>
      <c r="I995" s="9"/>
      <c r="M995" s="9"/>
      <c r="N995" s="9"/>
      <c r="O995" s="9"/>
      <c r="Q995" s="9"/>
      <c r="S995" s="9"/>
      <c r="U995" s="9"/>
      <c r="W995" s="9"/>
      <c r="AA995" s="9"/>
      <c r="AB995" s="9"/>
      <c r="AC995" s="9"/>
      <c r="AE995" s="9"/>
    </row>
    <row r="996" spans="1:31">
      <c r="A996" s="389"/>
      <c r="B996" s="9"/>
      <c r="C996" s="9"/>
      <c r="D996" s="9"/>
      <c r="E996" s="9"/>
      <c r="G996" s="9"/>
      <c r="I996" s="9"/>
      <c r="M996" s="9"/>
      <c r="N996" s="9"/>
      <c r="O996" s="9"/>
      <c r="Q996" s="9"/>
      <c r="S996" s="9"/>
      <c r="U996" s="9"/>
      <c r="W996" s="9"/>
      <c r="AA996" s="9"/>
      <c r="AB996" s="9"/>
      <c r="AC996" s="9"/>
      <c r="AE996" s="9"/>
    </row>
    <row r="997" spans="1:31">
      <c r="A997" s="389"/>
      <c r="B997" s="9"/>
      <c r="C997" s="9"/>
      <c r="D997" s="9"/>
      <c r="E997" s="9"/>
      <c r="G997" s="9"/>
      <c r="I997" s="9"/>
      <c r="M997" s="9"/>
      <c r="N997" s="9"/>
      <c r="O997" s="9"/>
      <c r="Q997" s="9"/>
      <c r="S997" s="9"/>
      <c r="U997" s="9"/>
      <c r="W997" s="9"/>
      <c r="AA997" s="9"/>
      <c r="AB997" s="9"/>
      <c r="AC997" s="9"/>
      <c r="AE997" s="9"/>
    </row>
    <row r="998" spans="1:31">
      <c r="A998" s="389"/>
      <c r="B998" s="9"/>
      <c r="C998" s="9"/>
      <c r="D998" s="9"/>
      <c r="E998" s="9"/>
      <c r="G998" s="9"/>
      <c r="I998" s="9"/>
      <c r="M998" s="9"/>
      <c r="N998" s="9"/>
      <c r="O998" s="9"/>
      <c r="Q998" s="9"/>
      <c r="S998" s="9"/>
      <c r="U998" s="9"/>
      <c r="W998" s="9"/>
      <c r="AA998" s="9"/>
      <c r="AB998" s="9"/>
      <c r="AC998" s="9"/>
      <c r="AE998" s="9"/>
    </row>
    <row r="999" spans="1:31">
      <c r="A999" s="389"/>
      <c r="B999" s="9"/>
      <c r="C999" s="9"/>
      <c r="D999" s="9"/>
      <c r="E999" s="9"/>
      <c r="G999" s="9"/>
      <c r="I999" s="9"/>
      <c r="M999" s="9"/>
      <c r="N999" s="9"/>
      <c r="O999" s="9"/>
      <c r="Q999" s="9"/>
      <c r="S999" s="9"/>
      <c r="U999" s="9"/>
      <c r="W999" s="9"/>
      <c r="AA999" s="9"/>
      <c r="AB999" s="9"/>
      <c r="AC999" s="9"/>
      <c r="AE999" s="9"/>
    </row>
    <row r="1000" spans="1:31">
      <c r="A1000" s="389"/>
      <c r="B1000" s="9"/>
      <c r="C1000" s="9"/>
      <c r="D1000" s="9"/>
      <c r="E1000" s="9"/>
      <c r="G1000" s="9"/>
      <c r="I1000" s="9"/>
      <c r="M1000" s="9"/>
      <c r="N1000" s="9"/>
      <c r="O1000" s="9"/>
      <c r="Q1000" s="9"/>
      <c r="S1000" s="9"/>
      <c r="U1000" s="9"/>
      <c r="W1000" s="9"/>
      <c r="AA1000" s="9"/>
      <c r="AB1000" s="9"/>
      <c r="AC1000" s="9"/>
      <c r="AE1000" s="9"/>
    </row>
    <row r="1001" spans="1:31">
      <c r="A1001" s="389"/>
      <c r="B1001" s="9"/>
      <c r="C1001" s="9"/>
      <c r="D1001" s="9"/>
      <c r="E1001" s="9"/>
      <c r="G1001" s="9"/>
      <c r="I1001" s="9"/>
      <c r="M1001" s="9"/>
      <c r="N1001" s="9"/>
      <c r="O1001" s="9"/>
      <c r="Q1001" s="9"/>
      <c r="S1001" s="9"/>
      <c r="U1001" s="9"/>
      <c r="W1001" s="9"/>
      <c r="AA1001" s="9"/>
      <c r="AB1001" s="9"/>
      <c r="AC1001" s="9"/>
      <c r="AE1001" s="9"/>
    </row>
    <row r="1002" spans="1:31">
      <c r="A1002" s="389"/>
      <c r="B1002" s="9"/>
      <c r="C1002" s="9"/>
      <c r="D1002" s="9"/>
      <c r="E1002" s="9"/>
      <c r="G1002" s="9"/>
      <c r="I1002" s="9"/>
      <c r="M1002" s="9"/>
      <c r="N1002" s="9"/>
      <c r="O1002" s="9"/>
      <c r="Q1002" s="9"/>
      <c r="S1002" s="9"/>
      <c r="U1002" s="9"/>
      <c r="W1002" s="9"/>
      <c r="AA1002" s="9"/>
      <c r="AB1002" s="9"/>
      <c r="AC1002" s="9"/>
      <c r="AE1002" s="9"/>
    </row>
    <row r="1003" spans="1:31">
      <c r="A1003" s="389"/>
      <c r="B1003" s="9"/>
      <c r="C1003" s="9"/>
      <c r="D1003" s="9"/>
      <c r="E1003" s="9"/>
      <c r="G1003" s="9"/>
      <c r="I1003" s="9"/>
      <c r="M1003" s="9"/>
      <c r="N1003" s="9"/>
      <c r="O1003" s="9"/>
      <c r="Q1003" s="9"/>
      <c r="S1003" s="9"/>
      <c r="U1003" s="9"/>
      <c r="W1003" s="9"/>
      <c r="AA1003" s="9"/>
      <c r="AB1003" s="9"/>
      <c r="AC1003" s="9"/>
      <c r="AE1003" s="9"/>
    </row>
    <row r="1004" spans="1:31">
      <c r="A1004" s="389"/>
      <c r="B1004" s="9"/>
      <c r="C1004" s="9"/>
      <c r="D1004" s="9"/>
      <c r="E1004" s="9"/>
      <c r="G1004" s="9"/>
      <c r="I1004" s="9"/>
      <c r="M1004" s="9"/>
      <c r="N1004" s="9"/>
      <c r="O1004" s="9"/>
      <c r="Q1004" s="9"/>
      <c r="S1004" s="9"/>
      <c r="U1004" s="9"/>
      <c r="W1004" s="9"/>
      <c r="AA1004" s="9"/>
      <c r="AB1004" s="9"/>
      <c r="AC1004" s="9"/>
      <c r="AE1004" s="9"/>
    </row>
    <row r="1005" spans="1:31">
      <c r="A1005" s="389"/>
      <c r="B1005" s="9"/>
      <c r="C1005" s="9"/>
      <c r="D1005" s="9"/>
      <c r="E1005" s="9"/>
      <c r="G1005" s="9"/>
      <c r="I1005" s="9"/>
      <c r="M1005" s="9"/>
      <c r="N1005" s="9"/>
      <c r="O1005" s="9"/>
      <c r="Q1005" s="9"/>
      <c r="S1005" s="9"/>
      <c r="U1005" s="9"/>
      <c r="W1005" s="9"/>
      <c r="AA1005" s="9"/>
      <c r="AB1005" s="9"/>
      <c r="AC1005" s="9"/>
      <c r="AE1005" s="9"/>
    </row>
    <row r="1006" spans="1:31">
      <c r="A1006" s="389"/>
      <c r="B1006" s="9"/>
      <c r="C1006" s="9"/>
      <c r="D1006" s="9"/>
      <c r="E1006" s="9"/>
      <c r="G1006" s="9"/>
      <c r="I1006" s="9"/>
      <c r="M1006" s="9"/>
      <c r="N1006" s="9"/>
      <c r="O1006" s="9"/>
      <c r="Q1006" s="9"/>
      <c r="S1006" s="9"/>
      <c r="U1006" s="9"/>
      <c r="W1006" s="9"/>
      <c r="AA1006" s="9"/>
      <c r="AB1006" s="9"/>
      <c r="AC1006" s="9"/>
      <c r="AE1006" s="9"/>
    </row>
    <row r="1007" spans="1:31">
      <c r="A1007" s="389"/>
      <c r="B1007" s="9"/>
      <c r="C1007" s="9"/>
      <c r="D1007" s="9"/>
      <c r="E1007" s="9"/>
      <c r="G1007" s="9"/>
      <c r="I1007" s="9"/>
      <c r="M1007" s="9"/>
      <c r="N1007" s="9"/>
      <c r="O1007" s="9"/>
      <c r="Q1007" s="9"/>
      <c r="S1007" s="9"/>
      <c r="U1007" s="9"/>
      <c r="W1007" s="9"/>
      <c r="AA1007" s="9"/>
      <c r="AB1007" s="9"/>
      <c r="AC1007" s="9"/>
      <c r="AE1007" s="9"/>
    </row>
    <row r="1008" spans="1:31">
      <c r="A1008" s="389"/>
      <c r="B1008" s="9"/>
      <c r="C1008" s="9"/>
      <c r="D1008" s="9"/>
      <c r="E1008" s="9"/>
      <c r="G1008" s="9"/>
      <c r="I1008" s="9"/>
      <c r="M1008" s="9"/>
      <c r="N1008" s="9"/>
      <c r="O1008" s="9"/>
      <c r="Q1008" s="9"/>
      <c r="S1008" s="9"/>
      <c r="U1008" s="9"/>
      <c r="W1008" s="9"/>
      <c r="AA1008" s="9"/>
      <c r="AB1008" s="9"/>
      <c r="AC1008" s="9"/>
      <c r="AE1008" s="9"/>
    </row>
    <row r="1009" spans="1:31">
      <c r="A1009" s="389"/>
      <c r="B1009" s="9"/>
      <c r="C1009" s="9"/>
      <c r="D1009" s="9"/>
      <c r="E1009" s="9"/>
      <c r="G1009" s="9"/>
      <c r="I1009" s="9"/>
      <c r="M1009" s="9"/>
      <c r="N1009" s="9"/>
      <c r="O1009" s="9"/>
      <c r="Q1009" s="9"/>
      <c r="S1009" s="9"/>
      <c r="U1009" s="9"/>
      <c r="W1009" s="9"/>
      <c r="AA1009" s="9"/>
      <c r="AB1009" s="9"/>
      <c r="AC1009" s="9"/>
      <c r="AE1009" s="9"/>
    </row>
    <row r="1010" spans="1:31">
      <c r="A1010" s="389"/>
      <c r="B1010" s="9"/>
      <c r="C1010" s="9"/>
      <c r="D1010" s="9"/>
      <c r="E1010" s="9"/>
      <c r="G1010" s="9"/>
      <c r="I1010" s="9"/>
      <c r="M1010" s="9"/>
      <c r="N1010" s="9"/>
      <c r="O1010" s="9"/>
      <c r="Q1010" s="9"/>
      <c r="S1010" s="9"/>
      <c r="U1010" s="9"/>
      <c r="W1010" s="9"/>
      <c r="AA1010" s="9"/>
      <c r="AB1010" s="9"/>
      <c r="AC1010" s="9"/>
      <c r="AE1010" s="9"/>
    </row>
    <row r="1011" spans="1:31">
      <c r="A1011" s="389"/>
      <c r="B1011" s="9"/>
      <c r="C1011" s="9"/>
      <c r="D1011" s="9"/>
      <c r="E1011" s="9"/>
      <c r="G1011" s="9"/>
      <c r="I1011" s="9"/>
      <c r="M1011" s="9"/>
      <c r="N1011" s="9"/>
      <c r="O1011" s="9"/>
      <c r="Q1011" s="9"/>
      <c r="S1011" s="9"/>
      <c r="U1011" s="9"/>
      <c r="W1011" s="9"/>
      <c r="AA1011" s="9"/>
      <c r="AB1011" s="9"/>
      <c r="AC1011" s="9"/>
      <c r="AE1011" s="9"/>
    </row>
    <row r="1012" spans="1:31">
      <c r="A1012" s="389"/>
      <c r="B1012" s="9"/>
      <c r="C1012" s="9"/>
      <c r="D1012" s="9"/>
      <c r="E1012" s="9"/>
      <c r="G1012" s="9"/>
      <c r="I1012" s="9"/>
      <c r="M1012" s="9"/>
      <c r="N1012" s="9"/>
      <c r="O1012" s="9"/>
      <c r="Q1012" s="9"/>
      <c r="S1012" s="9"/>
      <c r="U1012" s="9"/>
      <c r="W1012" s="9"/>
      <c r="AA1012" s="9"/>
      <c r="AB1012" s="9"/>
      <c r="AC1012" s="9"/>
      <c r="AE1012" s="9"/>
    </row>
    <row r="1013" spans="1:31">
      <c r="A1013" s="389"/>
      <c r="B1013" s="9"/>
      <c r="C1013" s="9"/>
      <c r="D1013" s="9"/>
      <c r="E1013" s="9"/>
      <c r="G1013" s="9"/>
      <c r="I1013" s="9"/>
      <c r="M1013" s="9"/>
      <c r="N1013" s="9"/>
      <c r="O1013" s="9"/>
      <c r="Q1013" s="9"/>
      <c r="S1013" s="9"/>
      <c r="U1013" s="9"/>
      <c r="W1013" s="9"/>
      <c r="AA1013" s="9"/>
      <c r="AB1013" s="9"/>
      <c r="AC1013" s="9"/>
      <c r="AE1013" s="9"/>
    </row>
    <row r="1014" spans="1:31">
      <c r="A1014" s="389"/>
      <c r="B1014" s="9"/>
      <c r="C1014" s="9"/>
      <c r="D1014" s="9"/>
      <c r="E1014" s="9"/>
      <c r="G1014" s="9"/>
      <c r="I1014" s="9"/>
      <c r="M1014" s="9"/>
      <c r="N1014" s="9"/>
      <c r="O1014" s="9"/>
      <c r="Q1014" s="9"/>
      <c r="S1014" s="9"/>
      <c r="U1014" s="9"/>
      <c r="W1014" s="9"/>
      <c r="AA1014" s="9"/>
      <c r="AB1014" s="9"/>
      <c r="AC1014" s="9"/>
      <c r="AE1014" s="9"/>
    </row>
    <row r="1015" spans="1:31">
      <c r="A1015" s="389"/>
      <c r="B1015" s="9"/>
      <c r="C1015" s="9"/>
      <c r="D1015" s="9"/>
      <c r="E1015" s="9"/>
      <c r="G1015" s="9"/>
      <c r="I1015" s="9"/>
      <c r="M1015" s="9"/>
      <c r="N1015" s="9"/>
      <c r="O1015" s="9"/>
      <c r="Q1015" s="9"/>
      <c r="S1015" s="9"/>
      <c r="U1015" s="9"/>
      <c r="W1015" s="9"/>
      <c r="AA1015" s="9"/>
      <c r="AB1015" s="9"/>
      <c r="AC1015" s="9"/>
      <c r="AE1015" s="9"/>
    </row>
    <row r="1016" spans="1:31">
      <c r="A1016" s="389"/>
      <c r="B1016" s="9"/>
      <c r="C1016" s="9"/>
      <c r="D1016" s="9"/>
      <c r="E1016" s="9"/>
      <c r="G1016" s="9"/>
      <c r="I1016" s="9"/>
      <c r="M1016" s="9"/>
      <c r="N1016" s="9"/>
      <c r="O1016" s="9"/>
      <c r="Q1016" s="9"/>
      <c r="S1016" s="9"/>
      <c r="U1016" s="9"/>
      <c r="W1016" s="9"/>
      <c r="AA1016" s="9"/>
      <c r="AB1016" s="9"/>
      <c r="AC1016" s="9"/>
      <c r="AE1016" s="9"/>
    </row>
    <row r="1017" spans="1:31">
      <c r="A1017" s="389"/>
      <c r="B1017" s="9"/>
      <c r="C1017" s="9"/>
      <c r="D1017" s="9"/>
      <c r="E1017" s="9"/>
      <c r="G1017" s="9"/>
      <c r="I1017" s="9"/>
      <c r="M1017" s="9"/>
      <c r="N1017" s="9"/>
      <c r="O1017" s="9"/>
      <c r="Q1017" s="9"/>
      <c r="S1017" s="9"/>
      <c r="U1017" s="9"/>
      <c r="W1017" s="9"/>
      <c r="AA1017" s="9"/>
      <c r="AB1017" s="9"/>
      <c r="AC1017" s="9"/>
      <c r="AE1017" s="9"/>
    </row>
    <row r="1018" spans="1:31">
      <c r="A1018" s="389"/>
      <c r="B1018" s="9"/>
      <c r="C1018" s="9"/>
      <c r="D1018" s="9"/>
      <c r="E1018" s="9"/>
      <c r="G1018" s="9"/>
      <c r="I1018" s="9"/>
      <c r="M1018" s="9"/>
      <c r="N1018" s="9"/>
      <c r="O1018" s="9"/>
      <c r="Q1018" s="9"/>
      <c r="S1018" s="9"/>
      <c r="U1018" s="9"/>
      <c r="W1018" s="9"/>
      <c r="AA1018" s="9"/>
      <c r="AB1018" s="9"/>
      <c r="AC1018" s="9"/>
      <c r="AE1018" s="9"/>
    </row>
    <row r="1019" spans="1:31">
      <c r="A1019" s="389"/>
      <c r="B1019" s="9"/>
      <c r="C1019" s="9"/>
      <c r="D1019" s="9"/>
      <c r="E1019" s="9"/>
      <c r="G1019" s="9"/>
      <c r="I1019" s="9"/>
      <c r="M1019" s="9"/>
      <c r="N1019" s="9"/>
      <c r="O1019" s="9"/>
      <c r="Q1019" s="9"/>
      <c r="S1019" s="9"/>
      <c r="U1019" s="9"/>
      <c r="W1019" s="9"/>
      <c r="AA1019" s="9"/>
      <c r="AB1019" s="9"/>
      <c r="AC1019" s="9"/>
      <c r="AE1019" s="9"/>
    </row>
    <row r="1020" spans="1:31">
      <c r="A1020" s="389"/>
      <c r="B1020" s="9"/>
      <c r="C1020" s="9"/>
      <c r="D1020" s="9"/>
      <c r="E1020" s="9"/>
      <c r="G1020" s="9"/>
      <c r="I1020" s="9"/>
      <c r="M1020" s="9"/>
      <c r="N1020" s="9"/>
      <c r="O1020" s="9"/>
      <c r="Q1020" s="9"/>
      <c r="S1020" s="9"/>
      <c r="U1020" s="9"/>
      <c r="W1020" s="9"/>
      <c r="AA1020" s="9"/>
      <c r="AB1020" s="9"/>
      <c r="AC1020" s="9"/>
      <c r="AE1020" s="9"/>
    </row>
    <row r="1021" spans="1:31">
      <c r="A1021" s="389"/>
      <c r="B1021" s="9"/>
      <c r="C1021" s="9"/>
      <c r="D1021" s="9"/>
      <c r="E1021" s="9"/>
      <c r="G1021" s="9"/>
      <c r="I1021" s="9"/>
      <c r="M1021" s="9"/>
      <c r="N1021" s="9"/>
      <c r="O1021" s="9"/>
      <c r="Q1021" s="9"/>
      <c r="S1021" s="9"/>
      <c r="U1021" s="9"/>
      <c r="W1021" s="9"/>
      <c r="AA1021" s="9"/>
      <c r="AB1021" s="9"/>
      <c r="AC1021" s="9"/>
      <c r="AE1021" s="9"/>
    </row>
    <row r="1022" spans="1:31">
      <c r="A1022" s="389"/>
      <c r="B1022" s="9"/>
      <c r="C1022" s="9"/>
      <c r="D1022" s="9"/>
      <c r="E1022" s="9"/>
      <c r="G1022" s="9"/>
      <c r="I1022" s="9"/>
      <c r="M1022" s="9"/>
      <c r="N1022" s="9"/>
      <c r="O1022" s="9"/>
      <c r="Q1022" s="9"/>
      <c r="S1022" s="9"/>
      <c r="U1022" s="9"/>
      <c r="W1022" s="9"/>
      <c r="AA1022" s="9"/>
      <c r="AB1022" s="9"/>
      <c r="AC1022" s="9"/>
      <c r="AE1022" s="9"/>
    </row>
    <row r="1023" spans="1:31">
      <c r="A1023" s="389"/>
      <c r="B1023" s="9"/>
      <c r="C1023" s="9"/>
      <c r="D1023" s="9"/>
      <c r="E1023" s="9"/>
      <c r="G1023" s="9"/>
      <c r="I1023" s="9"/>
      <c r="M1023" s="9"/>
      <c r="N1023" s="9"/>
      <c r="O1023" s="9"/>
      <c r="Q1023" s="9"/>
      <c r="S1023" s="9"/>
      <c r="U1023" s="9"/>
      <c r="W1023" s="9"/>
      <c r="AA1023" s="9"/>
      <c r="AB1023" s="9"/>
      <c r="AC1023" s="9"/>
      <c r="AE1023" s="9"/>
    </row>
    <row r="1024" spans="1:31">
      <c r="A1024" s="389"/>
      <c r="B1024" s="9"/>
      <c r="C1024" s="9"/>
      <c r="D1024" s="9"/>
      <c r="E1024" s="9"/>
      <c r="G1024" s="9"/>
      <c r="I1024" s="9"/>
      <c r="M1024" s="9"/>
      <c r="N1024" s="9"/>
      <c r="O1024" s="9"/>
      <c r="Q1024" s="9"/>
      <c r="S1024" s="9"/>
      <c r="U1024" s="9"/>
      <c r="W1024" s="9"/>
      <c r="AA1024" s="9"/>
      <c r="AB1024" s="9"/>
      <c r="AC1024" s="9"/>
      <c r="AE1024" s="9"/>
    </row>
    <row r="1025" spans="1:31">
      <c r="A1025" s="389"/>
      <c r="B1025" s="9"/>
      <c r="C1025" s="9"/>
      <c r="D1025" s="9"/>
      <c r="E1025" s="9"/>
      <c r="G1025" s="9"/>
      <c r="I1025" s="9"/>
      <c r="M1025" s="9"/>
      <c r="N1025" s="9"/>
      <c r="O1025" s="9"/>
      <c r="Q1025" s="9"/>
      <c r="S1025" s="9"/>
      <c r="U1025" s="9"/>
      <c r="W1025" s="9"/>
      <c r="AA1025" s="9"/>
      <c r="AB1025" s="9"/>
      <c r="AC1025" s="9"/>
      <c r="AE1025" s="9"/>
    </row>
    <row r="1026" spans="1:31">
      <c r="A1026" s="389"/>
      <c r="B1026" s="9"/>
      <c r="C1026" s="9"/>
      <c r="D1026" s="9"/>
      <c r="E1026" s="9"/>
      <c r="G1026" s="9"/>
      <c r="I1026" s="9"/>
      <c r="M1026" s="9"/>
      <c r="N1026" s="9"/>
      <c r="O1026" s="9"/>
      <c r="Q1026" s="9"/>
      <c r="S1026" s="9"/>
      <c r="U1026" s="9"/>
      <c r="W1026" s="9"/>
      <c r="AA1026" s="9"/>
      <c r="AB1026" s="9"/>
      <c r="AC1026" s="9"/>
      <c r="AE1026" s="9"/>
    </row>
    <row r="1027" spans="1:31">
      <c r="A1027" s="389"/>
      <c r="B1027" s="9"/>
      <c r="C1027" s="9"/>
      <c r="D1027" s="9"/>
      <c r="E1027" s="9"/>
      <c r="G1027" s="9"/>
      <c r="I1027" s="9"/>
      <c r="M1027" s="9"/>
      <c r="N1027" s="9"/>
      <c r="O1027" s="9"/>
      <c r="Q1027" s="9"/>
      <c r="S1027" s="9"/>
      <c r="U1027" s="9"/>
      <c r="W1027" s="9"/>
      <c r="AA1027" s="9"/>
      <c r="AB1027" s="9"/>
      <c r="AC1027" s="9"/>
      <c r="AE1027" s="9"/>
    </row>
    <row r="1028" spans="1:31">
      <c r="A1028" s="389"/>
      <c r="B1028" s="9"/>
      <c r="C1028" s="9"/>
      <c r="D1028" s="9"/>
      <c r="E1028" s="9"/>
      <c r="G1028" s="9"/>
      <c r="I1028" s="9"/>
      <c r="M1028" s="9"/>
      <c r="N1028" s="9"/>
      <c r="O1028" s="9"/>
      <c r="Q1028" s="9"/>
      <c r="S1028" s="9"/>
      <c r="U1028" s="9"/>
      <c r="W1028" s="9"/>
      <c r="AA1028" s="9"/>
      <c r="AB1028" s="9"/>
      <c r="AC1028" s="9"/>
      <c r="AE1028" s="9"/>
    </row>
    <row r="1029" spans="1:31">
      <c r="A1029" s="389"/>
      <c r="B1029" s="9"/>
      <c r="C1029" s="9"/>
      <c r="D1029" s="9"/>
      <c r="E1029" s="9"/>
      <c r="G1029" s="9"/>
      <c r="I1029" s="9"/>
      <c r="M1029" s="9"/>
      <c r="N1029" s="9"/>
      <c r="O1029" s="9"/>
      <c r="Q1029" s="9"/>
      <c r="S1029" s="9"/>
      <c r="U1029" s="9"/>
      <c r="W1029" s="9"/>
      <c r="AA1029" s="9"/>
      <c r="AB1029" s="9"/>
      <c r="AC1029" s="9"/>
      <c r="AE1029" s="9"/>
    </row>
    <row r="1030" spans="1:31">
      <c r="A1030" s="389"/>
      <c r="B1030" s="9"/>
      <c r="C1030" s="9"/>
      <c r="D1030" s="9"/>
      <c r="E1030" s="9"/>
      <c r="G1030" s="9"/>
      <c r="I1030" s="9"/>
      <c r="M1030" s="9"/>
      <c r="N1030" s="9"/>
      <c r="O1030" s="9"/>
      <c r="Q1030" s="9"/>
      <c r="S1030" s="9"/>
      <c r="U1030" s="9"/>
      <c r="W1030" s="9"/>
      <c r="AA1030" s="9"/>
      <c r="AB1030" s="9"/>
      <c r="AC1030" s="9"/>
      <c r="AE1030" s="9"/>
    </row>
    <row r="1031" spans="1:31">
      <c r="A1031" s="389"/>
      <c r="B1031" s="9"/>
      <c r="C1031" s="9"/>
      <c r="D1031" s="9"/>
      <c r="E1031" s="9"/>
      <c r="G1031" s="9"/>
      <c r="I1031" s="9"/>
      <c r="M1031" s="9"/>
      <c r="N1031" s="9"/>
      <c r="O1031" s="9"/>
      <c r="Q1031" s="9"/>
      <c r="S1031" s="9"/>
      <c r="U1031" s="9"/>
      <c r="W1031" s="9"/>
      <c r="AA1031" s="9"/>
      <c r="AB1031" s="9"/>
      <c r="AC1031" s="9"/>
      <c r="AE1031" s="9"/>
    </row>
    <row r="1032" spans="1:31">
      <c r="A1032" s="389"/>
      <c r="B1032" s="9"/>
      <c r="C1032" s="9"/>
      <c r="D1032" s="9"/>
      <c r="E1032" s="9"/>
      <c r="G1032" s="9"/>
      <c r="I1032" s="9"/>
      <c r="M1032" s="9"/>
      <c r="N1032" s="9"/>
      <c r="O1032" s="9"/>
      <c r="Q1032" s="9"/>
      <c r="S1032" s="9"/>
      <c r="U1032" s="9"/>
      <c r="W1032" s="9"/>
      <c r="AA1032" s="9"/>
      <c r="AB1032" s="9"/>
      <c r="AC1032" s="9"/>
      <c r="AE1032" s="9"/>
    </row>
    <row r="1033" spans="1:31">
      <c r="A1033" s="389"/>
      <c r="B1033" s="9"/>
      <c r="C1033" s="9"/>
      <c r="D1033" s="9"/>
      <c r="E1033" s="9"/>
      <c r="G1033" s="9"/>
      <c r="I1033" s="9"/>
      <c r="M1033" s="9"/>
      <c r="N1033" s="9"/>
      <c r="O1033" s="9"/>
      <c r="Q1033" s="9"/>
      <c r="S1033" s="9"/>
      <c r="U1033" s="9"/>
      <c r="W1033" s="9"/>
      <c r="AA1033" s="9"/>
      <c r="AB1033" s="9"/>
      <c r="AC1033" s="9"/>
      <c r="AE1033" s="9"/>
    </row>
    <row r="1034" spans="1:31">
      <c r="A1034" s="389"/>
      <c r="B1034" s="9"/>
      <c r="C1034" s="9"/>
      <c r="D1034" s="9"/>
      <c r="E1034" s="9"/>
      <c r="G1034" s="9"/>
      <c r="I1034" s="9"/>
      <c r="M1034" s="9"/>
      <c r="N1034" s="9"/>
      <c r="O1034" s="9"/>
      <c r="Q1034" s="9"/>
      <c r="S1034" s="9"/>
      <c r="U1034" s="9"/>
      <c r="W1034" s="9"/>
      <c r="AA1034" s="9"/>
      <c r="AB1034" s="9"/>
      <c r="AC1034" s="9"/>
      <c r="AE1034" s="9"/>
    </row>
    <row r="1035" spans="1:31">
      <c r="A1035" s="389"/>
      <c r="B1035" s="9"/>
      <c r="C1035" s="9"/>
      <c r="D1035" s="9"/>
      <c r="E1035" s="9"/>
      <c r="G1035" s="9"/>
      <c r="I1035" s="9"/>
      <c r="M1035" s="9"/>
      <c r="N1035" s="9"/>
      <c r="O1035" s="9"/>
      <c r="Q1035" s="9"/>
      <c r="S1035" s="9"/>
      <c r="U1035" s="9"/>
      <c r="W1035" s="9"/>
      <c r="AA1035" s="9"/>
      <c r="AB1035" s="9"/>
      <c r="AC1035" s="9"/>
      <c r="AE1035" s="9"/>
    </row>
    <row r="1036" spans="1:31">
      <c r="A1036" s="389"/>
      <c r="B1036" s="9"/>
      <c r="C1036" s="9"/>
      <c r="D1036" s="9"/>
      <c r="E1036" s="9"/>
      <c r="G1036" s="9"/>
      <c r="I1036" s="9"/>
      <c r="M1036" s="9"/>
      <c r="N1036" s="9"/>
      <c r="O1036" s="9"/>
      <c r="Q1036" s="9"/>
      <c r="S1036" s="9"/>
      <c r="U1036" s="9"/>
      <c r="W1036" s="9"/>
      <c r="AA1036" s="9"/>
      <c r="AB1036" s="9"/>
      <c r="AC1036" s="9"/>
      <c r="AE1036" s="9"/>
    </row>
    <row r="1037" spans="1:31">
      <c r="A1037" s="389"/>
      <c r="B1037" s="9"/>
      <c r="C1037" s="9"/>
      <c r="D1037" s="9"/>
      <c r="E1037" s="9"/>
      <c r="G1037" s="9"/>
      <c r="I1037" s="9"/>
      <c r="M1037" s="9"/>
      <c r="N1037" s="9"/>
      <c r="O1037" s="9"/>
      <c r="Q1037" s="9"/>
      <c r="S1037" s="9"/>
      <c r="U1037" s="9"/>
      <c r="W1037" s="9"/>
      <c r="AA1037" s="9"/>
      <c r="AB1037" s="9"/>
      <c r="AC1037" s="9"/>
      <c r="AE1037" s="9"/>
    </row>
    <row r="1038" spans="1:31">
      <c r="A1038" s="389"/>
      <c r="B1038" s="9"/>
      <c r="C1038" s="9"/>
      <c r="D1038" s="9"/>
      <c r="E1038" s="9"/>
      <c r="G1038" s="9"/>
      <c r="I1038" s="9"/>
      <c r="M1038" s="9"/>
      <c r="N1038" s="9"/>
      <c r="O1038" s="9"/>
      <c r="Q1038" s="9"/>
      <c r="S1038" s="9"/>
      <c r="U1038" s="9"/>
      <c r="W1038" s="9"/>
      <c r="AA1038" s="9"/>
      <c r="AB1038" s="9"/>
      <c r="AC1038" s="9"/>
      <c r="AE1038" s="9"/>
    </row>
    <row r="1039" spans="1:31">
      <c r="A1039" s="389"/>
      <c r="B1039" s="9"/>
      <c r="C1039" s="9"/>
      <c r="D1039" s="9"/>
      <c r="E1039" s="9"/>
      <c r="G1039" s="9"/>
      <c r="I1039" s="9"/>
      <c r="M1039" s="9"/>
      <c r="N1039" s="9"/>
      <c r="O1039" s="9"/>
      <c r="Q1039" s="9"/>
      <c r="S1039" s="9"/>
      <c r="U1039" s="9"/>
      <c r="W1039" s="9"/>
      <c r="AA1039" s="9"/>
      <c r="AB1039" s="9"/>
      <c r="AC1039" s="9"/>
      <c r="AE1039" s="9"/>
    </row>
    <row r="1040" spans="1:31">
      <c r="A1040" s="389"/>
      <c r="B1040" s="9"/>
      <c r="C1040" s="9"/>
      <c r="D1040" s="9"/>
      <c r="E1040" s="9"/>
      <c r="G1040" s="9"/>
      <c r="I1040" s="9"/>
      <c r="M1040" s="9"/>
      <c r="N1040" s="9"/>
      <c r="O1040" s="9"/>
      <c r="Q1040" s="9"/>
      <c r="S1040" s="9"/>
      <c r="U1040" s="9"/>
      <c r="W1040" s="9"/>
      <c r="AA1040" s="9"/>
      <c r="AB1040" s="9"/>
      <c r="AC1040" s="9"/>
      <c r="AE1040" s="9"/>
    </row>
    <row r="1041" spans="1:31">
      <c r="A1041" s="389"/>
      <c r="B1041" s="9"/>
      <c r="C1041" s="9"/>
      <c r="D1041" s="9"/>
      <c r="E1041" s="9"/>
      <c r="G1041" s="9"/>
      <c r="I1041" s="9"/>
      <c r="M1041" s="9"/>
      <c r="N1041" s="9"/>
      <c r="O1041" s="9"/>
      <c r="Q1041" s="9"/>
      <c r="S1041" s="9"/>
      <c r="U1041" s="9"/>
      <c r="W1041" s="9"/>
      <c r="AA1041" s="9"/>
      <c r="AB1041" s="9"/>
      <c r="AC1041" s="9"/>
      <c r="AE1041" s="9"/>
    </row>
    <row r="1042" spans="1:31">
      <c r="A1042" s="389"/>
      <c r="B1042" s="9"/>
      <c r="C1042" s="9"/>
      <c r="D1042" s="9"/>
      <c r="E1042" s="9"/>
      <c r="G1042" s="9"/>
      <c r="I1042" s="9"/>
      <c r="M1042" s="9"/>
      <c r="N1042" s="9"/>
      <c r="O1042" s="9"/>
      <c r="Q1042" s="9"/>
      <c r="S1042" s="9"/>
      <c r="U1042" s="9"/>
      <c r="W1042" s="9"/>
      <c r="AA1042" s="9"/>
      <c r="AB1042" s="9"/>
      <c r="AC1042" s="9"/>
      <c r="AE1042" s="9"/>
    </row>
    <row r="1043" spans="1:31">
      <c r="A1043" s="389"/>
      <c r="B1043" s="9"/>
      <c r="C1043" s="9"/>
      <c r="D1043" s="9"/>
      <c r="E1043" s="9"/>
      <c r="G1043" s="9"/>
      <c r="I1043" s="9"/>
      <c r="M1043" s="9"/>
      <c r="N1043" s="9"/>
      <c r="O1043" s="9"/>
      <c r="Q1043" s="9"/>
      <c r="S1043" s="9"/>
      <c r="U1043" s="9"/>
      <c r="W1043" s="9"/>
      <c r="AA1043" s="9"/>
      <c r="AB1043" s="9"/>
      <c r="AC1043" s="9"/>
      <c r="AE1043" s="9"/>
    </row>
    <row r="1044" spans="1:31">
      <c r="A1044" s="389"/>
      <c r="B1044" s="9"/>
      <c r="C1044" s="9"/>
      <c r="D1044" s="9"/>
      <c r="E1044" s="9"/>
      <c r="G1044" s="9"/>
      <c r="I1044" s="9"/>
      <c r="M1044" s="9"/>
      <c r="N1044" s="9"/>
      <c r="O1044" s="9"/>
      <c r="Q1044" s="9"/>
      <c r="S1044" s="9"/>
      <c r="U1044" s="9"/>
      <c r="W1044" s="9"/>
      <c r="AA1044" s="9"/>
      <c r="AB1044" s="9"/>
      <c r="AC1044" s="9"/>
      <c r="AE1044" s="9"/>
    </row>
    <row r="1045" spans="1:31">
      <c r="A1045" s="389"/>
      <c r="B1045" s="9"/>
      <c r="C1045" s="9"/>
      <c r="D1045" s="9"/>
      <c r="E1045" s="9"/>
      <c r="G1045" s="9"/>
      <c r="I1045" s="9"/>
      <c r="M1045" s="9"/>
      <c r="N1045" s="9"/>
      <c r="O1045" s="9"/>
      <c r="Q1045" s="9"/>
      <c r="S1045" s="9"/>
      <c r="U1045" s="9"/>
      <c r="W1045" s="9"/>
      <c r="AA1045" s="9"/>
      <c r="AB1045" s="9"/>
      <c r="AC1045" s="9"/>
      <c r="AE1045" s="9"/>
    </row>
    <row r="1046" spans="1:31">
      <c r="A1046" s="389"/>
      <c r="B1046" s="9"/>
      <c r="C1046" s="9"/>
      <c r="D1046" s="9"/>
      <c r="E1046" s="9"/>
      <c r="G1046" s="9"/>
      <c r="I1046" s="9"/>
      <c r="M1046" s="9"/>
      <c r="N1046" s="9"/>
      <c r="O1046" s="9"/>
      <c r="Q1046" s="9"/>
      <c r="S1046" s="9"/>
      <c r="U1046" s="9"/>
      <c r="W1046" s="9"/>
      <c r="AA1046" s="9"/>
      <c r="AB1046" s="9"/>
      <c r="AC1046" s="9"/>
      <c r="AE1046" s="9"/>
    </row>
    <row r="1047" spans="1:31">
      <c r="A1047" s="389"/>
      <c r="B1047" s="9"/>
      <c r="C1047" s="9"/>
      <c r="D1047" s="9"/>
      <c r="E1047" s="9"/>
      <c r="G1047" s="9"/>
      <c r="I1047" s="9"/>
      <c r="M1047" s="9"/>
      <c r="N1047" s="9"/>
      <c r="O1047" s="9"/>
      <c r="Q1047" s="9"/>
      <c r="S1047" s="9"/>
      <c r="U1047" s="9"/>
      <c r="W1047" s="9"/>
      <c r="AA1047" s="9"/>
      <c r="AB1047" s="9"/>
      <c r="AC1047" s="9"/>
      <c r="AE1047" s="9"/>
    </row>
    <row r="1048" spans="1:31">
      <c r="A1048" s="389"/>
      <c r="B1048" s="9"/>
      <c r="C1048" s="9"/>
      <c r="D1048" s="9"/>
      <c r="E1048" s="9"/>
      <c r="G1048" s="9"/>
      <c r="I1048" s="9"/>
      <c r="M1048" s="9"/>
      <c r="N1048" s="9"/>
      <c r="O1048" s="9"/>
      <c r="Q1048" s="9"/>
      <c r="S1048" s="9"/>
      <c r="U1048" s="9"/>
      <c r="W1048" s="9"/>
      <c r="AA1048" s="9"/>
      <c r="AB1048" s="9"/>
      <c r="AC1048" s="9"/>
      <c r="AE1048" s="9"/>
    </row>
    <row r="1049" spans="1:31">
      <c r="A1049" s="389"/>
      <c r="B1049" s="9"/>
      <c r="C1049" s="9"/>
      <c r="D1049" s="9"/>
      <c r="E1049" s="9"/>
      <c r="G1049" s="9"/>
      <c r="I1049" s="9"/>
      <c r="M1049" s="9"/>
      <c r="N1049" s="9"/>
      <c r="O1049" s="9"/>
      <c r="Q1049" s="9"/>
      <c r="S1049" s="9"/>
      <c r="U1049" s="9"/>
      <c r="W1049" s="9"/>
      <c r="AA1049" s="9"/>
      <c r="AB1049" s="9"/>
      <c r="AC1049" s="9"/>
      <c r="AE1049" s="9"/>
    </row>
    <row r="1050" spans="1:31">
      <c r="A1050" s="389"/>
      <c r="B1050" s="9"/>
      <c r="C1050" s="9"/>
      <c r="D1050" s="9"/>
      <c r="E1050" s="9"/>
      <c r="G1050" s="9"/>
      <c r="I1050" s="9"/>
      <c r="M1050" s="9"/>
      <c r="N1050" s="9"/>
      <c r="O1050" s="9"/>
      <c r="Q1050" s="9"/>
      <c r="S1050" s="9"/>
      <c r="U1050" s="9"/>
      <c r="W1050" s="9"/>
      <c r="AA1050" s="9"/>
      <c r="AB1050" s="9"/>
      <c r="AC1050" s="9"/>
      <c r="AE1050" s="9"/>
    </row>
    <row r="1051" spans="1:31">
      <c r="A1051" s="389"/>
      <c r="B1051" s="9"/>
      <c r="C1051" s="9"/>
      <c r="D1051" s="9"/>
      <c r="E1051" s="9"/>
      <c r="G1051" s="9"/>
      <c r="I1051" s="9"/>
      <c r="M1051" s="9"/>
      <c r="N1051" s="9"/>
      <c r="O1051" s="9"/>
      <c r="Q1051" s="9"/>
      <c r="S1051" s="9"/>
      <c r="U1051" s="9"/>
      <c r="W1051" s="9"/>
      <c r="AA1051" s="9"/>
      <c r="AB1051" s="9"/>
      <c r="AC1051" s="9"/>
      <c r="AE1051" s="9"/>
    </row>
    <row r="1052" spans="1:31">
      <c r="A1052" s="389"/>
      <c r="B1052" s="9"/>
      <c r="C1052" s="9"/>
      <c r="D1052" s="9"/>
      <c r="E1052" s="9"/>
      <c r="G1052" s="9"/>
      <c r="I1052" s="9"/>
      <c r="M1052" s="9"/>
      <c r="N1052" s="9"/>
      <c r="O1052" s="9"/>
      <c r="Q1052" s="9"/>
      <c r="S1052" s="9"/>
      <c r="U1052" s="9"/>
      <c r="W1052" s="9"/>
      <c r="AA1052" s="9"/>
      <c r="AB1052" s="9"/>
      <c r="AC1052" s="9"/>
      <c r="AE1052" s="9"/>
    </row>
    <row r="1053" spans="1:31">
      <c r="A1053" s="389"/>
      <c r="B1053" s="9"/>
      <c r="C1053" s="9"/>
      <c r="D1053" s="9"/>
      <c r="E1053" s="9"/>
      <c r="G1053" s="9"/>
      <c r="I1053" s="9"/>
      <c r="M1053" s="9"/>
      <c r="N1053" s="9"/>
      <c r="O1053" s="9"/>
      <c r="Q1053" s="9"/>
      <c r="S1053" s="9"/>
      <c r="U1053" s="9"/>
      <c r="W1053" s="9"/>
      <c r="AA1053" s="9"/>
      <c r="AB1053" s="9"/>
      <c r="AC1053" s="9"/>
      <c r="AE1053" s="9"/>
    </row>
    <row r="1054" spans="1:31">
      <c r="A1054" s="389"/>
      <c r="B1054" s="9"/>
      <c r="C1054" s="9"/>
      <c r="D1054" s="9"/>
      <c r="E1054" s="9"/>
      <c r="G1054" s="9"/>
      <c r="I1054" s="9"/>
      <c r="M1054" s="9"/>
      <c r="N1054" s="9"/>
      <c r="O1054" s="9"/>
      <c r="Q1054" s="9"/>
      <c r="S1054" s="9"/>
      <c r="U1054" s="9"/>
      <c r="W1054" s="9"/>
      <c r="AA1054" s="9"/>
      <c r="AB1054" s="9"/>
      <c r="AC1054" s="9"/>
      <c r="AE1054" s="9"/>
    </row>
    <row r="1055" spans="1:31">
      <c r="A1055" s="389"/>
      <c r="B1055" s="9"/>
      <c r="C1055" s="9"/>
      <c r="D1055" s="9"/>
      <c r="E1055" s="9"/>
      <c r="G1055" s="9"/>
      <c r="I1055" s="9"/>
      <c r="M1055" s="9"/>
      <c r="N1055" s="9"/>
      <c r="O1055" s="9"/>
      <c r="Q1055" s="9"/>
      <c r="S1055" s="9"/>
      <c r="U1055" s="9"/>
      <c r="W1055" s="9"/>
      <c r="AA1055" s="9"/>
      <c r="AB1055" s="9"/>
      <c r="AC1055" s="9"/>
      <c r="AE1055" s="9"/>
    </row>
    <row r="1056" spans="1:31">
      <c r="A1056" s="389"/>
      <c r="B1056" s="9"/>
      <c r="C1056" s="9"/>
      <c r="D1056" s="9"/>
      <c r="E1056" s="9"/>
      <c r="G1056" s="9"/>
      <c r="I1056" s="9"/>
      <c r="M1056" s="9"/>
      <c r="N1056" s="9"/>
      <c r="O1056" s="9"/>
      <c r="Q1056" s="9"/>
      <c r="S1056" s="9"/>
      <c r="U1056" s="9"/>
      <c r="W1056" s="9"/>
      <c r="AA1056" s="9"/>
      <c r="AB1056" s="9"/>
      <c r="AC1056" s="9"/>
      <c r="AE1056" s="9"/>
    </row>
    <row r="1057" spans="1:31">
      <c r="A1057" s="389"/>
      <c r="B1057" s="9"/>
      <c r="C1057" s="9"/>
      <c r="D1057" s="9"/>
      <c r="E1057" s="9"/>
      <c r="G1057" s="9"/>
      <c r="I1057" s="9"/>
      <c r="M1057" s="9"/>
      <c r="N1057" s="9"/>
      <c r="O1057" s="9"/>
      <c r="Q1057" s="9"/>
      <c r="S1057" s="9"/>
      <c r="U1057" s="9"/>
      <c r="W1057" s="9"/>
      <c r="AA1057" s="9"/>
      <c r="AB1057" s="9"/>
      <c r="AC1057" s="9"/>
      <c r="AE1057" s="9"/>
    </row>
    <row r="1058" spans="1:31">
      <c r="A1058" s="389"/>
      <c r="B1058" s="9"/>
      <c r="C1058" s="9"/>
      <c r="D1058" s="9"/>
      <c r="E1058" s="9"/>
      <c r="G1058" s="9"/>
      <c r="I1058" s="9"/>
      <c r="M1058" s="9"/>
      <c r="N1058" s="9"/>
      <c r="O1058" s="9"/>
      <c r="Q1058" s="9"/>
      <c r="S1058" s="9"/>
      <c r="U1058" s="9"/>
      <c r="W1058" s="9"/>
      <c r="AA1058" s="9"/>
      <c r="AB1058" s="9"/>
      <c r="AC1058" s="9"/>
      <c r="AE1058" s="9"/>
    </row>
    <row r="1059" spans="1:31">
      <c r="A1059" s="389"/>
      <c r="B1059" s="9"/>
      <c r="C1059" s="9"/>
      <c r="D1059" s="9"/>
      <c r="E1059" s="9"/>
      <c r="G1059" s="9"/>
      <c r="I1059" s="9"/>
      <c r="M1059" s="9"/>
      <c r="N1059" s="9"/>
      <c r="O1059" s="9"/>
      <c r="Q1059" s="9"/>
      <c r="S1059" s="9"/>
      <c r="U1059" s="9"/>
      <c r="W1059" s="9"/>
      <c r="AA1059" s="9"/>
      <c r="AB1059" s="9"/>
      <c r="AC1059" s="9"/>
      <c r="AE1059" s="9"/>
    </row>
    <row r="1060" spans="1:31">
      <c r="A1060" s="389"/>
      <c r="B1060" s="9"/>
      <c r="C1060" s="9"/>
      <c r="D1060" s="9"/>
      <c r="E1060" s="9"/>
      <c r="G1060" s="9"/>
      <c r="I1060" s="9"/>
      <c r="M1060" s="9"/>
      <c r="N1060" s="9"/>
      <c r="O1060" s="9"/>
      <c r="Q1060" s="9"/>
      <c r="S1060" s="9"/>
      <c r="U1060" s="9"/>
      <c r="W1060" s="9"/>
      <c r="AA1060" s="9"/>
      <c r="AB1060" s="9"/>
      <c r="AC1060" s="9"/>
      <c r="AE1060" s="9"/>
    </row>
    <row r="1061" spans="1:31">
      <c r="A1061" s="389"/>
      <c r="B1061" s="9"/>
      <c r="C1061" s="9"/>
      <c r="D1061" s="9"/>
      <c r="E1061" s="9"/>
      <c r="G1061" s="9"/>
      <c r="I1061" s="9"/>
      <c r="M1061" s="9"/>
      <c r="N1061" s="9"/>
      <c r="O1061" s="9"/>
      <c r="Q1061" s="9"/>
      <c r="S1061" s="9"/>
      <c r="U1061" s="9"/>
      <c r="W1061" s="9"/>
      <c r="AA1061" s="9"/>
      <c r="AB1061" s="9"/>
      <c r="AC1061" s="9"/>
      <c r="AE1061" s="9"/>
    </row>
    <row r="1062" spans="1:31">
      <c r="A1062" s="389"/>
      <c r="B1062" s="9"/>
      <c r="C1062" s="9"/>
      <c r="D1062" s="9"/>
      <c r="E1062" s="9"/>
      <c r="G1062" s="9"/>
      <c r="I1062" s="9"/>
      <c r="M1062" s="9"/>
      <c r="N1062" s="9"/>
      <c r="O1062" s="9"/>
      <c r="Q1062" s="9"/>
      <c r="S1062" s="9"/>
      <c r="U1062" s="9"/>
      <c r="W1062" s="9"/>
      <c r="AA1062" s="9"/>
      <c r="AB1062" s="9"/>
      <c r="AC1062" s="9"/>
      <c r="AE1062" s="9"/>
    </row>
    <row r="1063" spans="1:31">
      <c r="A1063" s="389"/>
      <c r="B1063" s="9"/>
      <c r="C1063" s="9"/>
      <c r="D1063" s="9"/>
      <c r="E1063" s="9"/>
      <c r="G1063" s="9"/>
      <c r="I1063" s="9"/>
      <c r="M1063" s="9"/>
      <c r="N1063" s="9"/>
      <c r="O1063" s="9"/>
      <c r="Q1063" s="9"/>
      <c r="S1063" s="9"/>
      <c r="U1063" s="9"/>
      <c r="W1063" s="9"/>
      <c r="AA1063" s="9"/>
      <c r="AB1063" s="9"/>
      <c r="AC1063" s="9"/>
      <c r="AE1063" s="9"/>
    </row>
    <row r="1064" spans="1:31">
      <c r="A1064" s="389"/>
      <c r="B1064" s="9"/>
      <c r="C1064" s="9"/>
      <c r="D1064" s="9"/>
      <c r="E1064" s="9"/>
      <c r="G1064" s="9"/>
      <c r="I1064" s="9"/>
      <c r="M1064" s="9"/>
      <c r="N1064" s="9"/>
      <c r="O1064" s="9"/>
      <c r="Q1064" s="9"/>
      <c r="S1064" s="9"/>
      <c r="U1064" s="9"/>
      <c r="W1064" s="9"/>
      <c r="AA1064" s="9"/>
      <c r="AB1064" s="9"/>
      <c r="AC1064" s="9"/>
      <c r="AE1064" s="9"/>
    </row>
    <row r="1065" spans="1:31">
      <c r="A1065" s="389"/>
      <c r="B1065" s="9"/>
      <c r="C1065" s="9"/>
      <c r="D1065" s="9"/>
      <c r="E1065" s="9"/>
      <c r="G1065" s="9"/>
      <c r="I1065" s="9"/>
      <c r="M1065" s="9"/>
      <c r="N1065" s="9"/>
      <c r="O1065" s="9"/>
      <c r="Q1065" s="9"/>
      <c r="S1065" s="9"/>
      <c r="U1065" s="9"/>
      <c r="W1065" s="9"/>
      <c r="AA1065" s="9"/>
      <c r="AB1065" s="9"/>
      <c r="AC1065" s="9"/>
      <c r="AE1065" s="9"/>
    </row>
    <row r="1066" spans="1:31">
      <c r="A1066" s="389"/>
      <c r="B1066" s="9"/>
      <c r="C1066" s="9"/>
      <c r="D1066" s="9"/>
      <c r="E1066" s="9"/>
      <c r="G1066" s="9"/>
      <c r="I1066" s="9"/>
      <c r="M1066" s="9"/>
      <c r="N1066" s="9"/>
      <c r="O1066" s="9"/>
      <c r="Q1066" s="9"/>
      <c r="S1066" s="9"/>
      <c r="U1066" s="9"/>
      <c r="W1066" s="9"/>
      <c r="AA1066" s="9"/>
      <c r="AB1066" s="9"/>
      <c r="AC1066" s="9"/>
      <c r="AE1066" s="9"/>
    </row>
    <row r="1067" spans="1:31">
      <c r="A1067" s="389"/>
      <c r="B1067" s="9"/>
      <c r="C1067" s="9"/>
      <c r="D1067" s="9"/>
      <c r="E1067" s="9"/>
      <c r="G1067" s="9"/>
      <c r="I1067" s="9"/>
      <c r="M1067" s="9"/>
      <c r="N1067" s="9"/>
      <c r="O1067" s="9"/>
      <c r="Q1067" s="9"/>
      <c r="S1067" s="9"/>
      <c r="U1067" s="9"/>
      <c r="W1067" s="9"/>
      <c r="AA1067" s="9"/>
      <c r="AB1067" s="9"/>
      <c r="AC1067" s="9"/>
      <c r="AE1067" s="9"/>
    </row>
    <row r="1068" spans="1:31">
      <c r="A1068" s="389"/>
      <c r="B1068" s="9"/>
      <c r="C1068" s="9"/>
      <c r="D1068" s="9"/>
      <c r="E1068" s="9"/>
      <c r="G1068" s="9"/>
      <c r="I1068" s="9"/>
      <c r="M1068" s="9"/>
      <c r="N1068" s="9"/>
      <c r="O1068" s="9"/>
      <c r="Q1068" s="9"/>
      <c r="S1068" s="9"/>
      <c r="U1068" s="9"/>
      <c r="W1068" s="9"/>
      <c r="AA1068" s="9"/>
      <c r="AB1068" s="9"/>
      <c r="AC1068" s="9"/>
      <c r="AE1068" s="9"/>
    </row>
    <row r="1069" spans="1:31">
      <c r="A1069" s="389"/>
      <c r="B1069" s="9"/>
      <c r="C1069" s="9"/>
      <c r="D1069" s="9"/>
      <c r="E1069" s="9"/>
      <c r="G1069" s="9"/>
      <c r="I1069" s="9"/>
      <c r="M1069" s="9"/>
      <c r="N1069" s="9"/>
      <c r="O1069" s="9"/>
      <c r="Q1069" s="9"/>
      <c r="S1069" s="9"/>
      <c r="U1069" s="9"/>
      <c r="W1069" s="9"/>
      <c r="AA1069" s="9"/>
      <c r="AB1069" s="9"/>
      <c r="AC1069" s="9"/>
      <c r="AE1069" s="9"/>
    </row>
    <row r="1070" spans="1:31">
      <c r="A1070" s="389"/>
      <c r="B1070" s="9"/>
      <c r="C1070" s="9"/>
      <c r="D1070" s="9"/>
      <c r="E1070" s="9"/>
      <c r="G1070" s="9"/>
      <c r="I1070" s="9"/>
      <c r="M1070" s="9"/>
      <c r="N1070" s="9"/>
      <c r="O1070" s="9"/>
      <c r="Q1070" s="9"/>
      <c r="S1070" s="9"/>
      <c r="U1070" s="9"/>
      <c r="W1070" s="9"/>
      <c r="AA1070" s="9"/>
      <c r="AB1070" s="9"/>
      <c r="AC1070" s="9"/>
      <c r="AE1070" s="9"/>
    </row>
    <row r="1071" spans="1:31">
      <c r="A1071" s="389"/>
      <c r="B1071" s="9"/>
      <c r="C1071" s="9"/>
      <c r="D1071" s="9"/>
      <c r="E1071" s="9"/>
      <c r="G1071" s="9"/>
      <c r="I1071" s="9"/>
      <c r="M1071" s="9"/>
      <c r="N1071" s="9"/>
      <c r="O1071" s="9"/>
      <c r="Q1071" s="9"/>
      <c r="S1071" s="9"/>
      <c r="U1071" s="9"/>
      <c r="W1071" s="9"/>
      <c r="AA1071" s="9"/>
      <c r="AB1071" s="9"/>
      <c r="AC1071" s="9"/>
      <c r="AE1071" s="9"/>
    </row>
    <row r="1072" spans="1:31">
      <c r="A1072" s="389"/>
      <c r="B1072" s="9"/>
      <c r="C1072" s="9"/>
      <c r="D1072" s="9"/>
      <c r="E1072" s="9"/>
      <c r="G1072" s="9"/>
      <c r="I1072" s="9"/>
      <c r="M1072" s="9"/>
      <c r="N1072" s="9"/>
      <c r="O1072" s="9"/>
      <c r="Q1072" s="9"/>
      <c r="S1072" s="9"/>
      <c r="U1072" s="9"/>
      <c r="W1072" s="9"/>
      <c r="AA1072" s="9"/>
      <c r="AB1072" s="9"/>
      <c r="AC1072" s="9"/>
      <c r="AE1072" s="9"/>
    </row>
    <row r="1073" spans="1:31">
      <c r="A1073" s="389"/>
      <c r="B1073" s="9"/>
      <c r="C1073" s="9"/>
      <c r="D1073" s="9"/>
      <c r="E1073" s="9"/>
      <c r="G1073" s="9"/>
      <c r="I1073" s="9"/>
      <c r="M1073" s="9"/>
      <c r="N1073" s="9"/>
      <c r="O1073" s="9"/>
      <c r="Q1073" s="9"/>
      <c r="S1073" s="9"/>
      <c r="U1073" s="9"/>
      <c r="W1073" s="9"/>
      <c r="AA1073" s="9"/>
      <c r="AB1073" s="9"/>
      <c r="AC1073" s="9"/>
      <c r="AE1073" s="9"/>
    </row>
    <row r="1074" spans="1:31">
      <c r="A1074" s="389"/>
      <c r="B1074" s="9"/>
      <c r="C1074" s="9"/>
      <c r="D1074" s="9"/>
      <c r="E1074" s="9"/>
      <c r="G1074" s="9"/>
      <c r="I1074" s="9"/>
      <c r="M1074" s="9"/>
      <c r="N1074" s="9"/>
      <c r="O1074" s="9"/>
      <c r="Q1074" s="9"/>
      <c r="S1074" s="9"/>
      <c r="U1074" s="9"/>
      <c r="W1074" s="9"/>
      <c r="AA1074" s="9"/>
      <c r="AB1074" s="9"/>
      <c r="AC1074" s="9"/>
      <c r="AE1074" s="9"/>
    </row>
    <row r="1075" spans="1:31">
      <c r="A1075" s="389"/>
      <c r="B1075" s="9"/>
      <c r="C1075" s="9"/>
      <c r="D1075" s="9"/>
      <c r="E1075" s="9"/>
      <c r="G1075" s="9"/>
      <c r="I1075" s="9"/>
      <c r="M1075" s="9"/>
      <c r="N1075" s="9"/>
      <c r="O1075" s="9"/>
      <c r="Q1075" s="9"/>
      <c r="S1075" s="9"/>
      <c r="U1075" s="9"/>
      <c r="W1075" s="9"/>
      <c r="AA1075" s="9"/>
      <c r="AB1075" s="9"/>
      <c r="AC1075" s="9"/>
      <c r="AE1075" s="9"/>
    </row>
    <row r="1076" spans="1:31">
      <c r="A1076" s="389"/>
      <c r="B1076" s="9"/>
      <c r="C1076" s="9"/>
      <c r="D1076" s="9"/>
      <c r="E1076" s="9"/>
      <c r="G1076" s="9"/>
      <c r="I1076" s="9"/>
      <c r="M1076" s="9"/>
      <c r="N1076" s="9"/>
      <c r="O1076" s="9"/>
      <c r="Q1076" s="9"/>
      <c r="S1076" s="9"/>
      <c r="U1076" s="9"/>
      <c r="W1076" s="9"/>
      <c r="AA1076" s="9"/>
      <c r="AB1076" s="9"/>
      <c r="AC1076" s="9"/>
      <c r="AE1076" s="9"/>
    </row>
    <row r="1077" spans="1:31">
      <c r="A1077" s="389"/>
      <c r="B1077" s="9"/>
      <c r="C1077" s="9"/>
      <c r="D1077" s="9"/>
      <c r="E1077" s="9"/>
      <c r="G1077" s="9"/>
      <c r="I1077" s="9"/>
      <c r="M1077" s="9"/>
      <c r="N1077" s="9"/>
      <c r="O1077" s="9"/>
      <c r="Q1077" s="9"/>
      <c r="S1077" s="9"/>
      <c r="U1077" s="9"/>
      <c r="W1077" s="9"/>
      <c r="AA1077" s="9"/>
      <c r="AB1077" s="9"/>
      <c r="AC1077" s="9"/>
      <c r="AE1077" s="9"/>
    </row>
    <row r="1078" spans="1:31">
      <c r="A1078" s="389"/>
      <c r="B1078" s="9"/>
      <c r="C1078" s="9"/>
      <c r="D1078" s="9"/>
      <c r="E1078" s="9"/>
      <c r="G1078" s="9"/>
      <c r="I1078" s="9"/>
      <c r="M1078" s="9"/>
      <c r="N1078" s="9"/>
      <c r="O1078" s="9"/>
      <c r="Q1078" s="9"/>
      <c r="S1078" s="9"/>
      <c r="U1078" s="9"/>
      <c r="W1078" s="9"/>
      <c r="AA1078" s="9"/>
      <c r="AB1078" s="9"/>
      <c r="AC1078" s="9"/>
      <c r="AE1078" s="9"/>
    </row>
    <row r="1079" spans="1:31">
      <c r="A1079" s="389"/>
      <c r="B1079" s="9"/>
      <c r="C1079" s="9"/>
      <c r="D1079" s="9"/>
      <c r="E1079" s="9"/>
      <c r="G1079" s="9"/>
      <c r="I1079" s="9"/>
      <c r="M1079" s="9"/>
      <c r="N1079" s="9"/>
      <c r="O1079" s="9"/>
      <c r="Q1079" s="9"/>
      <c r="S1079" s="9"/>
      <c r="U1079" s="9"/>
      <c r="W1079" s="9"/>
      <c r="AA1079" s="9"/>
      <c r="AB1079" s="9"/>
      <c r="AC1079" s="9"/>
      <c r="AE1079" s="9"/>
    </row>
    <row r="1080" spans="1:31">
      <c r="A1080" s="389"/>
      <c r="B1080" s="9"/>
      <c r="C1080" s="9"/>
      <c r="D1080" s="9"/>
      <c r="E1080" s="9"/>
      <c r="G1080" s="9"/>
      <c r="I1080" s="9"/>
      <c r="M1080" s="9"/>
      <c r="N1080" s="9"/>
      <c r="O1080" s="9"/>
      <c r="Q1080" s="9"/>
      <c r="S1080" s="9"/>
      <c r="U1080" s="9"/>
      <c r="W1080" s="9"/>
      <c r="AA1080" s="9"/>
      <c r="AB1080" s="9"/>
      <c r="AC1080" s="9"/>
      <c r="AE1080" s="9"/>
    </row>
    <row r="1081" spans="1:31">
      <c r="A1081" s="389"/>
      <c r="B1081" s="9"/>
      <c r="C1081" s="9"/>
      <c r="D1081" s="9"/>
      <c r="E1081" s="9"/>
      <c r="G1081" s="9"/>
      <c r="I1081" s="9"/>
      <c r="M1081" s="9"/>
      <c r="N1081" s="9"/>
      <c r="O1081" s="9"/>
      <c r="Q1081" s="9"/>
      <c r="S1081" s="9"/>
      <c r="U1081" s="9"/>
      <c r="W1081" s="9"/>
      <c r="AA1081" s="9"/>
      <c r="AB1081" s="9"/>
      <c r="AC1081" s="9"/>
      <c r="AE1081" s="9"/>
    </row>
    <row r="1082" spans="1:31">
      <c r="A1082" s="389"/>
      <c r="B1082" s="9"/>
      <c r="C1082" s="9"/>
      <c r="D1082" s="9"/>
      <c r="E1082" s="9"/>
      <c r="G1082" s="9"/>
      <c r="I1082" s="9"/>
      <c r="M1082" s="9"/>
      <c r="N1082" s="9"/>
      <c r="O1082" s="9"/>
      <c r="Q1082" s="9"/>
      <c r="S1082" s="9"/>
      <c r="U1082" s="9"/>
      <c r="W1082" s="9"/>
      <c r="AA1082" s="9"/>
      <c r="AB1082" s="9"/>
      <c r="AC1082" s="9"/>
      <c r="AE1082" s="9"/>
    </row>
    <row r="1083" spans="1:31">
      <c r="A1083" s="389"/>
      <c r="B1083" s="9"/>
      <c r="C1083" s="9"/>
      <c r="D1083" s="9"/>
      <c r="E1083" s="9"/>
      <c r="G1083" s="9"/>
      <c r="I1083" s="9"/>
      <c r="M1083" s="9"/>
      <c r="N1083" s="9"/>
      <c r="O1083" s="9"/>
      <c r="Q1083" s="9"/>
      <c r="S1083" s="9"/>
      <c r="U1083" s="9"/>
      <c r="W1083" s="9"/>
      <c r="AA1083" s="9"/>
      <c r="AB1083" s="9"/>
      <c r="AC1083" s="9"/>
      <c r="AE1083" s="9"/>
    </row>
    <row r="1084" spans="1:31">
      <c r="A1084" s="389"/>
      <c r="B1084" s="9"/>
      <c r="C1084" s="9"/>
      <c r="D1084" s="9"/>
      <c r="E1084" s="9"/>
      <c r="G1084" s="9"/>
      <c r="I1084" s="9"/>
      <c r="M1084" s="9"/>
      <c r="N1084" s="9"/>
      <c r="O1084" s="9"/>
      <c r="Q1084" s="9"/>
      <c r="S1084" s="9"/>
      <c r="U1084" s="9"/>
      <c r="W1084" s="9"/>
      <c r="AA1084" s="9"/>
      <c r="AB1084" s="9"/>
      <c r="AC1084" s="9"/>
      <c r="AE1084" s="9"/>
    </row>
    <row r="1085" spans="1:31">
      <c r="A1085" s="389"/>
      <c r="B1085" s="9"/>
      <c r="C1085" s="9"/>
      <c r="D1085" s="9"/>
      <c r="E1085" s="9"/>
      <c r="G1085" s="9"/>
      <c r="I1085" s="9"/>
      <c r="M1085" s="9"/>
      <c r="N1085" s="9"/>
      <c r="O1085" s="9"/>
      <c r="Q1085" s="9"/>
      <c r="S1085" s="9"/>
      <c r="U1085" s="9"/>
      <c r="W1085" s="9"/>
      <c r="AA1085" s="9"/>
      <c r="AB1085" s="9"/>
      <c r="AC1085" s="9"/>
      <c r="AE1085" s="9"/>
    </row>
    <row r="1086" spans="1:31">
      <c r="A1086" s="389"/>
      <c r="B1086" s="9"/>
      <c r="C1086" s="9"/>
      <c r="D1086" s="9"/>
      <c r="E1086" s="9"/>
      <c r="G1086" s="9"/>
      <c r="I1086" s="9"/>
      <c r="M1086" s="9"/>
      <c r="N1086" s="9"/>
      <c r="O1086" s="9"/>
      <c r="Q1086" s="9"/>
      <c r="S1086" s="9"/>
      <c r="U1086" s="9"/>
      <c r="W1086" s="9"/>
      <c r="AA1086" s="9"/>
      <c r="AB1086" s="9"/>
      <c r="AC1086" s="9"/>
      <c r="AE1086" s="9"/>
    </row>
    <row r="1087" spans="1:31">
      <c r="A1087" s="389"/>
      <c r="B1087" s="9"/>
      <c r="C1087" s="9"/>
      <c r="D1087" s="9"/>
      <c r="E1087" s="9"/>
      <c r="G1087" s="9"/>
      <c r="I1087" s="9"/>
      <c r="M1087" s="9"/>
      <c r="N1087" s="9"/>
      <c r="O1087" s="9"/>
      <c r="Q1087" s="9"/>
      <c r="S1087" s="9"/>
      <c r="U1087" s="9"/>
      <c r="W1087" s="9"/>
      <c r="AA1087" s="9"/>
      <c r="AB1087" s="9"/>
      <c r="AC1087" s="9"/>
      <c r="AE1087" s="9"/>
    </row>
    <row r="1088" spans="1:31">
      <c r="A1088" s="389"/>
      <c r="B1088" s="9"/>
      <c r="C1088" s="9"/>
      <c r="D1088" s="9"/>
      <c r="E1088" s="9"/>
      <c r="G1088" s="9"/>
      <c r="I1088" s="9"/>
      <c r="M1088" s="9"/>
      <c r="N1088" s="9"/>
      <c r="O1088" s="9"/>
      <c r="Q1088" s="9"/>
      <c r="S1088" s="9"/>
      <c r="U1088" s="9"/>
      <c r="W1088" s="9"/>
      <c r="AA1088" s="9"/>
      <c r="AB1088" s="9"/>
      <c r="AC1088" s="9"/>
      <c r="AE1088" s="9"/>
    </row>
    <row r="1089" spans="1:31">
      <c r="A1089" s="389"/>
      <c r="B1089" s="9"/>
      <c r="C1089" s="9"/>
      <c r="D1089" s="9"/>
      <c r="E1089" s="9"/>
      <c r="G1089" s="9"/>
      <c r="I1089" s="9"/>
      <c r="M1089" s="9"/>
      <c r="N1089" s="9"/>
      <c r="O1089" s="9"/>
      <c r="Q1089" s="9"/>
      <c r="S1089" s="9"/>
      <c r="U1089" s="9"/>
      <c r="W1089" s="9"/>
      <c r="AA1089" s="9"/>
      <c r="AB1089" s="9"/>
      <c r="AC1089" s="9"/>
      <c r="AE1089" s="9"/>
    </row>
    <row r="1090" spans="1:31">
      <c r="A1090" s="389"/>
      <c r="B1090" s="9"/>
      <c r="C1090" s="9"/>
      <c r="D1090" s="9"/>
      <c r="E1090" s="9"/>
      <c r="G1090" s="9"/>
      <c r="I1090" s="9"/>
      <c r="M1090" s="9"/>
      <c r="N1090" s="9"/>
      <c r="O1090" s="9"/>
      <c r="Q1090" s="9"/>
      <c r="S1090" s="9"/>
      <c r="U1090" s="9"/>
      <c r="W1090" s="9"/>
      <c r="AA1090" s="9"/>
      <c r="AB1090" s="9"/>
      <c r="AC1090" s="9"/>
      <c r="AE1090" s="9"/>
    </row>
    <row r="1091" spans="1:31">
      <c r="A1091" s="389"/>
      <c r="B1091" s="9"/>
      <c r="C1091" s="9"/>
      <c r="D1091" s="9"/>
      <c r="E1091" s="9"/>
      <c r="G1091" s="9"/>
      <c r="I1091" s="9"/>
      <c r="M1091" s="9"/>
      <c r="N1091" s="9"/>
      <c r="O1091" s="9"/>
      <c r="Q1091" s="9"/>
      <c r="S1091" s="9"/>
      <c r="U1091" s="9"/>
      <c r="W1091" s="9"/>
      <c r="AA1091" s="9"/>
      <c r="AB1091" s="9"/>
      <c r="AC1091" s="9"/>
      <c r="AE1091" s="9"/>
    </row>
    <row r="1092" spans="1:31">
      <c r="A1092" s="389"/>
      <c r="B1092" s="9"/>
      <c r="C1092" s="9"/>
      <c r="D1092" s="9"/>
      <c r="E1092" s="9"/>
      <c r="G1092" s="9"/>
      <c r="I1092" s="9"/>
      <c r="M1092" s="9"/>
      <c r="N1092" s="9"/>
      <c r="O1092" s="9"/>
      <c r="Q1092" s="9"/>
      <c r="S1092" s="9"/>
      <c r="U1092" s="9"/>
      <c r="W1092" s="9"/>
      <c r="AA1092" s="9"/>
      <c r="AB1092" s="9"/>
      <c r="AC1092" s="9"/>
      <c r="AE1092" s="9"/>
    </row>
    <row r="1093" spans="1:31">
      <c r="A1093" s="389"/>
      <c r="B1093" s="9"/>
      <c r="C1093" s="9"/>
      <c r="D1093" s="9"/>
      <c r="E1093" s="9"/>
      <c r="G1093" s="9"/>
      <c r="I1093" s="9"/>
      <c r="M1093" s="9"/>
      <c r="N1093" s="9"/>
      <c r="O1093" s="9"/>
      <c r="Q1093" s="9"/>
      <c r="S1093" s="9"/>
      <c r="U1093" s="9"/>
      <c r="W1093" s="9"/>
      <c r="AA1093" s="9"/>
      <c r="AB1093" s="9"/>
      <c r="AC1093" s="9"/>
      <c r="AE1093" s="9"/>
    </row>
    <row r="1094" spans="1:31">
      <c r="A1094" s="389"/>
      <c r="B1094" s="9"/>
      <c r="C1094" s="9"/>
      <c r="D1094" s="9"/>
      <c r="E1094" s="9"/>
      <c r="G1094" s="9"/>
      <c r="I1094" s="9"/>
      <c r="M1094" s="9"/>
      <c r="N1094" s="9"/>
      <c r="O1094" s="9"/>
      <c r="Q1094" s="9"/>
      <c r="S1094" s="9"/>
      <c r="U1094" s="9"/>
      <c r="W1094" s="9"/>
      <c r="AA1094" s="9"/>
      <c r="AB1094" s="9"/>
      <c r="AC1094" s="9"/>
      <c r="AE1094" s="9"/>
    </row>
    <row r="1095" spans="1:31">
      <c r="A1095" s="389"/>
      <c r="B1095" s="9"/>
      <c r="C1095" s="9"/>
      <c r="D1095" s="9"/>
      <c r="E1095" s="9"/>
      <c r="G1095" s="9"/>
      <c r="I1095" s="9"/>
      <c r="M1095" s="9"/>
      <c r="N1095" s="9"/>
      <c r="O1095" s="9"/>
      <c r="Q1095" s="9"/>
      <c r="S1095" s="9"/>
      <c r="U1095" s="9"/>
      <c r="W1095" s="9"/>
      <c r="AA1095" s="9"/>
      <c r="AB1095" s="9"/>
      <c r="AC1095" s="9"/>
      <c r="AE1095" s="9"/>
    </row>
    <row r="1096" spans="1:31">
      <c r="A1096" s="389"/>
      <c r="B1096" s="9"/>
      <c r="C1096" s="9"/>
      <c r="D1096" s="9"/>
      <c r="E1096" s="9"/>
      <c r="G1096" s="9"/>
      <c r="I1096" s="9"/>
      <c r="M1096" s="9"/>
      <c r="N1096" s="9"/>
      <c r="O1096" s="9"/>
      <c r="Q1096" s="9"/>
      <c r="S1096" s="9"/>
      <c r="U1096" s="9"/>
      <c r="W1096" s="9"/>
      <c r="AA1096" s="9"/>
      <c r="AB1096" s="9"/>
      <c r="AC1096" s="9"/>
      <c r="AE1096" s="9"/>
    </row>
    <row r="1097" spans="1:31">
      <c r="A1097" s="389"/>
      <c r="B1097" s="9"/>
      <c r="C1097" s="9"/>
      <c r="D1097" s="9"/>
      <c r="E1097" s="9"/>
      <c r="G1097" s="9"/>
      <c r="I1097" s="9"/>
      <c r="M1097" s="9"/>
      <c r="N1097" s="9"/>
      <c r="O1097" s="9"/>
      <c r="Q1097" s="9"/>
      <c r="S1097" s="9"/>
      <c r="U1097" s="9"/>
      <c r="W1097" s="9"/>
      <c r="AA1097" s="9"/>
      <c r="AB1097" s="9"/>
      <c r="AC1097" s="9"/>
      <c r="AE1097" s="9"/>
    </row>
    <row r="1098" spans="1:31">
      <c r="A1098" s="389"/>
      <c r="B1098" s="9"/>
      <c r="C1098" s="9"/>
      <c r="D1098" s="9"/>
      <c r="E1098" s="9"/>
      <c r="G1098" s="9"/>
      <c r="I1098" s="9"/>
      <c r="M1098" s="9"/>
      <c r="N1098" s="9"/>
      <c r="O1098" s="9"/>
      <c r="Q1098" s="9"/>
      <c r="S1098" s="9"/>
      <c r="U1098" s="9"/>
      <c r="W1098" s="9"/>
      <c r="AA1098" s="9"/>
      <c r="AB1098" s="9"/>
      <c r="AC1098" s="9"/>
      <c r="AE1098" s="9"/>
    </row>
    <row r="1099" spans="1:31">
      <c r="A1099" s="389"/>
      <c r="B1099" s="9"/>
      <c r="C1099" s="9"/>
      <c r="D1099" s="9"/>
      <c r="E1099" s="9"/>
      <c r="G1099" s="9"/>
      <c r="I1099" s="9"/>
      <c r="M1099" s="9"/>
      <c r="N1099" s="9"/>
      <c r="O1099" s="9"/>
      <c r="Q1099" s="9"/>
      <c r="S1099" s="9"/>
      <c r="U1099" s="9"/>
      <c r="W1099" s="9"/>
      <c r="AA1099" s="9"/>
      <c r="AB1099" s="9"/>
      <c r="AC1099" s="9"/>
      <c r="AE1099" s="9"/>
    </row>
    <row r="1100" spans="1:31">
      <c r="A1100" s="389"/>
      <c r="B1100" s="9"/>
      <c r="C1100" s="9"/>
      <c r="D1100" s="9"/>
      <c r="E1100" s="9"/>
      <c r="G1100" s="9"/>
      <c r="I1100" s="9"/>
      <c r="M1100" s="9"/>
      <c r="N1100" s="9"/>
      <c r="O1100" s="9"/>
      <c r="Q1100" s="9"/>
      <c r="S1100" s="9"/>
      <c r="U1100" s="9"/>
      <c r="W1100" s="9"/>
      <c r="AA1100" s="9"/>
      <c r="AB1100" s="9"/>
      <c r="AC1100" s="9"/>
      <c r="AE1100" s="9"/>
    </row>
    <row r="1101" spans="1:31">
      <c r="A1101" s="389"/>
      <c r="B1101" s="9"/>
      <c r="C1101" s="9"/>
      <c r="D1101" s="9"/>
      <c r="E1101" s="9"/>
      <c r="G1101" s="9"/>
      <c r="I1101" s="9"/>
      <c r="M1101" s="9"/>
      <c r="N1101" s="9"/>
      <c r="O1101" s="9"/>
      <c r="Q1101" s="9"/>
      <c r="S1101" s="9"/>
      <c r="U1101" s="9"/>
      <c r="W1101" s="9"/>
      <c r="AA1101" s="9"/>
      <c r="AB1101" s="9"/>
      <c r="AC1101" s="9"/>
      <c r="AE1101" s="9"/>
    </row>
    <row r="1102" spans="1:31">
      <c r="A1102" s="389"/>
      <c r="B1102" s="9"/>
      <c r="C1102" s="9"/>
      <c r="D1102" s="9"/>
      <c r="E1102" s="9"/>
      <c r="G1102" s="9"/>
      <c r="I1102" s="9"/>
      <c r="M1102" s="9"/>
      <c r="N1102" s="9"/>
      <c r="O1102" s="9"/>
      <c r="Q1102" s="9"/>
      <c r="S1102" s="9"/>
      <c r="U1102" s="9"/>
      <c r="W1102" s="9"/>
      <c r="AA1102" s="9"/>
      <c r="AB1102" s="9"/>
      <c r="AC1102" s="9"/>
      <c r="AE1102" s="9"/>
    </row>
    <row r="1103" spans="1:31">
      <c r="A1103" s="389"/>
      <c r="B1103" s="9"/>
      <c r="C1103" s="9"/>
      <c r="D1103" s="9"/>
      <c r="E1103" s="9"/>
      <c r="G1103" s="9"/>
      <c r="I1103" s="9"/>
      <c r="M1103" s="9"/>
      <c r="N1103" s="9"/>
      <c r="O1103" s="9"/>
      <c r="Q1103" s="9"/>
      <c r="S1103" s="9"/>
      <c r="U1103" s="9"/>
      <c r="W1103" s="9"/>
      <c r="AA1103" s="9"/>
      <c r="AB1103" s="9"/>
      <c r="AC1103" s="9"/>
      <c r="AE1103" s="9"/>
    </row>
    <row r="1104" spans="1:31">
      <c r="A1104" s="389"/>
      <c r="B1104" s="9"/>
      <c r="C1104" s="9"/>
      <c r="D1104" s="9"/>
      <c r="E1104" s="9"/>
      <c r="G1104" s="9"/>
      <c r="I1104" s="9"/>
      <c r="M1104" s="9"/>
      <c r="N1104" s="9"/>
      <c r="O1104" s="9"/>
      <c r="Q1104" s="9"/>
      <c r="S1104" s="9"/>
      <c r="U1104" s="9"/>
      <c r="W1104" s="9"/>
      <c r="AA1104" s="9"/>
      <c r="AB1104" s="9"/>
      <c r="AC1104" s="9"/>
      <c r="AE1104" s="9"/>
    </row>
    <row r="1105" spans="1:31">
      <c r="A1105" s="389"/>
      <c r="B1105" s="9"/>
      <c r="C1105" s="9"/>
      <c r="D1105" s="9"/>
      <c r="E1105" s="9"/>
      <c r="G1105" s="9"/>
      <c r="I1105" s="9"/>
      <c r="M1105" s="9"/>
      <c r="N1105" s="9"/>
      <c r="O1105" s="9"/>
      <c r="Q1105" s="9"/>
      <c r="S1105" s="9"/>
      <c r="U1105" s="9"/>
      <c r="W1105" s="9"/>
      <c r="AA1105" s="9"/>
      <c r="AB1105" s="9"/>
      <c r="AC1105" s="9"/>
      <c r="AE1105" s="9"/>
    </row>
    <row r="1106" spans="1:31">
      <c r="A1106" s="389"/>
      <c r="B1106" s="9"/>
      <c r="C1106" s="9"/>
      <c r="D1106" s="9"/>
      <c r="E1106" s="9"/>
      <c r="G1106" s="9"/>
      <c r="I1106" s="9"/>
      <c r="M1106" s="9"/>
      <c r="N1106" s="9"/>
      <c r="O1106" s="9"/>
      <c r="Q1106" s="9"/>
      <c r="S1106" s="9"/>
      <c r="U1106" s="9"/>
      <c r="W1106" s="9"/>
      <c r="AA1106" s="9"/>
      <c r="AB1106" s="9"/>
      <c r="AC1106" s="9"/>
      <c r="AE1106" s="9"/>
    </row>
    <row r="1107" spans="1:31">
      <c r="A1107" s="389"/>
      <c r="B1107" s="9"/>
      <c r="C1107" s="9"/>
      <c r="D1107" s="9"/>
      <c r="E1107" s="9"/>
      <c r="G1107" s="9"/>
      <c r="I1107" s="9"/>
      <c r="M1107" s="9"/>
      <c r="N1107" s="9"/>
      <c r="O1107" s="9"/>
      <c r="Q1107" s="9"/>
      <c r="S1107" s="9"/>
      <c r="U1107" s="9"/>
      <c r="W1107" s="9"/>
      <c r="AA1107" s="9"/>
      <c r="AB1107" s="9"/>
      <c r="AC1107" s="9"/>
      <c r="AE1107" s="9"/>
    </row>
    <row r="1108" spans="1:31">
      <c r="A1108" s="389"/>
      <c r="B1108" s="9"/>
      <c r="C1108" s="9"/>
      <c r="D1108" s="9"/>
      <c r="E1108" s="9"/>
      <c r="G1108" s="9"/>
      <c r="I1108" s="9"/>
      <c r="M1108" s="9"/>
      <c r="N1108" s="9"/>
      <c r="O1108" s="9"/>
      <c r="Q1108" s="9"/>
      <c r="S1108" s="9"/>
      <c r="U1108" s="9"/>
      <c r="W1108" s="9"/>
      <c r="AA1108" s="9"/>
      <c r="AB1108" s="9"/>
      <c r="AC1108" s="9"/>
      <c r="AE1108" s="9"/>
    </row>
    <row r="1109" spans="1:31">
      <c r="A1109" s="389"/>
      <c r="B1109" s="9"/>
      <c r="C1109" s="9"/>
      <c r="D1109" s="9"/>
      <c r="E1109" s="9"/>
      <c r="G1109" s="9"/>
      <c r="I1109" s="9"/>
      <c r="M1109" s="9"/>
      <c r="N1109" s="9"/>
      <c r="O1109" s="9"/>
      <c r="Q1109" s="9"/>
      <c r="S1109" s="9"/>
      <c r="U1109" s="9"/>
      <c r="W1109" s="9"/>
      <c r="AA1109" s="9"/>
      <c r="AB1109" s="9"/>
      <c r="AC1109" s="9"/>
      <c r="AE1109" s="9"/>
    </row>
    <row r="1110" spans="1:31">
      <c r="A1110" s="389"/>
      <c r="B1110" s="9"/>
      <c r="C1110" s="9"/>
      <c r="D1110" s="9"/>
      <c r="E1110" s="9"/>
      <c r="G1110" s="9"/>
      <c r="I1110" s="9"/>
      <c r="M1110" s="9"/>
      <c r="N1110" s="9"/>
      <c r="O1110" s="9"/>
      <c r="Q1110" s="9"/>
      <c r="S1110" s="9"/>
      <c r="U1110" s="9"/>
      <c r="W1110" s="9"/>
      <c r="AA1110" s="9"/>
      <c r="AB1110" s="9"/>
      <c r="AC1110" s="9"/>
      <c r="AE1110" s="9"/>
    </row>
    <row r="1111" spans="1:31">
      <c r="A1111" s="389"/>
      <c r="B1111" s="9"/>
      <c r="C1111" s="9"/>
      <c r="D1111" s="9"/>
      <c r="E1111" s="9"/>
      <c r="G1111" s="9"/>
      <c r="I1111" s="9"/>
      <c r="M1111" s="9"/>
      <c r="N1111" s="9"/>
      <c r="O1111" s="9"/>
      <c r="Q1111" s="9"/>
      <c r="S1111" s="9"/>
      <c r="U1111" s="9"/>
      <c r="W1111" s="9"/>
      <c r="AA1111" s="9"/>
      <c r="AB1111" s="9"/>
      <c r="AC1111" s="9"/>
      <c r="AE1111" s="9"/>
    </row>
    <row r="1112" spans="1:31">
      <c r="A1112" s="389"/>
      <c r="B1112" s="9"/>
      <c r="C1112" s="9"/>
      <c r="D1112" s="9"/>
      <c r="E1112" s="9"/>
      <c r="G1112" s="9"/>
      <c r="I1112" s="9"/>
      <c r="M1112" s="9"/>
      <c r="N1112" s="9"/>
      <c r="O1112" s="9"/>
      <c r="Q1112" s="9"/>
      <c r="S1112" s="9"/>
      <c r="U1112" s="9"/>
      <c r="W1112" s="9"/>
      <c r="AA1112" s="9"/>
      <c r="AB1112" s="9"/>
      <c r="AC1112" s="9"/>
      <c r="AE1112" s="9"/>
    </row>
    <row r="1113" spans="1:31">
      <c r="A1113" s="389"/>
      <c r="B1113" s="9"/>
      <c r="C1113" s="9"/>
      <c r="D1113" s="9"/>
      <c r="E1113" s="9"/>
      <c r="G1113" s="9"/>
      <c r="I1113" s="9"/>
      <c r="M1113" s="9"/>
      <c r="N1113" s="9"/>
      <c r="O1113" s="9"/>
      <c r="Q1113" s="9"/>
      <c r="S1113" s="9"/>
      <c r="U1113" s="9"/>
      <c r="W1113" s="9"/>
      <c r="AA1113" s="9"/>
      <c r="AB1113" s="9"/>
      <c r="AC1113" s="9"/>
      <c r="AE1113" s="9"/>
    </row>
    <row r="1114" spans="1:31">
      <c r="A1114" s="389"/>
      <c r="B1114" s="9"/>
      <c r="C1114" s="9"/>
      <c r="D1114" s="9"/>
      <c r="E1114" s="9"/>
      <c r="G1114" s="9"/>
      <c r="I1114" s="9"/>
      <c r="M1114" s="9"/>
      <c r="N1114" s="9"/>
      <c r="O1114" s="9"/>
      <c r="Q1114" s="9"/>
      <c r="S1114" s="9"/>
      <c r="U1114" s="9"/>
      <c r="W1114" s="9"/>
      <c r="AA1114" s="9"/>
      <c r="AB1114" s="9"/>
      <c r="AC1114" s="9"/>
      <c r="AE1114" s="9"/>
    </row>
    <row r="1115" spans="1:31">
      <c r="A1115" s="389"/>
      <c r="B1115" s="9"/>
      <c r="C1115" s="9"/>
      <c r="D1115" s="9"/>
      <c r="E1115" s="9"/>
      <c r="G1115" s="9"/>
      <c r="I1115" s="9"/>
      <c r="M1115" s="9"/>
      <c r="N1115" s="9"/>
      <c r="O1115" s="9"/>
      <c r="Q1115" s="9"/>
      <c r="S1115" s="9"/>
      <c r="U1115" s="9"/>
      <c r="W1115" s="9"/>
      <c r="AA1115" s="9"/>
      <c r="AB1115" s="9"/>
      <c r="AC1115" s="9"/>
      <c r="AE1115" s="9"/>
    </row>
    <row r="1116" spans="1:31">
      <c r="A1116" s="389"/>
      <c r="B1116" s="9"/>
      <c r="C1116" s="9"/>
      <c r="D1116" s="9"/>
      <c r="E1116" s="9"/>
      <c r="G1116" s="9"/>
      <c r="I1116" s="9"/>
      <c r="M1116" s="9"/>
      <c r="N1116" s="9"/>
      <c r="O1116" s="9"/>
      <c r="Q1116" s="9"/>
      <c r="S1116" s="9"/>
      <c r="U1116" s="9"/>
      <c r="W1116" s="9"/>
      <c r="AA1116" s="9"/>
      <c r="AB1116" s="9"/>
      <c r="AC1116" s="9"/>
      <c r="AE1116" s="9"/>
    </row>
    <row r="1117" spans="1:31">
      <c r="A1117" s="389"/>
      <c r="B1117" s="9"/>
      <c r="C1117" s="9"/>
      <c r="D1117" s="9"/>
      <c r="E1117" s="9"/>
      <c r="G1117" s="9"/>
      <c r="I1117" s="9"/>
      <c r="M1117" s="9"/>
      <c r="N1117" s="9"/>
      <c r="O1117" s="9"/>
      <c r="Q1117" s="9"/>
      <c r="S1117" s="9"/>
      <c r="U1117" s="9"/>
      <c r="W1117" s="9"/>
      <c r="AA1117" s="9"/>
      <c r="AB1117" s="9"/>
      <c r="AC1117" s="9"/>
      <c r="AE1117" s="9"/>
    </row>
    <row r="1118" spans="1:31">
      <c r="A1118" s="389"/>
      <c r="B1118" s="9"/>
      <c r="C1118" s="9"/>
      <c r="D1118" s="9"/>
      <c r="E1118" s="9"/>
      <c r="G1118" s="9"/>
      <c r="I1118" s="9"/>
      <c r="M1118" s="9"/>
      <c r="N1118" s="9"/>
      <c r="O1118" s="9"/>
      <c r="Q1118" s="9"/>
      <c r="S1118" s="9"/>
      <c r="U1118" s="9"/>
      <c r="W1118" s="9"/>
      <c r="AA1118" s="9"/>
      <c r="AB1118" s="9"/>
      <c r="AC1118" s="9"/>
      <c r="AE1118" s="9"/>
    </row>
    <row r="1119" spans="1:31">
      <c r="A1119" s="389"/>
      <c r="B1119" s="9"/>
      <c r="C1119" s="9"/>
      <c r="D1119" s="9"/>
      <c r="E1119" s="9"/>
      <c r="G1119" s="9"/>
      <c r="I1119" s="9"/>
      <c r="M1119" s="9"/>
      <c r="N1119" s="9"/>
      <c r="O1119" s="9"/>
      <c r="Q1119" s="9"/>
      <c r="S1119" s="9"/>
      <c r="U1119" s="9"/>
      <c r="W1119" s="9"/>
      <c r="AA1119" s="9"/>
      <c r="AB1119" s="9"/>
      <c r="AC1119" s="9"/>
      <c r="AE1119" s="9"/>
    </row>
    <row r="1120" spans="1:31">
      <c r="A1120" s="389"/>
      <c r="B1120" s="9"/>
      <c r="C1120" s="9"/>
      <c r="D1120" s="9"/>
      <c r="E1120" s="9"/>
      <c r="G1120" s="9"/>
      <c r="I1120" s="9"/>
      <c r="M1120" s="9"/>
      <c r="N1120" s="9"/>
      <c r="O1120" s="9"/>
      <c r="Q1120" s="9"/>
      <c r="S1120" s="9"/>
      <c r="U1120" s="9"/>
      <c r="W1120" s="9"/>
      <c r="AA1120" s="9"/>
      <c r="AB1120" s="9"/>
      <c r="AC1120" s="9"/>
      <c r="AE1120" s="9"/>
    </row>
    <row r="1121" spans="1:31">
      <c r="A1121" s="389"/>
      <c r="B1121" s="9"/>
      <c r="C1121" s="9"/>
      <c r="D1121" s="9"/>
      <c r="E1121" s="9"/>
      <c r="G1121" s="9"/>
      <c r="I1121" s="9"/>
      <c r="M1121" s="9"/>
      <c r="N1121" s="9"/>
      <c r="O1121" s="9"/>
      <c r="Q1121" s="9"/>
      <c r="S1121" s="9"/>
      <c r="U1121" s="9"/>
      <c r="W1121" s="9"/>
      <c r="AA1121" s="9"/>
      <c r="AB1121" s="9"/>
      <c r="AC1121" s="9"/>
      <c r="AE1121" s="9"/>
    </row>
    <row r="1122" spans="1:31">
      <c r="A1122" s="389"/>
      <c r="B1122" s="9"/>
      <c r="C1122" s="9"/>
      <c r="D1122" s="9"/>
      <c r="E1122" s="9"/>
      <c r="G1122" s="9"/>
      <c r="I1122" s="9"/>
      <c r="M1122" s="9"/>
      <c r="N1122" s="9"/>
      <c r="O1122" s="9"/>
      <c r="Q1122" s="9"/>
      <c r="S1122" s="9"/>
      <c r="U1122" s="9"/>
      <c r="W1122" s="9"/>
      <c r="AA1122" s="9"/>
      <c r="AB1122" s="9"/>
      <c r="AC1122" s="9"/>
      <c r="AE1122" s="9"/>
    </row>
    <row r="1123" spans="1:31">
      <c r="A1123" s="389"/>
      <c r="B1123" s="9"/>
      <c r="C1123" s="9"/>
      <c r="D1123" s="9"/>
      <c r="E1123" s="9"/>
      <c r="G1123" s="9"/>
      <c r="I1123" s="9"/>
      <c r="M1123" s="9"/>
      <c r="N1123" s="9"/>
      <c r="O1123" s="9"/>
      <c r="Q1123" s="9"/>
      <c r="S1123" s="9"/>
      <c r="U1123" s="9"/>
      <c r="W1123" s="9"/>
      <c r="AA1123" s="9"/>
      <c r="AB1123" s="9"/>
      <c r="AC1123" s="9"/>
      <c r="AE1123" s="9"/>
    </row>
    <row r="1124" spans="1:31">
      <c r="A1124" s="389"/>
      <c r="B1124" s="9"/>
      <c r="C1124" s="9"/>
      <c r="D1124" s="9"/>
      <c r="E1124" s="9"/>
      <c r="G1124" s="9"/>
      <c r="I1124" s="9"/>
      <c r="M1124" s="9"/>
      <c r="N1124" s="9"/>
      <c r="O1124" s="9"/>
      <c r="Q1124" s="9"/>
      <c r="S1124" s="9"/>
      <c r="U1124" s="9"/>
      <c r="W1124" s="9"/>
      <c r="AA1124" s="9"/>
      <c r="AB1124" s="9"/>
      <c r="AC1124" s="9"/>
      <c r="AE1124" s="9"/>
    </row>
    <row r="1125" spans="1:31">
      <c r="A1125" s="389"/>
      <c r="B1125" s="9"/>
      <c r="C1125" s="9"/>
      <c r="D1125" s="9"/>
      <c r="E1125" s="9"/>
      <c r="G1125" s="9"/>
      <c r="I1125" s="9"/>
      <c r="M1125" s="9"/>
      <c r="N1125" s="9"/>
      <c r="O1125" s="9"/>
      <c r="Q1125" s="9"/>
      <c r="S1125" s="9"/>
      <c r="U1125" s="9"/>
      <c r="W1125" s="9"/>
      <c r="AA1125" s="9"/>
      <c r="AB1125" s="9"/>
      <c r="AC1125" s="9"/>
      <c r="AE1125" s="9"/>
    </row>
    <row r="1126" spans="1:31">
      <c r="A1126" s="389"/>
      <c r="B1126" s="9"/>
      <c r="C1126" s="9"/>
      <c r="D1126" s="9"/>
      <c r="E1126" s="9"/>
      <c r="G1126" s="9"/>
      <c r="I1126" s="9"/>
      <c r="M1126" s="9"/>
      <c r="N1126" s="9"/>
      <c r="O1126" s="9"/>
      <c r="Q1126" s="9"/>
      <c r="S1126" s="9"/>
      <c r="U1126" s="9"/>
      <c r="W1126" s="9"/>
      <c r="AA1126" s="9"/>
      <c r="AB1126" s="9"/>
      <c r="AC1126" s="9"/>
      <c r="AE1126" s="9"/>
    </row>
    <row r="1127" spans="1:31">
      <c r="A1127" s="389"/>
      <c r="B1127" s="9"/>
      <c r="C1127" s="9"/>
      <c r="D1127" s="9"/>
      <c r="E1127" s="9"/>
      <c r="G1127" s="9"/>
      <c r="I1127" s="9"/>
      <c r="M1127" s="9"/>
      <c r="N1127" s="9"/>
      <c r="O1127" s="9"/>
      <c r="Q1127" s="9"/>
      <c r="S1127" s="9"/>
      <c r="U1127" s="9"/>
      <c r="W1127" s="9"/>
      <c r="AA1127" s="9"/>
      <c r="AB1127" s="9"/>
      <c r="AC1127" s="9"/>
      <c r="AE1127" s="9"/>
    </row>
    <row r="1128" spans="1:31">
      <c r="A1128" s="389"/>
      <c r="B1128" s="9"/>
      <c r="C1128" s="9"/>
      <c r="D1128" s="9"/>
      <c r="E1128" s="9"/>
      <c r="G1128" s="9"/>
      <c r="I1128" s="9"/>
      <c r="M1128" s="9"/>
      <c r="N1128" s="9"/>
      <c r="O1128" s="9"/>
      <c r="Q1128" s="9"/>
      <c r="S1128" s="9"/>
      <c r="U1128" s="9"/>
      <c r="W1128" s="9"/>
      <c r="AA1128" s="9"/>
      <c r="AB1128" s="9"/>
      <c r="AC1128" s="9"/>
      <c r="AE1128" s="9"/>
    </row>
    <row r="1129" spans="1:31">
      <c r="A1129" s="389"/>
      <c r="B1129" s="9"/>
      <c r="C1129" s="9"/>
      <c r="D1129" s="9"/>
      <c r="E1129" s="9"/>
      <c r="G1129" s="9"/>
      <c r="I1129" s="9"/>
      <c r="M1129" s="9"/>
      <c r="N1129" s="9"/>
      <c r="O1129" s="9"/>
      <c r="Q1129" s="9"/>
      <c r="S1129" s="9"/>
      <c r="U1129" s="9"/>
      <c r="W1129" s="9"/>
      <c r="AA1129" s="9"/>
      <c r="AB1129" s="9"/>
      <c r="AC1129" s="9"/>
      <c r="AE1129" s="9"/>
    </row>
    <row r="1130" spans="1:31">
      <c r="A1130" s="389"/>
      <c r="B1130" s="9"/>
      <c r="C1130" s="9"/>
      <c r="D1130" s="9"/>
      <c r="E1130" s="9"/>
      <c r="G1130" s="9"/>
      <c r="I1130" s="9"/>
      <c r="M1130" s="9"/>
      <c r="N1130" s="9"/>
      <c r="O1130" s="9"/>
      <c r="Q1130" s="9"/>
      <c r="S1130" s="9"/>
      <c r="U1130" s="9"/>
      <c r="W1130" s="9"/>
      <c r="AA1130" s="9"/>
      <c r="AB1130" s="9"/>
      <c r="AC1130" s="9"/>
      <c r="AE1130" s="9"/>
    </row>
    <row r="1131" spans="1:31">
      <c r="A1131" s="389"/>
      <c r="B1131" s="9"/>
      <c r="C1131" s="9"/>
      <c r="D1131" s="9"/>
      <c r="E1131" s="9"/>
      <c r="G1131" s="9"/>
      <c r="I1131" s="9"/>
      <c r="M1131" s="9"/>
      <c r="N1131" s="9"/>
      <c r="O1131" s="9"/>
      <c r="Q1131" s="9"/>
      <c r="S1131" s="9"/>
      <c r="U1131" s="9"/>
      <c r="W1131" s="9"/>
      <c r="AA1131" s="9"/>
      <c r="AB1131" s="9"/>
      <c r="AC1131" s="9"/>
      <c r="AE1131" s="9"/>
    </row>
    <row r="1132" spans="1:31">
      <c r="A1132" s="389"/>
      <c r="B1132" s="9"/>
      <c r="C1132" s="9"/>
      <c r="D1132" s="9"/>
      <c r="E1132" s="9"/>
      <c r="G1132" s="9"/>
      <c r="I1132" s="9"/>
      <c r="M1132" s="9"/>
      <c r="N1132" s="9"/>
      <c r="O1132" s="9"/>
      <c r="Q1132" s="9"/>
      <c r="S1132" s="9"/>
      <c r="U1132" s="9"/>
      <c r="W1132" s="9"/>
      <c r="AA1132" s="9"/>
      <c r="AB1132" s="9"/>
      <c r="AC1132" s="9"/>
      <c r="AE1132" s="9"/>
    </row>
    <row r="1133" spans="1:31">
      <c r="A1133" s="389"/>
      <c r="B1133" s="9"/>
      <c r="C1133" s="9"/>
      <c r="D1133" s="9"/>
      <c r="E1133" s="9"/>
      <c r="G1133" s="9"/>
      <c r="I1133" s="9"/>
      <c r="M1133" s="9"/>
      <c r="N1133" s="9"/>
      <c r="O1133" s="9"/>
      <c r="Q1133" s="9"/>
      <c r="S1133" s="9"/>
      <c r="U1133" s="9"/>
      <c r="W1133" s="9"/>
      <c r="AA1133" s="9"/>
      <c r="AB1133" s="9"/>
      <c r="AC1133" s="9"/>
      <c r="AE1133" s="9"/>
    </row>
    <row r="1134" spans="1:31">
      <c r="A1134" s="389"/>
      <c r="B1134" s="9"/>
      <c r="C1134" s="9"/>
      <c r="D1134" s="9"/>
      <c r="E1134" s="9"/>
      <c r="G1134" s="9"/>
      <c r="I1134" s="9"/>
      <c r="M1134" s="9"/>
      <c r="N1134" s="9"/>
      <c r="O1134" s="9"/>
      <c r="Q1134" s="9"/>
      <c r="S1134" s="9"/>
      <c r="U1134" s="9"/>
      <c r="W1134" s="9"/>
      <c r="AA1134" s="9"/>
      <c r="AB1134" s="9"/>
      <c r="AC1134" s="9"/>
      <c r="AE1134" s="9"/>
    </row>
    <row r="1135" spans="1:31">
      <c r="A1135" s="389"/>
      <c r="B1135" s="9"/>
      <c r="C1135" s="9"/>
      <c r="D1135" s="9"/>
      <c r="E1135" s="9"/>
      <c r="G1135" s="9"/>
      <c r="I1135" s="9"/>
      <c r="M1135" s="9"/>
      <c r="N1135" s="9"/>
      <c r="O1135" s="9"/>
      <c r="Q1135" s="9"/>
      <c r="S1135" s="9"/>
      <c r="U1135" s="9"/>
      <c r="W1135" s="9"/>
      <c r="AA1135" s="9"/>
      <c r="AB1135" s="9"/>
      <c r="AC1135" s="9"/>
      <c r="AE1135" s="9"/>
    </row>
    <row r="1136" spans="1:31">
      <c r="A1136" s="389"/>
      <c r="B1136" s="9"/>
      <c r="C1136" s="9"/>
      <c r="D1136" s="9"/>
      <c r="E1136" s="9"/>
      <c r="G1136" s="9"/>
      <c r="I1136" s="9"/>
      <c r="M1136" s="9"/>
      <c r="N1136" s="9"/>
      <c r="O1136" s="9"/>
      <c r="Q1136" s="9"/>
      <c r="S1136" s="9"/>
      <c r="U1136" s="9"/>
      <c r="W1136" s="9"/>
      <c r="AA1136" s="9"/>
      <c r="AB1136" s="9"/>
      <c r="AC1136" s="9"/>
      <c r="AE1136" s="9"/>
    </row>
    <row r="1137" spans="1:31">
      <c r="A1137" s="389"/>
      <c r="B1137" s="9"/>
      <c r="C1137" s="9"/>
      <c r="D1137" s="9"/>
      <c r="E1137" s="9"/>
      <c r="G1137" s="9"/>
      <c r="I1137" s="9"/>
      <c r="M1137" s="9"/>
      <c r="N1137" s="9"/>
      <c r="O1137" s="9"/>
      <c r="Q1137" s="9"/>
      <c r="S1137" s="9"/>
      <c r="U1137" s="9"/>
      <c r="W1137" s="9"/>
      <c r="AA1137" s="9"/>
      <c r="AB1137" s="9"/>
      <c r="AC1137" s="9"/>
      <c r="AE1137" s="9"/>
    </row>
    <row r="1138" spans="1:31">
      <c r="A1138" s="389"/>
      <c r="B1138" s="9"/>
      <c r="C1138" s="9"/>
      <c r="D1138" s="9"/>
      <c r="E1138" s="9"/>
      <c r="G1138" s="9"/>
      <c r="I1138" s="9"/>
      <c r="M1138" s="9"/>
      <c r="N1138" s="9"/>
      <c r="O1138" s="9"/>
      <c r="Q1138" s="9"/>
      <c r="S1138" s="9"/>
      <c r="U1138" s="9"/>
      <c r="W1138" s="9"/>
      <c r="AA1138" s="9"/>
      <c r="AB1138" s="9"/>
      <c r="AC1138" s="9"/>
      <c r="AE1138" s="9"/>
    </row>
    <row r="1139" spans="1:31">
      <c r="A1139" s="389"/>
      <c r="B1139" s="9"/>
      <c r="C1139" s="9"/>
      <c r="D1139" s="9"/>
      <c r="E1139" s="9"/>
      <c r="G1139" s="9"/>
      <c r="I1139" s="9"/>
      <c r="M1139" s="9"/>
      <c r="N1139" s="9"/>
      <c r="O1139" s="9"/>
      <c r="Q1139" s="9"/>
      <c r="S1139" s="9"/>
      <c r="U1139" s="9"/>
      <c r="W1139" s="9"/>
      <c r="AA1139" s="9"/>
      <c r="AB1139" s="9"/>
      <c r="AC1139" s="9"/>
      <c r="AE1139" s="9"/>
    </row>
    <row r="1140" spans="1:31">
      <c r="A1140" s="389"/>
      <c r="B1140" s="9"/>
      <c r="C1140" s="9"/>
      <c r="D1140" s="9"/>
      <c r="E1140" s="9"/>
      <c r="G1140" s="9"/>
      <c r="I1140" s="9"/>
      <c r="M1140" s="9"/>
      <c r="N1140" s="9"/>
      <c r="O1140" s="9"/>
      <c r="Q1140" s="9"/>
      <c r="S1140" s="9"/>
      <c r="U1140" s="9"/>
      <c r="W1140" s="9"/>
      <c r="AA1140" s="9"/>
      <c r="AB1140" s="9"/>
      <c r="AC1140" s="9"/>
      <c r="AE1140" s="9"/>
    </row>
    <row r="1141" spans="1:31">
      <c r="A1141" s="389"/>
      <c r="B1141" s="9"/>
      <c r="C1141" s="9"/>
      <c r="D1141" s="9"/>
      <c r="E1141" s="9"/>
      <c r="G1141" s="9"/>
      <c r="I1141" s="9"/>
      <c r="M1141" s="9"/>
      <c r="N1141" s="9"/>
      <c r="O1141" s="9"/>
      <c r="Q1141" s="9"/>
      <c r="S1141" s="9"/>
      <c r="U1141" s="9"/>
      <c r="W1141" s="9"/>
      <c r="AA1141" s="9"/>
      <c r="AB1141" s="9"/>
      <c r="AC1141" s="9"/>
      <c r="AE1141" s="9"/>
    </row>
    <row r="1142" spans="1:31">
      <c r="A1142" s="389"/>
      <c r="B1142" s="9"/>
      <c r="C1142" s="9"/>
      <c r="D1142" s="9"/>
      <c r="E1142" s="9"/>
      <c r="G1142" s="9"/>
      <c r="I1142" s="9"/>
      <c r="M1142" s="9"/>
      <c r="N1142" s="9"/>
      <c r="O1142" s="9"/>
      <c r="Q1142" s="9"/>
      <c r="S1142" s="9"/>
      <c r="U1142" s="9"/>
      <c r="W1142" s="9"/>
      <c r="AA1142" s="9"/>
      <c r="AB1142" s="9"/>
      <c r="AC1142" s="9"/>
      <c r="AE1142" s="9"/>
    </row>
    <row r="1143" spans="1:31">
      <c r="A1143" s="389"/>
      <c r="B1143" s="9"/>
      <c r="C1143" s="9"/>
      <c r="D1143" s="9"/>
      <c r="E1143" s="9"/>
      <c r="G1143" s="9"/>
      <c r="I1143" s="9"/>
      <c r="M1143" s="9"/>
      <c r="N1143" s="9"/>
      <c r="O1143" s="9"/>
      <c r="Q1143" s="9"/>
      <c r="S1143" s="9"/>
      <c r="U1143" s="9"/>
      <c r="W1143" s="9"/>
      <c r="AA1143" s="9"/>
      <c r="AB1143" s="9"/>
      <c r="AC1143" s="9"/>
      <c r="AE1143" s="9"/>
    </row>
    <row r="1144" spans="1:31">
      <c r="A1144" s="389"/>
      <c r="B1144" s="9"/>
      <c r="C1144" s="9"/>
      <c r="D1144" s="9"/>
      <c r="E1144" s="9"/>
      <c r="G1144" s="9"/>
      <c r="I1144" s="9"/>
      <c r="M1144" s="9"/>
      <c r="N1144" s="9"/>
      <c r="O1144" s="9"/>
      <c r="Q1144" s="9"/>
      <c r="S1144" s="9"/>
      <c r="U1144" s="9"/>
      <c r="W1144" s="9"/>
      <c r="AA1144" s="9"/>
      <c r="AB1144" s="9"/>
      <c r="AC1144" s="9"/>
      <c r="AE1144" s="9"/>
    </row>
    <row r="1145" spans="1:31">
      <c r="A1145" s="389"/>
      <c r="B1145" s="9"/>
      <c r="C1145" s="9"/>
      <c r="D1145" s="9"/>
      <c r="E1145" s="9"/>
      <c r="G1145" s="9"/>
      <c r="I1145" s="9"/>
      <c r="M1145" s="9"/>
      <c r="N1145" s="9"/>
      <c r="O1145" s="9"/>
      <c r="Q1145" s="9"/>
      <c r="S1145" s="9"/>
      <c r="U1145" s="9"/>
      <c r="W1145" s="9"/>
      <c r="AA1145" s="9"/>
      <c r="AB1145" s="9"/>
      <c r="AC1145" s="9"/>
      <c r="AE1145" s="9"/>
    </row>
    <row r="1146" spans="1:31">
      <c r="A1146" s="389"/>
      <c r="B1146" s="9"/>
      <c r="C1146" s="9"/>
      <c r="D1146" s="9"/>
      <c r="E1146" s="9"/>
      <c r="G1146" s="9"/>
      <c r="I1146" s="9"/>
      <c r="M1146" s="9"/>
      <c r="N1146" s="9"/>
      <c r="O1146" s="9"/>
      <c r="Q1146" s="9"/>
      <c r="S1146" s="9"/>
      <c r="U1146" s="9"/>
      <c r="W1146" s="9"/>
      <c r="AA1146" s="9"/>
      <c r="AB1146" s="9"/>
      <c r="AC1146" s="9"/>
      <c r="AE1146" s="9"/>
    </row>
    <row r="1147" spans="1:31">
      <c r="A1147" s="389"/>
      <c r="B1147" s="9"/>
      <c r="C1147" s="9"/>
      <c r="D1147" s="9"/>
      <c r="E1147" s="9"/>
      <c r="G1147" s="9"/>
      <c r="I1147" s="9"/>
      <c r="M1147" s="9"/>
      <c r="N1147" s="9"/>
      <c r="O1147" s="9"/>
      <c r="Q1147" s="9"/>
      <c r="S1147" s="9"/>
      <c r="U1147" s="9"/>
      <c r="W1147" s="9"/>
      <c r="AA1147" s="9"/>
      <c r="AB1147" s="9"/>
      <c r="AC1147" s="9"/>
      <c r="AE1147" s="9"/>
    </row>
    <row r="1148" spans="1:31">
      <c r="A1148" s="389"/>
      <c r="B1148" s="9"/>
      <c r="C1148" s="9"/>
      <c r="D1148" s="9"/>
      <c r="E1148" s="9"/>
      <c r="G1148" s="9"/>
      <c r="I1148" s="9"/>
      <c r="M1148" s="9"/>
      <c r="N1148" s="9"/>
      <c r="O1148" s="9"/>
      <c r="Q1148" s="9"/>
      <c r="S1148" s="9"/>
      <c r="U1148" s="9"/>
      <c r="W1148" s="9"/>
      <c r="AA1148" s="9"/>
      <c r="AB1148" s="9"/>
      <c r="AC1148" s="9"/>
      <c r="AE1148" s="9"/>
    </row>
    <row r="1149" spans="1:31">
      <c r="A1149" s="389"/>
      <c r="B1149" s="9"/>
      <c r="C1149" s="9"/>
      <c r="D1149" s="9"/>
      <c r="E1149" s="9"/>
      <c r="G1149" s="9"/>
      <c r="I1149" s="9"/>
      <c r="M1149" s="9"/>
      <c r="N1149" s="9"/>
      <c r="O1149" s="9"/>
      <c r="Q1149" s="9"/>
      <c r="S1149" s="9"/>
      <c r="U1149" s="9"/>
      <c r="W1149" s="9"/>
      <c r="AA1149" s="9"/>
      <c r="AB1149" s="9"/>
      <c r="AC1149" s="9"/>
      <c r="AE1149" s="9"/>
    </row>
    <row r="1150" spans="1:31">
      <c r="A1150" s="389"/>
      <c r="B1150" s="9"/>
      <c r="C1150" s="9"/>
      <c r="D1150" s="9"/>
      <c r="E1150" s="9"/>
      <c r="G1150" s="9"/>
      <c r="I1150" s="9"/>
      <c r="M1150" s="9"/>
      <c r="N1150" s="9"/>
      <c r="O1150" s="9"/>
      <c r="Q1150" s="9"/>
      <c r="S1150" s="9"/>
      <c r="U1150" s="9"/>
      <c r="W1150" s="9"/>
      <c r="AA1150" s="9"/>
      <c r="AB1150" s="9"/>
      <c r="AC1150" s="9"/>
      <c r="AE1150" s="9"/>
    </row>
    <row r="1151" spans="1:31">
      <c r="A1151" s="389"/>
      <c r="B1151" s="9"/>
      <c r="C1151" s="9"/>
      <c r="D1151" s="9"/>
      <c r="E1151" s="9"/>
      <c r="G1151" s="9"/>
      <c r="I1151" s="9"/>
      <c r="M1151" s="9"/>
      <c r="N1151" s="9"/>
      <c r="O1151" s="9"/>
      <c r="Q1151" s="9"/>
      <c r="S1151" s="9"/>
      <c r="U1151" s="9"/>
      <c r="W1151" s="9"/>
      <c r="AA1151" s="9"/>
      <c r="AB1151" s="9"/>
      <c r="AC1151" s="9"/>
      <c r="AE1151" s="9"/>
    </row>
    <row r="1152" spans="1:31">
      <c r="A1152" s="389"/>
      <c r="B1152" s="9"/>
      <c r="C1152" s="9"/>
      <c r="D1152" s="9"/>
      <c r="E1152" s="9"/>
      <c r="G1152" s="9"/>
      <c r="I1152" s="9"/>
      <c r="M1152" s="9"/>
      <c r="N1152" s="9"/>
      <c r="O1152" s="9"/>
      <c r="Q1152" s="9"/>
      <c r="S1152" s="9"/>
      <c r="U1152" s="9"/>
      <c r="W1152" s="9"/>
      <c r="AA1152" s="9"/>
      <c r="AB1152" s="9"/>
      <c r="AC1152" s="9"/>
      <c r="AE1152" s="9"/>
    </row>
    <row r="1153" spans="1:31">
      <c r="A1153" s="389"/>
      <c r="B1153" s="9"/>
      <c r="C1153" s="9"/>
      <c r="D1153" s="9"/>
      <c r="E1153" s="9"/>
      <c r="G1153" s="9"/>
      <c r="I1153" s="9"/>
      <c r="M1153" s="9"/>
      <c r="N1153" s="9"/>
      <c r="O1153" s="9"/>
      <c r="Q1153" s="9"/>
      <c r="S1153" s="9"/>
      <c r="U1153" s="9"/>
      <c r="W1153" s="9"/>
      <c r="AA1153" s="9"/>
      <c r="AB1153" s="9"/>
      <c r="AC1153" s="9"/>
      <c r="AE1153" s="9"/>
    </row>
    <row r="1154" spans="1:31">
      <c r="A1154" s="389"/>
      <c r="B1154" s="9"/>
      <c r="C1154" s="9"/>
      <c r="D1154" s="9"/>
      <c r="E1154" s="9"/>
      <c r="G1154" s="9"/>
      <c r="I1154" s="9"/>
      <c r="M1154" s="9"/>
      <c r="N1154" s="9"/>
      <c r="O1154" s="9"/>
      <c r="Q1154" s="9"/>
      <c r="S1154" s="9"/>
      <c r="U1154" s="9"/>
      <c r="W1154" s="9"/>
      <c r="AA1154" s="9"/>
      <c r="AB1154" s="9"/>
      <c r="AC1154" s="9"/>
      <c r="AE1154" s="9"/>
    </row>
    <row r="1155" spans="1:31">
      <c r="A1155" s="389"/>
      <c r="B1155" s="9"/>
      <c r="C1155" s="9"/>
      <c r="D1155" s="9"/>
      <c r="E1155" s="9"/>
      <c r="G1155" s="9"/>
      <c r="I1155" s="9"/>
      <c r="M1155" s="9"/>
      <c r="N1155" s="9"/>
      <c r="O1155" s="9"/>
      <c r="Q1155" s="9"/>
      <c r="S1155" s="9"/>
      <c r="U1155" s="9"/>
      <c r="W1155" s="9"/>
      <c r="AA1155" s="9"/>
      <c r="AB1155" s="9"/>
      <c r="AC1155" s="9"/>
      <c r="AE1155" s="9"/>
    </row>
    <row r="1156" spans="1:31">
      <c r="A1156" s="389"/>
      <c r="B1156" s="9"/>
      <c r="C1156" s="9"/>
      <c r="D1156" s="9"/>
      <c r="E1156" s="9"/>
      <c r="G1156" s="9"/>
      <c r="I1156" s="9"/>
      <c r="M1156" s="9"/>
      <c r="N1156" s="9"/>
      <c r="O1156" s="9"/>
      <c r="Q1156" s="9"/>
      <c r="S1156" s="9"/>
      <c r="U1156" s="9"/>
      <c r="W1156" s="9"/>
      <c r="AA1156" s="9"/>
      <c r="AB1156" s="9"/>
      <c r="AC1156" s="9"/>
      <c r="AE1156" s="9"/>
    </row>
    <row r="1157" spans="1:31">
      <c r="A1157" s="389"/>
      <c r="B1157" s="9"/>
      <c r="C1157" s="9"/>
      <c r="D1157" s="9"/>
      <c r="E1157" s="9"/>
      <c r="G1157" s="9"/>
      <c r="I1157" s="9"/>
      <c r="M1157" s="9"/>
      <c r="N1157" s="9"/>
      <c r="O1157" s="9"/>
      <c r="Q1157" s="9"/>
      <c r="S1157" s="9"/>
      <c r="U1157" s="9"/>
      <c r="W1157" s="9"/>
      <c r="AA1157" s="9"/>
      <c r="AB1157" s="9"/>
      <c r="AC1157" s="9"/>
      <c r="AE1157" s="9"/>
    </row>
    <row r="1158" spans="1:31">
      <c r="A1158" s="389"/>
      <c r="B1158" s="9"/>
      <c r="C1158" s="9"/>
      <c r="D1158" s="9"/>
      <c r="E1158" s="9"/>
      <c r="G1158" s="9"/>
      <c r="I1158" s="9"/>
      <c r="M1158" s="9"/>
      <c r="N1158" s="9"/>
      <c r="O1158" s="9"/>
      <c r="Q1158" s="9"/>
      <c r="S1158" s="9"/>
      <c r="U1158" s="9"/>
      <c r="W1158" s="9"/>
      <c r="AA1158" s="9"/>
      <c r="AB1158" s="9"/>
      <c r="AC1158" s="9"/>
      <c r="AE1158" s="9"/>
    </row>
    <row r="1159" spans="1:31">
      <c r="A1159" s="389"/>
      <c r="B1159" s="9"/>
      <c r="C1159" s="9"/>
      <c r="D1159" s="9"/>
      <c r="E1159" s="9"/>
      <c r="G1159" s="9"/>
      <c r="I1159" s="9"/>
      <c r="M1159" s="9"/>
      <c r="N1159" s="9"/>
      <c r="O1159" s="9"/>
      <c r="Q1159" s="9"/>
      <c r="S1159" s="9"/>
      <c r="U1159" s="9"/>
      <c r="W1159" s="9"/>
      <c r="AA1159" s="9"/>
      <c r="AB1159" s="9"/>
      <c r="AC1159" s="9"/>
      <c r="AE1159" s="9"/>
    </row>
    <row r="1160" spans="1:31">
      <c r="A1160" s="389"/>
      <c r="B1160" s="9"/>
      <c r="C1160" s="9"/>
      <c r="D1160" s="9"/>
      <c r="E1160" s="9"/>
      <c r="G1160" s="9"/>
      <c r="I1160" s="9"/>
      <c r="M1160" s="9"/>
      <c r="N1160" s="9"/>
      <c r="O1160" s="9"/>
      <c r="Q1160" s="9"/>
      <c r="S1160" s="9"/>
      <c r="U1160" s="9"/>
      <c r="W1160" s="9"/>
      <c r="AA1160" s="9"/>
      <c r="AB1160" s="9"/>
      <c r="AC1160" s="9"/>
      <c r="AE1160" s="9"/>
    </row>
    <row r="1161" spans="1:31">
      <c r="A1161" s="389"/>
      <c r="B1161" s="9"/>
      <c r="C1161" s="9"/>
      <c r="D1161" s="9"/>
      <c r="E1161" s="9"/>
      <c r="G1161" s="9"/>
      <c r="I1161" s="9"/>
      <c r="M1161" s="9"/>
      <c r="N1161" s="9"/>
      <c r="O1161" s="9"/>
      <c r="Q1161" s="9"/>
      <c r="S1161" s="9"/>
      <c r="U1161" s="9"/>
      <c r="W1161" s="9"/>
      <c r="AA1161" s="9"/>
      <c r="AB1161" s="9"/>
      <c r="AC1161" s="9"/>
      <c r="AE1161" s="9"/>
    </row>
    <row r="1162" spans="1:31">
      <c r="A1162" s="389"/>
      <c r="B1162" s="9"/>
      <c r="C1162" s="9"/>
      <c r="D1162" s="9"/>
      <c r="E1162" s="9"/>
      <c r="G1162" s="9"/>
      <c r="I1162" s="9"/>
      <c r="M1162" s="9"/>
      <c r="N1162" s="9"/>
      <c r="O1162" s="9"/>
      <c r="Q1162" s="9"/>
      <c r="S1162" s="9"/>
      <c r="U1162" s="9"/>
      <c r="W1162" s="9"/>
      <c r="AA1162" s="9"/>
      <c r="AB1162" s="9"/>
      <c r="AC1162" s="9"/>
      <c r="AE1162" s="9"/>
    </row>
    <row r="1163" spans="1:31">
      <c r="A1163" s="389"/>
      <c r="B1163" s="9"/>
      <c r="C1163" s="9"/>
      <c r="D1163" s="9"/>
      <c r="E1163" s="9"/>
      <c r="G1163" s="9"/>
      <c r="I1163" s="9"/>
      <c r="M1163" s="9"/>
      <c r="N1163" s="9"/>
      <c r="O1163" s="9"/>
      <c r="Q1163" s="9"/>
      <c r="S1163" s="9"/>
      <c r="U1163" s="9"/>
      <c r="W1163" s="9"/>
      <c r="AA1163" s="9"/>
      <c r="AB1163" s="9"/>
      <c r="AC1163" s="9"/>
      <c r="AE1163" s="9"/>
    </row>
    <row r="1164" spans="1:31">
      <c r="A1164" s="389"/>
      <c r="B1164" s="9"/>
      <c r="C1164" s="9"/>
      <c r="D1164" s="9"/>
      <c r="E1164" s="9"/>
      <c r="G1164" s="9"/>
      <c r="I1164" s="9"/>
      <c r="M1164" s="9"/>
      <c r="N1164" s="9"/>
      <c r="O1164" s="9"/>
      <c r="Q1164" s="9"/>
      <c r="S1164" s="9"/>
      <c r="U1164" s="9"/>
      <c r="W1164" s="9"/>
      <c r="AA1164" s="9"/>
      <c r="AB1164" s="9"/>
      <c r="AC1164" s="9"/>
      <c r="AE1164" s="9"/>
    </row>
    <row r="1165" spans="1:31">
      <c r="A1165" s="389"/>
      <c r="B1165" s="9"/>
      <c r="C1165" s="9"/>
      <c r="D1165" s="9"/>
      <c r="E1165" s="9"/>
      <c r="G1165" s="9"/>
      <c r="I1165" s="9"/>
      <c r="M1165" s="9"/>
      <c r="N1165" s="9"/>
      <c r="O1165" s="9"/>
      <c r="Q1165" s="9"/>
      <c r="S1165" s="9"/>
      <c r="U1165" s="9"/>
      <c r="W1165" s="9"/>
      <c r="AA1165" s="9"/>
      <c r="AB1165" s="9"/>
      <c r="AC1165" s="9"/>
      <c r="AE1165" s="9"/>
    </row>
    <row r="1166" spans="1:31">
      <c r="A1166" s="389"/>
      <c r="B1166" s="9"/>
      <c r="C1166" s="9"/>
      <c r="D1166" s="9"/>
      <c r="E1166" s="9"/>
      <c r="G1166" s="9"/>
      <c r="I1166" s="9"/>
      <c r="M1166" s="9"/>
      <c r="N1166" s="9"/>
      <c r="O1166" s="9"/>
      <c r="Q1166" s="9"/>
      <c r="S1166" s="9"/>
      <c r="U1166" s="9"/>
      <c r="W1166" s="9"/>
      <c r="AA1166" s="9"/>
      <c r="AB1166" s="9"/>
      <c r="AC1166" s="9"/>
      <c r="AE1166" s="9"/>
    </row>
    <row r="1167" spans="1:31">
      <c r="A1167" s="389"/>
      <c r="B1167" s="9"/>
      <c r="C1167" s="9"/>
      <c r="D1167" s="9"/>
      <c r="E1167" s="9"/>
      <c r="G1167" s="9"/>
      <c r="I1167" s="9"/>
      <c r="M1167" s="9"/>
      <c r="N1167" s="9"/>
      <c r="O1167" s="9"/>
      <c r="Q1167" s="9"/>
      <c r="S1167" s="9"/>
      <c r="U1167" s="9"/>
      <c r="W1167" s="9"/>
      <c r="AA1167" s="9"/>
      <c r="AB1167" s="9"/>
      <c r="AC1167" s="9"/>
      <c r="AE1167" s="9"/>
    </row>
    <row r="1168" spans="1:31">
      <c r="A1168" s="389"/>
      <c r="B1168" s="9"/>
      <c r="C1168" s="9"/>
      <c r="D1168" s="9"/>
      <c r="E1168" s="9"/>
      <c r="G1168" s="9"/>
      <c r="I1168" s="9"/>
      <c r="M1168" s="9"/>
      <c r="N1168" s="9"/>
      <c r="O1168" s="9"/>
      <c r="Q1168" s="9"/>
      <c r="S1168" s="9"/>
      <c r="U1168" s="9"/>
      <c r="W1168" s="9"/>
      <c r="AA1168" s="9"/>
      <c r="AB1168" s="9"/>
      <c r="AC1168" s="9"/>
      <c r="AE1168" s="9"/>
    </row>
    <row r="1169" spans="1:31">
      <c r="A1169" s="389"/>
      <c r="B1169" s="9"/>
      <c r="C1169" s="9"/>
      <c r="D1169" s="9"/>
      <c r="E1169" s="9"/>
      <c r="G1169" s="9"/>
      <c r="I1169" s="9"/>
      <c r="M1169" s="9"/>
      <c r="N1169" s="9"/>
      <c r="O1169" s="9"/>
      <c r="Q1169" s="9"/>
      <c r="S1169" s="9"/>
      <c r="U1169" s="9"/>
      <c r="W1169" s="9"/>
      <c r="AA1169" s="9"/>
      <c r="AB1169" s="9"/>
      <c r="AC1169" s="9"/>
      <c r="AE1169" s="9"/>
    </row>
    <row r="1170" spans="1:31">
      <c r="A1170" s="389"/>
      <c r="B1170" s="9"/>
      <c r="C1170" s="9"/>
      <c r="D1170" s="9"/>
      <c r="E1170" s="9"/>
      <c r="G1170" s="9"/>
      <c r="I1170" s="9"/>
      <c r="M1170" s="9"/>
      <c r="N1170" s="9"/>
      <c r="O1170" s="9"/>
      <c r="Q1170" s="9"/>
      <c r="S1170" s="9"/>
      <c r="U1170" s="9"/>
      <c r="W1170" s="9"/>
      <c r="AA1170" s="9"/>
      <c r="AB1170" s="9"/>
      <c r="AC1170" s="9"/>
      <c r="AE1170" s="9"/>
    </row>
    <row r="1171" spans="1:31">
      <c r="A1171" s="389"/>
      <c r="B1171" s="9"/>
      <c r="C1171" s="9"/>
      <c r="D1171" s="9"/>
      <c r="E1171" s="9"/>
      <c r="G1171" s="9"/>
      <c r="I1171" s="9"/>
      <c r="M1171" s="9"/>
      <c r="N1171" s="9"/>
      <c r="O1171" s="9"/>
      <c r="Q1171" s="9"/>
      <c r="S1171" s="9"/>
      <c r="U1171" s="9"/>
      <c r="W1171" s="9"/>
      <c r="AA1171" s="9"/>
      <c r="AB1171" s="9"/>
      <c r="AC1171" s="9"/>
      <c r="AE1171" s="9"/>
    </row>
    <row r="1172" spans="1:31">
      <c r="A1172" s="389"/>
      <c r="B1172" s="9"/>
      <c r="C1172" s="9"/>
      <c r="D1172" s="9"/>
      <c r="E1172" s="9"/>
      <c r="G1172" s="9"/>
      <c r="I1172" s="9"/>
      <c r="M1172" s="9"/>
      <c r="N1172" s="9"/>
      <c r="O1172" s="9"/>
      <c r="Q1172" s="9"/>
      <c r="S1172" s="9"/>
      <c r="U1172" s="9"/>
      <c r="W1172" s="9"/>
      <c r="AA1172" s="9"/>
      <c r="AB1172" s="9"/>
      <c r="AC1172" s="9"/>
      <c r="AE1172" s="9"/>
    </row>
    <row r="1173" spans="1:31">
      <c r="A1173" s="389"/>
      <c r="B1173" s="9"/>
      <c r="C1173" s="9"/>
      <c r="D1173" s="9"/>
      <c r="E1173" s="9"/>
      <c r="G1173" s="9"/>
      <c r="I1173" s="9"/>
      <c r="M1173" s="9"/>
      <c r="N1173" s="9"/>
      <c r="O1173" s="9"/>
      <c r="Q1173" s="9"/>
      <c r="S1173" s="9"/>
      <c r="U1173" s="9"/>
      <c r="W1173" s="9"/>
      <c r="AA1173" s="9"/>
      <c r="AB1173" s="9"/>
      <c r="AC1173" s="9"/>
      <c r="AE1173" s="9"/>
    </row>
    <row r="1174" spans="1:31">
      <c r="A1174" s="389"/>
      <c r="B1174" s="9"/>
      <c r="C1174" s="9"/>
      <c r="D1174" s="9"/>
      <c r="E1174" s="9"/>
      <c r="G1174" s="9"/>
      <c r="I1174" s="9"/>
      <c r="M1174" s="9"/>
      <c r="N1174" s="9"/>
      <c r="O1174" s="9"/>
      <c r="Q1174" s="9"/>
      <c r="S1174" s="9"/>
      <c r="U1174" s="9"/>
      <c r="W1174" s="9"/>
      <c r="AA1174" s="9"/>
      <c r="AB1174" s="9"/>
      <c r="AC1174" s="9"/>
      <c r="AE1174" s="9"/>
    </row>
    <row r="1175" spans="1:31">
      <c r="A1175" s="389"/>
      <c r="B1175" s="9"/>
      <c r="C1175" s="9"/>
      <c r="D1175" s="9"/>
      <c r="E1175" s="9"/>
      <c r="G1175" s="9"/>
      <c r="I1175" s="9"/>
      <c r="M1175" s="9"/>
      <c r="N1175" s="9"/>
      <c r="O1175" s="9"/>
      <c r="Q1175" s="9"/>
      <c r="S1175" s="9"/>
      <c r="U1175" s="9"/>
      <c r="W1175" s="9"/>
      <c r="AA1175" s="9"/>
      <c r="AB1175" s="9"/>
      <c r="AC1175" s="9"/>
      <c r="AE1175" s="9"/>
    </row>
    <row r="1176" spans="1:31">
      <c r="A1176" s="389"/>
      <c r="B1176" s="9"/>
      <c r="C1176" s="9"/>
      <c r="D1176" s="9"/>
      <c r="E1176" s="9"/>
      <c r="G1176" s="9"/>
      <c r="I1176" s="9"/>
      <c r="M1176" s="9"/>
      <c r="N1176" s="9"/>
      <c r="O1176" s="9"/>
      <c r="Q1176" s="9"/>
      <c r="S1176" s="9"/>
      <c r="U1176" s="9"/>
      <c r="W1176" s="9"/>
      <c r="AA1176" s="9"/>
      <c r="AB1176" s="9"/>
      <c r="AC1176" s="9"/>
      <c r="AE1176" s="9"/>
    </row>
    <row r="1177" spans="1:31">
      <c r="A1177" s="389"/>
      <c r="B1177" s="9"/>
      <c r="C1177" s="9"/>
      <c r="D1177" s="9"/>
      <c r="E1177" s="9"/>
      <c r="G1177" s="9"/>
      <c r="I1177" s="9"/>
      <c r="M1177" s="9"/>
      <c r="N1177" s="9"/>
      <c r="O1177" s="9"/>
      <c r="Q1177" s="9"/>
      <c r="S1177" s="9"/>
      <c r="U1177" s="9"/>
      <c r="W1177" s="9"/>
      <c r="AA1177" s="9"/>
      <c r="AB1177" s="9"/>
      <c r="AC1177" s="9"/>
      <c r="AE1177" s="9"/>
    </row>
    <row r="1178" spans="1:31">
      <c r="A1178" s="389"/>
      <c r="B1178" s="9"/>
      <c r="C1178" s="9"/>
      <c r="D1178" s="9"/>
      <c r="E1178" s="9"/>
      <c r="G1178" s="9"/>
      <c r="I1178" s="9"/>
      <c r="M1178" s="9"/>
      <c r="N1178" s="9"/>
      <c r="O1178" s="9"/>
      <c r="Q1178" s="9"/>
      <c r="S1178" s="9"/>
      <c r="U1178" s="9"/>
      <c r="W1178" s="9"/>
      <c r="AA1178" s="9"/>
      <c r="AB1178" s="9"/>
      <c r="AC1178" s="9"/>
      <c r="AE1178" s="9"/>
    </row>
    <row r="1179" spans="1:31">
      <c r="A1179" s="389"/>
      <c r="B1179" s="9"/>
      <c r="C1179" s="9"/>
      <c r="D1179" s="9"/>
      <c r="E1179" s="9"/>
      <c r="G1179" s="9"/>
      <c r="I1179" s="9"/>
      <c r="M1179" s="9"/>
      <c r="N1179" s="9"/>
      <c r="O1179" s="9"/>
      <c r="Q1179" s="9"/>
      <c r="S1179" s="9"/>
      <c r="U1179" s="9"/>
      <c r="W1179" s="9"/>
      <c r="AA1179" s="9"/>
      <c r="AB1179" s="9"/>
      <c r="AC1179" s="9"/>
      <c r="AE1179" s="9"/>
    </row>
    <row r="1180" spans="1:31">
      <c r="A1180" s="389"/>
      <c r="B1180" s="9"/>
      <c r="C1180" s="9"/>
      <c r="D1180" s="9"/>
      <c r="E1180" s="9"/>
      <c r="G1180" s="9"/>
      <c r="I1180" s="9"/>
      <c r="M1180" s="9"/>
      <c r="N1180" s="9"/>
      <c r="O1180" s="9"/>
      <c r="Q1180" s="9"/>
      <c r="S1180" s="9"/>
      <c r="U1180" s="9"/>
      <c r="W1180" s="9"/>
      <c r="AA1180" s="9"/>
      <c r="AB1180" s="9"/>
      <c r="AC1180" s="9"/>
      <c r="AE1180" s="9"/>
    </row>
    <row r="1181" spans="1:31">
      <c r="A1181" s="389"/>
      <c r="B1181" s="9"/>
      <c r="C1181" s="9"/>
      <c r="D1181" s="9"/>
      <c r="E1181" s="9"/>
      <c r="G1181" s="9"/>
      <c r="I1181" s="9"/>
      <c r="M1181" s="9"/>
      <c r="N1181" s="9"/>
      <c r="O1181" s="9"/>
      <c r="Q1181" s="9"/>
      <c r="S1181" s="9"/>
      <c r="U1181" s="9"/>
      <c r="W1181" s="9"/>
      <c r="AA1181" s="9"/>
      <c r="AB1181" s="9"/>
      <c r="AC1181" s="9"/>
      <c r="AE1181" s="9"/>
    </row>
    <row r="1182" spans="1:31">
      <c r="A1182" s="389"/>
      <c r="B1182" s="9"/>
      <c r="C1182" s="9"/>
      <c r="D1182" s="9"/>
      <c r="E1182" s="9"/>
      <c r="G1182" s="9"/>
      <c r="I1182" s="9"/>
      <c r="M1182" s="9"/>
      <c r="N1182" s="9"/>
      <c r="O1182" s="9"/>
      <c r="Q1182" s="9"/>
      <c r="S1182" s="9"/>
      <c r="U1182" s="9"/>
      <c r="W1182" s="9"/>
      <c r="AA1182" s="9"/>
      <c r="AB1182" s="9"/>
      <c r="AC1182" s="9"/>
      <c r="AE1182" s="9"/>
    </row>
    <row r="1183" spans="1:31">
      <c r="A1183" s="389"/>
      <c r="B1183" s="9"/>
      <c r="C1183" s="9"/>
      <c r="D1183" s="9"/>
      <c r="E1183" s="9"/>
      <c r="G1183" s="9"/>
      <c r="I1183" s="9"/>
      <c r="M1183" s="9"/>
      <c r="N1183" s="9"/>
      <c r="O1183" s="9"/>
      <c r="Q1183" s="9"/>
      <c r="S1183" s="9"/>
      <c r="U1183" s="9"/>
      <c r="W1183" s="9"/>
      <c r="AA1183" s="9"/>
      <c r="AB1183" s="9"/>
      <c r="AC1183" s="9"/>
      <c r="AE1183" s="9"/>
    </row>
    <row r="1184" spans="1:31">
      <c r="A1184" s="389"/>
      <c r="B1184" s="9"/>
      <c r="C1184" s="9"/>
      <c r="D1184" s="9"/>
      <c r="E1184" s="9"/>
      <c r="G1184" s="9"/>
      <c r="I1184" s="9"/>
      <c r="M1184" s="9"/>
      <c r="N1184" s="9"/>
      <c r="O1184" s="9"/>
      <c r="Q1184" s="9"/>
      <c r="S1184" s="9"/>
      <c r="U1184" s="9"/>
      <c r="W1184" s="9"/>
      <c r="AA1184" s="9"/>
      <c r="AB1184" s="9"/>
      <c r="AC1184" s="9"/>
      <c r="AE1184" s="9"/>
    </row>
    <row r="1185" spans="1:33">
      <c r="A1185" s="389"/>
      <c r="B1185" s="9"/>
      <c r="C1185" s="9"/>
      <c r="D1185" s="9"/>
      <c r="E1185" s="9"/>
      <c r="G1185" s="9"/>
      <c r="I1185" s="9"/>
      <c r="M1185" s="9"/>
      <c r="N1185" s="9"/>
      <c r="O1185" s="9"/>
      <c r="Q1185" s="9"/>
      <c r="S1185" s="9"/>
      <c r="U1185" s="9"/>
      <c r="W1185" s="9"/>
      <c r="AA1185" s="9"/>
      <c r="AB1185" s="9"/>
      <c r="AC1185" s="9"/>
      <c r="AE1185" s="9"/>
    </row>
    <row r="1186" spans="1:33">
      <c r="A1186" s="389"/>
      <c r="B1186" s="9"/>
      <c r="C1186" s="9"/>
      <c r="D1186" s="9"/>
      <c r="E1186" s="9"/>
      <c r="G1186" s="9"/>
      <c r="I1186" s="9"/>
      <c r="M1186" s="9"/>
      <c r="N1186" s="9"/>
      <c r="O1186" s="9"/>
      <c r="Q1186" s="9"/>
      <c r="S1186" s="9"/>
      <c r="U1186" s="9"/>
      <c r="W1186" s="9"/>
      <c r="AA1186" s="9"/>
      <c r="AB1186" s="9"/>
      <c r="AC1186" s="9"/>
      <c r="AE1186" s="9"/>
    </row>
    <row r="1187" spans="1:33">
      <c r="A1187" s="389"/>
      <c r="B1187" s="9"/>
      <c r="C1187" s="9"/>
      <c r="D1187" s="9"/>
      <c r="E1187" s="9"/>
      <c r="G1187" s="9"/>
      <c r="I1187" s="9"/>
      <c r="M1187" s="9"/>
      <c r="N1187" s="9"/>
      <c r="O1187" s="9"/>
      <c r="Q1187" s="9"/>
      <c r="S1187" s="9"/>
      <c r="U1187" s="9"/>
      <c r="W1187" s="9"/>
      <c r="AA1187" s="9"/>
      <c r="AB1187" s="9"/>
      <c r="AC1187" s="9"/>
      <c r="AE1187" s="9"/>
    </row>
    <row r="1188" spans="1:33">
      <c r="A1188" s="389"/>
      <c r="B1188" s="9"/>
      <c r="C1188" s="9"/>
      <c r="D1188" s="9"/>
      <c r="E1188" s="9"/>
      <c r="G1188" s="9"/>
      <c r="I1188" s="9"/>
      <c r="M1188" s="9"/>
      <c r="N1188" s="9"/>
      <c r="O1188" s="9"/>
      <c r="Q1188" s="9"/>
      <c r="S1188" s="9"/>
      <c r="U1188" s="9"/>
      <c r="W1188" s="9"/>
      <c r="AA1188" s="9"/>
      <c r="AB1188" s="9"/>
      <c r="AC1188" s="9"/>
      <c r="AE1188" s="9"/>
    </row>
    <row r="1189" spans="1:33">
      <c r="A1189" s="389"/>
      <c r="B1189" s="9"/>
      <c r="C1189" s="9"/>
      <c r="D1189" s="9"/>
      <c r="E1189" s="9"/>
      <c r="G1189" s="9"/>
      <c r="I1189" s="9"/>
      <c r="M1189" s="9"/>
      <c r="N1189" s="9"/>
      <c r="O1189" s="9"/>
      <c r="Q1189" s="9"/>
      <c r="S1189" s="9"/>
      <c r="U1189" s="9"/>
      <c r="W1189" s="9"/>
      <c r="AA1189" s="9"/>
      <c r="AB1189" s="9"/>
      <c r="AC1189" s="9"/>
      <c r="AE1189" s="9"/>
    </row>
    <row r="1190" spans="1:33">
      <c r="A1190" s="389"/>
      <c r="B1190" s="9"/>
      <c r="C1190" s="9"/>
      <c r="D1190" s="9"/>
      <c r="E1190" s="9"/>
      <c r="G1190" s="9"/>
      <c r="I1190" s="9"/>
      <c r="M1190" s="9"/>
      <c r="N1190" s="9"/>
      <c r="O1190" s="9"/>
      <c r="Q1190" s="9"/>
      <c r="S1190" s="9"/>
      <c r="U1190" s="9"/>
      <c r="W1190" s="9"/>
      <c r="AA1190" s="9"/>
      <c r="AB1190" s="9"/>
      <c r="AC1190" s="9"/>
      <c r="AE1190" s="9"/>
    </row>
    <row r="1191" spans="1:33" ht="1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row>
    <row r="1192" spans="1:33" ht="1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row>
    <row r="1193" spans="1:33" ht="1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row>
    <row r="1194" spans="1:33" ht="1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row>
    <row r="1195" spans="1:33" ht="1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row>
    <row r="1196" spans="1:33" ht="1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row>
    <row r="1197" spans="1:33" ht="1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row>
    <row r="1198" spans="1:33" ht="1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row>
    <row r="1199" spans="1:33" ht="1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row>
    <row r="1200" spans="1:33" ht="1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row>
    <row r="1201" spans="1:33" ht="1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row>
    <row r="1202" spans="1:33" ht="1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row>
    <row r="1203" spans="1:33" ht="1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row>
    <row r="1204" spans="1:33" ht="1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row>
    <row r="1205" spans="1:33" ht="1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row>
    <row r="1206" spans="1:33" ht="1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row>
    <row r="1207" spans="1:33" ht="1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row>
    <row r="1208" spans="1:33" ht="1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row>
    <row r="1209" spans="1:33" ht="1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row>
    <row r="1210" spans="1:33" ht="1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row>
    <row r="1211" spans="1:33" ht="1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row>
    <row r="1212" spans="1:33" ht="1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row>
    <row r="1213" spans="1:33" ht="1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row>
    <row r="1214" spans="1:33" ht="1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row>
    <row r="1215" spans="1:33">
      <c r="A1215" s="9"/>
      <c r="B1215" s="9"/>
      <c r="C1215" s="9"/>
      <c r="D1215" s="9"/>
      <c r="E1215" s="9"/>
      <c r="G1215" s="9"/>
      <c r="I1215" s="9"/>
      <c r="M1215" s="9"/>
      <c r="N1215" s="9"/>
      <c r="O1215" s="9"/>
      <c r="Q1215" s="9"/>
      <c r="S1215" s="9"/>
      <c r="U1215" s="9"/>
      <c r="W1215" s="9"/>
      <c r="AA1215" s="9"/>
      <c r="AB1215" s="9"/>
      <c r="AC1215" s="9"/>
      <c r="AE1215" s="9"/>
    </row>
    <row r="1216" spans="1:33">
      <c r="A1216" s="9"/>
      <c r="B1216" s="9"/>
      <c r="C1216" s="9"/>
      <c r="D1216" s="9"/>
      <c r="E1216" s="9"/>
      <c r="G1216" s="9"/>
      <c r="I1216" s="9"/>
      <c r="M1216" s="9"/>
      <c r="N1216" s="9"/>
      <c r="O1216" s="9"/>
      <c r="Q1216" s="9"/>
      <c r="S1216" s="9"/>
      <c r="U1216" s="9"/>
      <c r="W1216" s="9"/>
      <c r="AA1216" s="9"/>
      <c r="AB1216" s="9"/>
      <c r="AC1216" s="9"/>
      <c r="AE1216" s="9"/>
    </row>
    <row r="1217" spans="1:31">
      <c r="A1217" s="9"/>
      <c r="B1217" s="9"/>
      <c r="C1217" s="9"/>
      <c r="D1217" s="9"/>
      <c r="E1217" s="9"/>
      <c r="G1217" s="9"/>
      <c r="I1217" s="9"/>
      <c r="M1217" s="9"/>
      <c r="N1217" s="9"/>
      <c r="O1217" s="9"/>
      <c r="Q1217" s="9"/>
      <c r="S1217" s="9"/>
      <c r="U1217" s="9"/>
      <c r="W1217" s="9"/>
      <c r="AA1217" s="9"/>
      <c r="AB1217" s="9"/>
      <c r="AC1217" s="9"/>
      <c r="AE1217" s="9"/>
    </row>
    <row r="1218" spans="1:31">
      <c r="A1218" s="9"/>
      <c r="B1218" s="9"/>
      <c r="C1218" s="9"/>
      <c r="D1218" s="9"/>
      <c r="E1218" s="9"/>
      <c r="G1218" s="9"/>
      <c r="I1218" s="9"/>
      <c r="M1218" s="9"/>
      <c r="N1218" s="9"/>
      <c r="O1218" s="9"/>
      <c r="Q1218" s="9"/>
      <c r="S1218" s="9"/>
      <c r="U1218" s="9"/>
      <c r="W1218" s="9"/>
      <c r="AA1218" s="9"/>
      <c r="AB1218" s="9"/>
      <c r="AC1218" s="9"/>
      <c r="AE1218" s="9"/>
    </row>
    <row r="1219" spans="1:31">
      <c r="A1219" s="9"/>
      <c r="B1219" s="9"/>
      <c r="C1219" s="9"/>
      <c r="D1219" s="9"/>
      <c r="E1219" s="9"/>
      <c r="G1219" s="9"/>
      <c r="I1219" s="9"/>
      <c r="M1219" s="9"/>
      <c r="N1219" s="9"/>
      <c r="O1219" s="9"/>
      <c r="Q1219" s="9"/>
      <c r="S1219" s="9"/>
      <c r="U1219" s="9"/>
      <c r="W1219" s="9"/>
      <c r="AA1219" s="9"/>
      <c r="AB1219" s="9"/>
      <c r="AC1219" s="9"/>
      <c r="AE1219" s="9"/>
    </row>
    <row r="1220" spans="1:31">
      <c r="A1220" s="9"/>
      <c r="B1220" s="9"/>
      <c r="C1220" s="9"/>
      <c r="D1220" s="9"/>
      <c r="E1220" s="9"/>
      <c r="G1220" s="9"/>
      <c r="I1220" s="9"/>
      <c r="M1220" s="9"/>
      <c r="N1220" s="9"/>
      <c r="O1220" s="9"/>
      <c r="Q1220" s="9"/>
      <c r="S1220" s="9"/>
      <c r="U1220" s="9"/>
      <c r="W1220" s="9"/>
      <c r="AA1220" s="9"/>
      <c r="AB1220" s="9"/>
      <c r="AC1220" s="9"/>
      <c r="AE1220" s="9"/>
    </row>
    <row r="1221" spans="1:31">
      <c r="A1221" s="9"/>
      <c r="B1221" s="9"/>
      <c r="C1221" s="9"/>
      <c r="D1221" s="9"/>
      <c r="E1221" s="9"/>
      <c r="G1221" s="9"/>
      <c r="I1221" s="9"/>
      <c r="M1221" s="9"/>
      <c r="N1221" s="9"/>
      <c r="O1221" s="9"/>
      <c r="Q1221" s="9"/>
      <c r="S1221" s="9"/>
      <c r="U1221" s="9"/>
      <c r="W1221" s="9"/>
      <c r="AA1221" s="9"/>
      <c r="AB1221" s="9"/>
      <c r="AC1221" s="9"/>
      <c r="AE1221" s="9"/>
    </row>
    <row r="1222" spans="1:31">
      <c r="A1222" s="9"/>
      <c r="B1222" s="9"/>
      <c r="C1222" s="9"/>
      <c r="D1222" s="9"/>
      <c r="E1222" s="9"/>
      <c r="G1222" s="9"/>
      <c r="I1222" s="9"/>
      <c r="M1222" s="9"/>
      <c r="N1222" s="9"/>
      <c r="O1222" s="9"/>
      <c r="Q1222" s="9"/>
      <c r="S1222" s="9"/>
      <c r="U1222" s="9"/>
      <c r="W1222" s="9"/>
      <c r="AA1222" s="9"/>
      <c r="AB1222" s="9"/>
      <c r="AC1222" s="9"/>
      <c r="AE1222" s="9"/>
    </row>
    <row r="1223" spans="1:31">
      <c r="A1223" s="9"/>
      <c r="B1223" s="9"/>
      <c r="C1223" s="9"/>
      <c r="D1223" s="9"/>
      <c r="E1223" s="9"/>
      <c r="G1223" s="9"/>
      <c r="I1223" s="9"/>
      <c r="M1223" s="9"/>
      <c r="N1223" s="9"/>
      <c r="O1223" s="9"/>
      <c r="Q1223" s="9"/>
      <c r="S1223" s="9"/>
      <c r="U1223" s="9"/>
      <c r="W1223" s="9"/>
      <c r="AA1223" s="9"/>
      <c r="AB1223" s="9"/>
      <c r="AC1223" s="9"/>
      <c r="AE1223" s="9"/>
    </row>
    <row r="1224" spans="1:31">
      <c r="A1224" s="9"/>
      <c r="B1224" s="9"/>
      <c r="C1224" s="9"/>
      <c r="D1224" s="9"/>
      <c r="E1224" s="9"/>
      <c r="G1224" s="9"/>
      <c r="I1224" s="9"/>
      <c r="M1224" s="9"/>
      <c r="N1224" s="9"/>
      <c r="O1224" s="9"/>
      <c r="Q1224" s="9"/>
      <c r="S1224" s="9"/>
      <c r="U1224" s="9"/>
      <c r="W1224" s="9"/>
      <c r="AA1224" s="9"/>
      <c r="AB1224" s="9"/>
      <c r="AC1224" s="9"/>
      <c r="AE1224" s="9"/>
    </row>
    <row r="1225" spans="1:31">
      <c r="A1225" s="9"/>
      <c r="B1225" s="9"/>
      <c r="C1225" s="9"/>
      <c r="D1225" s="9"/>
      <c r="E1225" s="9"/>
      <c r="G1225" s="9"/>
      <c r="I1225" s="9"/>
      <c r="M1225" s="9"/>
      <c r="N1225" s="9"/>
      <c r="O1225" s="9"/>
      <c r="Q1225" s="9"/>
      <c r="S1225" s="9"/>
      <c r="U1225" s="9"/>
      <c r="W1225" s="9"/>
      <c r="AA1225" s="9"/>
      <c r="AB1225" s="9"/>
      <c r="AC1225" s="9"/>
      <c r="AE1225" s="9"/>
    </row>
    <row r="1226" spans="1:31">
      <c r="A1226" s="9"/>
      <c r="B1226" s="9"/>
      <c r="C1226" s="9"/>
      <c r="D1226" s="9"/>
      <c r="E1226" s="9"/>
      <c r="G1226" s="9"/>
      <c r="I1226" s="9"/>
      <c r="M1226" s="9"/>
      <c r="N1226" s="9"/>
      <c r="O1226" s="9"/>
      <c r="Q1226" s="9"/>
      <c r="S1226" s="9"/>
      <c r="U1226" s="9"/>
      <c r="W1226" s="9"/>
      <c r="AA1226" s="9"/>
      <c r="AB1226" s="9"/>
      <c r="AC1226" s="9"/>
      <c r="AE1226" s="9"/>
    </row>
    <row r="1227" spans="1:31">
      <c r="A1227" s="9"/>
      <c r="B1227" s="9"/>
      <c r="C1227" s="9"/>
      <c r="D1227" s="9"/>
      <c r="E1227" s="9"/>
      <c r="G1227" s="9"/>
      <c r="I1227" s="9"/>
      <c r="M1227" s="9"/>
      <c r="N1227" s="9"/>
      <c r="O1227" s="9"/>
      <c r="Q1227" s="9"/>
      <c r="S1227" s="9"/>
      <c r="U1227" s="9"/>
      <c r="W1227" s="9"/>
      <c r="AA1227" s="9"/>
      <c r="AB1227" s="9"/>
      <c r="AC1227" s="9"/>
      <c r="AE1227" s="9"/>
    </row>
    <row r="1228" spans="1:31">
      <c r="A1228" s="9"/>
      <c r="B1228" s="9"/>
      <c r="C1228" s="9"/>
      <c r="D1228" s="9"/>
      <c r="E1228" s="9"/>
      <c r="G1228" s="9"/>
      <c r="I1228" s="9"/>
      <c r="M1228" s="9"/>
      <c r="N1228" s="9"/>
      <c r="O1228" s="9"/>
      <c r="Q1228" s="9"/>
      <c r="S1228" s="9"/>
      <c r="U1228" s="9"/>
      <c r="W1228" s="9"/>
      <c r="AA1228" s="9"/>
      <c r="AB1228" s="9"/>
      <c r="AC1228" s="9"/>
      <c r="AE1228" s="9"/>
    </row>
    <row r="1229" spans="1:31">
      <c r="A1229" s="9"/>
      <c r="B1229" s="9"/>
      <c r="C1229" s="9"/>
      <c r="D1229" s="9"/>
      <c r="E1229" s="9"/>
      <c r="G1229" s="9"/>
      <c r="I1229" s="9"/>
      <c r="M1229" s="9"/>
      <c r="N1229" s="9"/>
      <c r="O1229" s="9"/>
      <c r="Q1229" s="9"/>
      <c r="S1229" s="9"/>
      <c r="U1229" s="9"/>
      <c r="W1229" s="9"/>
      <c r="AA1229" s="9"/>
      <c r="AB1229" s="9"/>
      <c r="AC1229" s="9"/>
      <c r="AE1229" s="9"/>
    </row>
    <row r="1230" spans="1:31">
      <c r="A1230" s="9"/>
      <c r="B1230" s="9"/>
      <c r="C1230" s="9"/>
      <c r="D1230" s="9"/>
      <c r="E1230" s="9"/>
      <c r="G1230" s="9"/>
      <c r="I1230" s="9"/>
      <c r="M1230" s="9"/>
      <c r="N1230" s="9"/>
      <c r="O1230" s="9"/>
      <c r="Q1230" s="9"/>
      <c r="S1230" s="9"/>
      <c r="U1230" s="9"/>
      <c r="W1230" s="9"/>
      <c r="AA1230" s="9"/>
      <c r="AB1230" s="9"/>
      <c r="AC1230" s="9"/>
      <c r="AE1230" s="9"/>
    </row>
    <row r="1231" spans="1:31">
      <c r="A1231" s="9"/>
      <c r="B1231" s="9"/>
      <c r="C1231" s="9"/>
      <c r="D1231" s="9"/>
      <c r="E1231" s="9"/>
      <c r="G1231" s="9"/>
      <c r="I1231" s="9"/>
      <c r="M1231" s="9"/>
      <c r="N1231" s="9"/>
      <c r="O1231" s="9"/>
      <c r="Q1231" s="9"/>
      <c r="S1231" s="9"/>
      <c r="U1231" s="9"/>
      <c r="W1231" s="9"/>
      <c r="AA1231" s="9"/>
      <c r="AB1231" s="9"/>
      <c r="AC1231" s="9"/>
      <c r="AE1231" s="9"/>
    </row>
    <row r="1232" spans="1:31">
      <c r="A1232" s="9"/>
      <c r="B1232" s="9"/>
      <c r="C1232" s="9"/>
      <c r="D1232" s="9"/>
      <c r="E1232" s="9"/>
      <c r="G1232" s="9"/>
      <c r="I1232" s="9"/>
      <c r="M1232" s="9"/>
      <c r="N1232" s="9"/>
      <c r="O1232" s="9"/>
      <c r="Q1232" s="9"/>
      <c r="S1232" s="9"/>
      <c r="U1232" s="9"/>
      <c r="W1232" s="9"/>
      <c r="AA1232" s="9"/>
      <c r="AB1232" s="9"/>
      <c r="AC1232" s="9"/>
      <c r="AE1232" s="9"/>
    </row>
    <row r="1233" spans="1:31">
      <c r="A1233" s="9"/>
      <c r="B1233" s="9"/>
      <c r="C1233" s="9"/>
      <c r="D1233" s="9"/>
      <c r="E1233" s="9"/>
      <c r="G1233" s="9"/>
      <c r="I1233" s="9"/>
      <c r="M1233" s="9"/>
      <c r="N1233" s="9"/>
      <c r="O1233" s="9"/>
      <c r="Q1233" s="9"/>
      <c r="S1233" s="9"/>
      <c r="U1233" s="9"/>
      <c r="W1233" s="9"/>
      <c r="AA1233" s="9"/>
      <c r="AB1233" s="9"/>
      <c r="AC1233" s="9"/>
      <c r="AE1233" s="9"/>
    </row>
    <row r="1234" spans="1:31">
      <c r="A1234" s="9"/>
      <c r="B1234" s="9"/>
      <c r="C1234" s="9"/>
      <c r="D1234" s="9"/>
      <c r="E1234" s="9"/>
      <c r="G1234" s="9"/>
      <c r="I1234" s="9"/>
      <c r="M1234" s="9"/>
      <c r="N1234" s="9"/>
      <c r="O1234" s="9"/>
      <c r="Q1234" s="9"/>
      <c r="S1234" s="9"/>
      <c r="U1234" s="9"/>
      <c r="W1234" s="9"/>
      <c r="AA1234" s="9"/>
      <c r="AB1234" s="9"/>
      <c r="AC1234" s="9"/>
      <c r="AE1234" s="9"/>
    </row>
    <row r="1235" spans="1:31">
      <c r="A1235" s="9"/>
      <c r="B1235" s="9"/>
      <c r="C1235" s="9"/>
      <c r="D1235" s="9"/>
      <c r="E1235" s="9"/>
      <c r="G1235" s="9"/>
      <c r="I1235" s="9"/>
      <c r="M1235" s="9"/>
      <c r="N1235" s="9"/>
      <c r="O1235" s="9"/>
      <c r="Q1235" s="9"/>
      <c r="S1235" s="9"/>
      <c r="U1235" s="9"/>
      <c r="W1235" s="9"/>
      <c r="AA1235" s="9"/>
      <c r="AB1235" s="9"/>
      <c r="AC1235" s="9"/>
      <c r="AE1235" s="9"/>
    </row>
    <row r="1236" spans="1:31">
      <c r="A1236" s="9"/>
      <c r="B1236" s="9"/>
      <c r="C1236" s="9"/>
      <c r="D1236" s="9"/>
      <c r="E1236" s="9"/>
      <c r="G1236" s="9"/>
      <c r="I1236" s="9"/>
      <c r="M1236" s="9"/>
      <c r="N1236" s="9"/>
      <c r="O1236" s="9"/>
      <c r="Q1236" s="9"/>
      <c r="S1236" s="9"/>
      <c r="U1236" s="9"/>
      <c r="W1236" s="9"/>
      <c r="AA1236" s="9"/>
      <c r="AB1236" s="9"/>
      <c r="AC1236" s="9"/>
      <c r="AE1236" s="9"/>
    </row>
    <row r="1237" spans="1:31">
      <c r="A1237" s="9"/>
      <c r="B1237" s="9"/>
      <c r="C1237" s="9"/>
      <c r="D1237" s="9"/>
      <c r="E1237" s="9"/>
      <c r="G1237" s="9"/>
      <c r="I1237" s="9"/>
      <c r="M1237" s="9"/>
      <c r="N1237" s="9"/>
      <c r="O1237" s="9"/>
      <c r="Q1237" s="9"/>
      <c r="S1237" s="9"/>
      <c r="U1237" s="9"/>
      <c r="W1237" s="9"/>
      <c r="AA1237" s="9"/>
      <c r="AB1237" s="9"/>
      <c r="AC1237" s="9"/>
      <c r="AE1237" s="9"/>
    </row>
    <row r="1238" spans="1:31">
      <c r="A1238" s="9"/>
      <c r="B1238" s="9"/>
      <c r="C1238" s="9"/>
      <c r="D1238" s="9"/>
      <c r="E1238" s="9"/>
      <c r="G1238" s="9"/>
      <c r="I1238" s="9"/>
      <c r="M1238" s="9"/>
      <c r="N1238" s="9"/>
      <c r="O1238" s="9"/>
      <c r="Q1238" s="9"/>
      <c r="S1238" s="9"/>
      <c r="U1238" s="9"/>
      <c r="W1238" s="9"/>
      <c r="AA1238" s="9"/>
      <c r="AB1238" s="9"/>
      <c r="AC1238" s="9"/>
      <c r="AE1238" s="9"/>
    </row>
    <row r="1239" spans="1:31">
      <c r="A1239" s="9"/>
      <c r="B1239" s="9"/>
      <c r="C1239" s="9"/>
      <c r="D1239" s="9"/>
      <c r="E1239" s="9"/>
      <c r="G1239" s="9"/>
      <c r="I1239" s="9"/>
      <c r="M1239" s="9"/>
      <c r="N1239" s="9"/>
      <c r="O1239" s="9"/>
      <c r="Q1239" s="9"/>
      <c r="S1239" s="9"/>
      <c r="U1239" s="9"/>
      <c r="W1239" s="9"/>
      <c r="AA1239" s="9"/>
      <c r="AB1239" s="9"/>
      <c r="AC1239" s="9"/>
      <c r="AE1239" s="9"/>
    </row>
    <row r="1240" spans="1:31">
      <c r="A1240" s="9"/>
      <c r="B1240" s="9"/>
      <c r="C1240" s="9"/>
      <c r="D1240" s="9"/>
      <c r="E1240" s="9"/>
      <c r="G1240" s="9"/>
      <c r="I1240" s="9"/>
      <c r="M1240" s="9"/>
      <c r="N1240" s="9"/>
      <c r="O1240" s="9"/>
      <c r="Q1240" s="9"/>
      <c r="S1240" s="9"/>
      <c r="U1240" s="9"/>
      <c r="W1240" s="9"/>
      <c r="AA1240" s="9"/>
      <c r="AB1240" s="9"/>
      <c r="AC1240" s="9"/>
      <c r="AE1240" s="9"/>
    </row>
    <row r="1241" spans="1:31">
      <c r="A1241" s="9"/>
      <c r="B1241" s="9"/>
      <c r="C1241" s="9"/>
      <c r="D1241" s="9"/>
      <c r="E1241" s="9"/>
      <c r="G1241" s="9"/>
      <c r="I1241" s="9"/>
      <c r="M1241" s="9"/>
      <c r="N1241" s="9"/>
      <c r="O1241" s="9"/>
      <c r="Q1241" s="9"/>
      <c r="S1241" s="9"/>
      <c r="U1241" s="9"/>
      <c r="W1241" s="9"/>
      <c r="AA1241" s="9"/>
      <c r="AB1241" s="9"/>
      <c r="AC1241" s="9"/>
      <c r="AE1241" s="9"/>
    </row>
    <row r="1242" spans="1:31">
      <c r="A1242" s="9"/>
      <c r="B1242" s="9"/>
      <c r="C1242" s="9"/>
      <c r="D1242" s="9"/>
      <c r="E1242" s="9"/>
      <c r="G1242" s="9"/>
      <c r="I1242" s="9"/>
      <c r="M1242" s="9"/>
      <c r="N1242" s="9"/>
      <c r="O1242" s="9"/>
      <c r="Q1242" s="9"/>
      <c r="S1242" s="9"/>
      <c r="U1242" s="9"/>
      <c r="W1242" s="9"/>
      <c r="AA1242" s="9"/>
      <c r="AB1242" s="9"/>
      <c r="AC1242" s="9"/>
      <c r="AE1242" s="9"/>
    </row>
    <row r="1243" spans="1:31">
      <c r="A1243" s="9"/>
      <c r="B1243" s="9"/>
      <c r="C1243" s="9"/>
      <c r="D1243" s="9"/>
      <c r="E1243" s="9"/>
      <c r="G1243" s="9"/>
      <c r="I1243" s="9"/>
      <c r="M1243" s="9"/>
      <c r="N1243" s="9"/>
      <c r="O1243" s="9"/>
      <c r="Q1243" s="9"/>
      <c r="S1243" s="9"/>
      <c r="U1243" s="9"/>
      <c r="W1243" s="9"/>
      <c r="AA1243" s="9"/>
      <c r="AB1243" s="9"/>
      <c r="AC1243" s="9"/>
      <c r="AE1243" s="9"/>
    </row>
    <row r="1244" spans="1:31">
      <c r="A1244" s="9"/>
      <c r="B1244" s="9"/>
      <c r="C1244" s="9"/>
      <c r="D1244" s="9"/>
      <c r="E1244" s="9"/>
      <c r="G1244" s="9"/>
      <c r="I1244" s="9"/>
      <c r="M1244" s="9"/>
      <c r="N1244" s="9"/>
      <c r="O1244" s="9"/>
      <c r="Q1244" s="9"/>
      <c r="S1244" s="9"/>
      <c r="U1244" s="9"/>
      <c r="W1244" s="9"/>
      <c r="AA1244" s="9"/>
      <c r="AB1244" s="9"/>
      <c r="AC1244" s="9"/>
      <c r="AE1244" s="9"/>
    </row>
    <row r="1245" spans="1:31">
      <c r="A1245" s="9"/>
      <c r="B1245" s="9"/>
      <c r="C1245" s="9"/>
      <c r="D1245" s="9"/>
      <c r="E1245" s="9"/>
      <c r="G1245" s="9"/>
      <c r="I1245" s="9"/>
      <c r="M1245" s="9"/>
      <c r="N1245" s="9"/>
      <c r="O1245" s="9"/>
      <c r="Q1245" s="9"/>
      <c r="S1245" s="9"/>
      <c r="U1245" s="9"/>
      <c r="W1245" s="9"/>
      <c r="AA1245" s="9"/>
      <c r="AB1245" s="9"/>
      <c r="AC1245" s="9"/>
      <c r="AE1245" s="9"/>
    </row>
    <row r="1246" spans="1:31">
      <c r="A1246" s="9"/>
      <c r="B1246" s="9"/>
      <c r="C1246" s="9"/>
      <c r="D1246" s="9"/>
      <c r="E1246" s="9"/>
      <c r="G1246" s="9"/>
      <c r="I1246" s="9"/>
      <c r="M1246" s="9"/>
      <c r="N1246" s="9"/>
      <c r="O1246" s="9"/>
      <c r="Q1246" s="9"/>
      <c r="S1246" s="9"/>
      <c r="U1246" s="9"/>
      <c r="W1246" s="9"/>
      <c r="AA1246" s="9"/>
      <c r="AB1246" s="9"/>
      <c r="AC1246" s="9"/>
      <c r="AE1246" s="9"/>
    </row>
    <row r="1247" spans="1:31">
      <c r="A1247" s="9"/>
      <c r="B1247" s="9"/>
      <c r="C1247" s="9"/>
      <c r="D1247" s="9"/>
      <c r="E1247" s="9"/>
      <c r="G1247" s="9"/>
      <c r="I1247" s="9"/>
      <c r="M1247" s="9"/>
      <c r="N1247" s="9"/>
      <c r="O1247" s="9"/>
      <c r="Q1247" s="9"/>
      <c r="S1247" s="9"/>
      <c r="U1247" s="9"/>
      <c r="W1247" s="9"/>
      <c r="AA1247" s="9"/>
      <c r="AB1247" s="9"/>
      <c r="AC1247" s="9"/>
      <c r="AE1247" s="9"/>
    </row>
    <row r="1248" spans="1:31">
      <c r="A1248" s="9"/>
      <c r="B1248" s="9"/>
      <c r="C1248" s="9"/>
      <c r="D1248" s="9"/>
      <c r="E1248" s="9"/>
      <c r="G1248" s="9"/>
      <c r="I1248" s="9"/>
      <c r="M1248" s="9"/>
      <c r="N1248" s="9"/>
      <c r="O1248" s="9"/>
      <c r="Q1248" s="9"/>
      <c r="S1248" s="9"/>
      <c r="U1248" s="9"/>
      <c r="W1248" s="9"/>
      <c r="AA1248" s="9"/>
      <c r="AB1248" s="9"/>
      <c r="AC1248" s="9"/>
      <c r="AE1248" s="9"/>
    </row>
    <row r="1249" spans="1:31">
      <c r="A1249" s="9"/>
      <c r="B1249" s="9"/>
      <c r="C1249" s="9"/>
      <c r="D1249" s="9"/>
      <c r="E1249" s="9"/>
      <c r="G1249" s="9"/>
      <c r="I1249" s="9"/>
      <c r="M1249" s="9"/>
      <c r="N1249" s="9"/>
      <c r="O1249" s="9"/>
      <c r="Q1249" s="9"/>
      <c r="S1249" s="9"/>
      <c r="U1249" s="9"/>
      <c r="W1249" s="9"/>
      <c r="AA1249" s="9"/>
      <c r="AB1249" s="9"/>
      <c r="AC1249" s="9"/>
      <c r="AE1249" s="9"/>
    </row>
    <row r="1250" spans="1:31">
      <c r="A1250" s="9"/>
      <c r="B1250" s="9"/>
      <c r="C1250" s="9"/>
      <c r="D1250" s="9"/>
      <c r="E1250" s="9"/>
      <c r="G1250" s="9"/>
      <c r="I1250" s="9"/>
      <c r="M1250" s="9"/>
      <c r="N1250" s="9"/>
      <c r="O1250" s="9"/>
      <c r="Q1250" s="9"/>
      <c r="S1250" s="9"/>
      <c r="U1250" s="9"/>
      <c r="W1250" s="9"/>
      <c r="AA1250" s="9"/>
      <c r="AB1250" s="9"/>
      <c r="AC1250" s="9"/>
      <c r="AE1250" s="9"/>
    </row>
    <row r="1251" spans="1:31">
      <c r="A1251" s="9"/>
      <c r="B1251" s="9"/>
      <c r="C1251" s="9"/>
      <c r="D1251" s="9"/>
      <c r="E1251" s="9"/>
      <c r="G1251" s="9"/>
      <c r="I1251" s="9"/>
      <c r="M1251" s="9"/>
      <c r="N1251" s="9"/>
      <c r="O1251" s="9"/>
      <c r="Q1251" s="9"/>
      <c r="S1251" s="9"/>
      <c r="U1251" s="9"/>
      <c r="W1251" s="9"/>
      <c r="AA1251" s="9"/>
      <c r="AB1251" s="9"/>
      <c r="AC1251" s="9"/>
      <c r="AE1251" s="9"/>
    </row>
    <row r="1252" spans="1:31">
      <c r="A1252" s="9"/>
      <c r="B1252" s="9"/>
      <c r="C1252" s="9"/>
      <c r="D1252" s="9"/>
      <c r="E1252" s="9"/>
      <c r="G1252" s="9"/>
      <c r="I1252" s="9"/>
      <c r="M1252" s="9"/>
      <c r="N1252" s="9"/>
      <c r="O1252" s="9"/>
      <c r="Q1252" s="9"/>
      <c r="S1252" s="9"/>
      <c r="U1252" s="9"/>
      <c r="W1252" s="9"/>
      <c r="AA1252" s="9"/>
      <c r="AB1252" s="9"/>
      <c r="AC1252" s="9"/>
      <c r="AE1252" s="9"/>
    </row>
    <row r="1253" spans="1:31">
      <c r="A1253" s="9"/>
      <c r="B1253" s="9"/>
      <c r="C1253" s="9"/>
      <c r="D1253" s="9"/>
      <c r="E1253" s="9"/>
      <c r="G1253" s="9"/>
      <c r="I1253" s="9"/>
      <c r="M1253" s="9"/>
      <c r="N1253" s="9"/>
      <c r="O1253" s="9"/>
      <c r="Q1253" s="9"/>
      <c r="S1253" s="9"/>
      <c r="U1253" s="9"/>
      <c r="W1253" s="9"/>
      <c r="AA1253" s="9"/>
      <c r="AB1253" s="9"/>
      <c r="AC1253" s="9"/>
      <c r="AE1253" s="9"/>
    </row>
    <row r="1254" spans="1:31">
      <c r="A1254" s="9"/>
      <c r="B1254" s="9"/>
      <c r="C1254" s="9"/>
      <c r="D1254" s="9"/>
      <c r="E1254" s="9"/>
      <c r="G1254" s="9"/>
      <c r="I1254" s="9"/>
      <c r="M1254" s="9"/>
      <c r="N1254" s="9"/>
      <c r="O1254" s="9"/>
      <c r="Q1254" s="9"/>
      <c r="S1254" s="9"/>
      <c r="U1254" s="9"/>
      <c r="W1254" s="9"/>
      <c r="AA1254" s="9"/>
      <c r="AB1254" s="9"/>
      <c r="AC1254" s="9"/>
      <c r="AE1254" s="9"/>
    </row>
    <row r="1255" spans="1:31">
      <c r="A1255" s="9"/>
      <c r="B1255" s="9"/>
      <c r="C1255" s="9"/>
      <c r="D1255" s="9"/>
      <c r="E1255" s="9"/>
      <c r="G1255" s="9"/>
      <c r="I1255" s="9"/>
      <c r="M1255" s="9"/>
      <c r="N1255" s="9"/>
      <c r="O1255" s="9"/>
      <c r="Q1255" s="9"/>
      <c r="S1255" s="9"/>
      <c r="U1255" s="9"/>
      <c r="W1255" s="9"/>
      <c r="AA1255" s="9"/>
      <c r="AB1255" s="9"/>
      <c r="AC1255" s="9"/>
      <c r="AE1255" s="9"/>
    </row>
    <row r="1256" spans="1:31">
      <c r="A1256" s="9"/>
      <c r="B1256" s="9"/>
      <c r="C1256" s="9"/>
      <c r="D1256" s="9"/>
      <c r="E1256" s="9"/>
      <c r="G1256" s="9"/>
      <c r="I1256" s="9"/>
      <c r="M1256" s="9"/>
      <c r="N1256" s="9"/>
      <c r="O1256" s="9"/>
      <c r="Q1256" s="9"/>
      <c r="S1256" s="9"/>
      <c r="U1256" s="9"/>
      <c r="W1256" s="9"/>
      <c r="AA1256" s="9"/>
      <c r="AB1256" s="9"/>
      <c r="AC1256" s="9"/>
      <c r="AE1256" s="9"/>
    </row>
    <row r="1257" spans="1:31">
      <c r="A1257" s="9"/>
      <c r="B1257" s="9"/>
      <c r="C1257" s="9"/>
      <c r="D1257" s="9"/>
      <c r="E1257" s="9"/>
      <c r="G1257" s="9"/>
      <c r="I1257" s="9"/>
      <c r="M1257" s="9"/>
      <c r="N1257" s="9"/>
      <c r="O1257" s="9"/>
      <c r="Q1257" s="9"/>
      <c r="S1257" s="9"/>
      <c r="U1257" s="9"/>
      <c r="W1257" s="9"/>
      <c r="AA1257" s="9"/>
      <c r="AB1257" s="9"/>
      <c r="AC1257" s="9"/>
      <c r="AE1257" s="9"/>
    </row>
    <row r="1258" spans="1:31">
      <c r="A1258" s="9"/>
      <c r="B1258" s="9"/>
      <c r="C1258" s="9"/>
      <c r="D1258" s="9"/>
      <c r="E1258" s="9"/>
      <c r="G1258" s="9"/>
      <c r="I1258" s="9"/>
      <c r="M1258" s="9"/>
      <c r="N1258" s="9"/>
      <c r="O1258" s="9"/>
      <c r="Q1258" s="9"/>
      <c r="S1258" s="9"/>
      <c r="U1258" s="9"/>
      <c r="W1258" s="9"/>
      <c r="AA1258" s="9"/>
      <c r="AB1258" s="9"/>
      <c r="AC1258" s="9"/>
      <c r="AE1258" s="9"/>
    </row>
    <row r="1259" spans="1:31">
      <c r="A1259" s="9"/>
      <c r="B1259" s="9"/>
      <c r="C1259" s="9"/>
      <c r="D1259" s="9"/>
      <c r="E1259" s="9"/>
      <c r="G1259" s="9"/>
      <c r="I1259" s="9"/>
      <c r="M1259" s="9"/>
      <c r="N1259" s="9"/>
      <c r="O1259" s="9"/>
      <c r="Q1259" s="9"/>
      <c r="S1259" s="9"/>
      <c r="U1259" s="9"/>
      <c r="W1259" s="9"/>
      <c r="AA1259" s="9"/>
      <c r="AB1259" s="9"/>
      <c r="AC1259" s="9"/>
      <c r="AE1259" s="9"/>
    </row>
    <row r="1260" spans="1:31">
      <c r="A1260" s="9"/>
      <c r="B1260" s="9"/>
      <c r="C1260" s="9"/>
      <c r="D1260" s="9"/>
      <c r="E1260" s="9"/>
      <c r="G1260" s="9"/>
      <c r="I1260" s="9"/>
      <c r="M1260" s="9"/>
      <c r="N1260" s="9"/>
      <c r="O1260" s="9"/>
      <c r="Q1260" s="9"/>
      <c r="S1260" s="9"/>
      <c r="U1260" s="9"/>
      <c r="W1260" s="9"/>
      <c r="AA1260" s="9"/>
      <c r="AB1260" s="9"/>
      <c r="AC1260" s="9"/>
      <c r="AE1260" s="9"/>
    </row>
    <row r="1261" spans="1:31">
      <c r="A1261" s="9"/>
      <c r="B1261" s="9"/>
      <c r="C1261" s="9"/>
      <c r="D1261" s="9"/>
      <c r="E1261" s="9"/>
      <c r="G1261" s="9"/>
      <c r="I1261" s="9"/>
      <c r="M1261" s="9"/>
      <c r="N1261" s="9"/>
      <c r="O1261" s="9"/>
      <c r="Q1261" s="9"/>
      <c r="S1261" s="9"/>
      <c r="U1261" s="9"/>
      <c r="W1261" s="9"/>
      <c r="AA1261" s="9"/>
      <c r="AB1261" s="9"/>
      <c r="AC1261" s="9"/>
      <c r="AE1261" s="9"/>
    </row>
    <row r="1262" spans="1:31">
      <c r="A1262" s="9"/>
      <c r="B1262" s="9"/>
      <c r="C1262" s="9"/>
      <c r="D1262" s="9"/>
      <c r="E1262" s="9"/>
      <c r="G1262" s="9"/>
      <c r="I1262" s="9"/>
      <c r="M1262" s="9"/>
      <c r="N1262" s="9"/>
      <c r="O1262" s="9"/>
      <c r="Q1262" s="9"/>
      <c r="S1262" s="9"/>
      <c r="U1262" s="9"/>
      <c r="W1262" s="9"/>
      <c r="AA1262" s="9"/>
      <c r="AB1262" s="9"/>
      <c r="AC1262" s="9"/>
      <c r="AE1262" s="9"/>
    </row>
    <row r="1263" spans="1:31">
      <c r="A1263" s="9"/>
      <c r="B1263" s="9"/>
      <c r="C1263" s="9"/>
      <c r="D1263" s="9"/>
      <c r="E1263" s="9"/>
      <c r="G1263" s="9"/>
      <c r="I1263" s="9"/>
      <c r="M1263" s="9"/>
      <c r="N1263" s="9"/>
      <c r="O1263" s="9"/>
      <c r="Q1263" s="9"/>
      <c r="S1263" s="9"/>
      <c r="U1263" s="9"/>
      <c r="W1263" s="9"/>
      <c r="AA1263" s="9"/>
      <c r="AB1263" s="9"/>
      <c r="AC1263" s="9"/>
      <c r="AE1263" s="9"/>
    </row>
    <row r="1264" spans="1:31">
      <c r="A1264" s="9"/>
      <c r="B1264" s="9"/>
      <c r="C1264" s="9"/>
      <c r="D1264" s="9"/>
      <c r="E1264" s="9"/>
      <c r="G1264" s="9"/>
      <c r="I1264" s="9"/>
      <c r="M1264" s="9"/>
      <c r="N1264" s="9"/>
      <c r="O1264" s="9"/>
      <c r="Q1264" s="9"/>
      <c r="S1264" s="9"/>
      <c r="U1264" s="9"/>
      <c r="W1264" s="9"/>
      <c r="AA1264" s="9"/>
      <c r="AB1264" s="9"/>
      <c r="AC1264" s="9"/>
      <c r="AE1264" s="9"/>
    </row>
    <row r="1265" spans="1:31">
      <c r="A1265" s="9"/>
      <c r="B1265" s="9"/>
      <c r="C1265" s="9"/>
      <c r="D1265" s="9"/>
      <c r="E1265" s="9"/>
      <c r="G1265" s="9"/>
      <c r="I1265" s="9"/>
      <c r="M1265" s="9"/>
      <c r="N1265" s="9"/>
      <c r="O1265" s="9"/>
      <c r="Q1265" s="9"/>
      <c r="S1265" s="9"/>
      <c r="U1265" s="9"/>
      <c r="W1265" s="9"/>
      <c r="AA1265" s="9"/>
      <c r="AB1265" s="9"/>
      <c r="AC1265" s="9"/>
      <c r="AE1265" s="9"/>
    </row>
    <row r="1266" spans="1:31">
      <c r="A1266" s="9"/>
      <c r="B1266" s="9"/>
      <c r="C1266" s="9"/>
      <c r="D1266" s="9"/>
      <c r="E1266" s="9"/>
      <c r="G1266" s="9"/>
      <c r="I1266" s="9"/>
      <c r="M1266" s="9"/>
      <c r="N1266" s="9"/>
      <c r="O1266" s="9"/>
      <c r="Q1266" s="9"/>
      <c r="S1266" s="9"/>
      <c r="U1266" s="9"/>
      <c r="W1266" s="9"/>
      <c r="AA1266" s="9"/>
      <c r="AB1266" s="9"/>
      <c r="AC1266" s="9"/>
      <c r="AE1266" s="9"/>
    </row>
    <row r="1267" spans="1:31">
      <c r="A1267" s="9"/>
      <c r="B1267" s="9"/>
      <c r="C1267" s="9"/>
      <c r="D1267" s="9"/>
      <c r="E1267" s="9"/>
      <c r="G1267" s="9"/>
      <c r="I1267" s="9"/>
      <c r="M1267" s="9"/>
      <c r="N1267" s="9"/>
      <c r="O1267" s="9"/>
      <c r="Q1267" s="9"/>
      <c r="S1267" s="9"/>
      <c r="U1267" s="9"/>
      <c r="W1267" s="9"/>
      <c r="AA1267" s="9"/>
      <c r="AB1267" s="9"/>
      <c r="AC1267" s="9"/>
      <c r="AE1267" s="9"/>
    </row>
    <row r="1268" spans="1:31">
      <c r="A1268" s="9"/>
      <c r="B1268" s="9"/>
      <c r="C1268" s="9"/>
      <c r="D1268" s="9"/>
      <c r="E1268" s="9"/>
      <c r="G1268" s="9"/>
      <c r="I1268" s="9"/>
      <c r="M1268" s="9"/>
      <c r="N1268" s="9"/>
      <c r="O1268" s="9"/>
      <c r="Q1268" s="9"/>
      <c r="S1268" s="9"/>
      <c r="U1268" s="9"/>
      <c r="W1268" s="9"/>
      <c r="AA1268" s="9"/>
      <c r="AB1268" s="9"/>
      <c r="AC1268" s="9"/>
      <c r="AE1268" s="9"/>
    </row>
    <row r="1269" spans="1:31">
      <c r="A1269" s="9"/>
      <c r="B1269" s="9"/>
      <c r="C1269" s="9"/>
      <c r="D1269" s="9"/>
      <c r="E1269" s="9"/>
      <c r="G1269" s="9"/>
      <c r="I1269" s="9"/>
      <c r="M1269" s="9"/>
      <c r="N1269" s="9"/>
      <c r="O1269" s="9"/>
      <c r="Q1269" s="9"/>
      <c r="S1269" s="9"/>
      <c r="U1269" s="9"/>
      <c r="W1269" s="9"/>
      <c r="AA1269" s="9"/>
      <c r="AB1269" s="9"/>
      <c r="AC1269" s="9"/>
      <c r="AE1269" s="9"/>
    </row>
    <row r="1270" spans="1:31">
      <c r="A1270" s="9"/>
      <c r="B1270" s="9"/>
      <c r="C1270" s="9"/>
      <c r="D1270" s="9"/>
      <c r="E1270" s="9"/>
      <c r="G1270" s="9"/>
      <c r="I1270" s="9"/>
      <c r="M1270" s="9"/>
      <c r="N1270" s="9"/>
      <c r="O1270" s="9"/>
      <c r="Q1270" s="9"/>
      <c r="S1270" s="9"/>
      <c r="U1270" s="9"/>
      <c r="W1270" s="9"/>
      <c r="AA1270" s="9"/>
      <c r="AB1270" s="9"/>
      <c r="AC1270" s="9"/>
      <c r="AE1270" s="9"/>
    </row>
    <row r="1271" spans="1:31">
      <c r="A1271" s="9"/>
      <c r="B1271" s="9"/>
      <c r="C1271" s="9"/>
      <c r="D1271" s="9"/>
      <c r="E1271" s="9"/>
      <c r="G1271" s="9"/>
      <c r="I1271" s="9"/>
      <c r="M1271" s="9"/>
      <c r="N1271" s="9"/>
      <c r="O1271" s="9"/>
      <c r="Q1271" s="9"/>
      <c r="S1271" s="9"/>
      <c r="U1271" s="9"/>
      <c r="W1271" s="9"/>
      <c r="AA1271" s="9"/>
      <c r="AB1271" s="9"/>
      <c r="AC1271" s="9"/>
      <c r="AE1271" s="9"/>
    </row>
    <row r="1272" spans="1:31">
      <c r="A1272" s="9"/>
      <c r="B1272" s="9"/>
      <c r="C1272" s="9"/>
      <c r="D1272" s="9"/>
      <c r="E1272" s="9"/>
      <c r="G1272" s="9"/>
      <c r="I1272" s="9"/>
      <c r="M1272" s="9"/>
      <c r="N1272" s="9"/>
      <c r="O1272" s="9"/>
      <c r="Q1272" s="9"/>
      <c r="S1272" s="9"/>
      <c r="U1272" s="9"/>
      <c r="W1272" s="9"/>
      <c r="AA1272" s="9"/>
      <c r="AB1272" s="9"/>
      <c r="AC1272" s="9"/>
      <c r="AE1272" s="9"/>
    </row>
    <row r="1273" spans="1:31">
      <c r="A1273" s="9"/>
      <c r="B1273" s="9"/>
      <c r="C1273" s="9"/>
      <c r="D1273" s="9"/>
      <c r="E1273" s="9"/>
      <c r="G1273" s="9"/>
      <c r="I1273" s="9"/>
      <c r="M1273" s="9"/>
      <c r="N1273" s="9"/>
      <c r="O1273" s="9"/>
      <c r="Q1273" s="9"/>
      <c r="S1273" s="9"/>
      <c r="U1273" s="9"/>
      <c r="W1273" s="9"/>
      <c r="AA1273" s="9"/>
      <c r="AB1273" s="9"/>
      <c r="AC1273" s="9"/>
      <c r="AE1273" s="9"/>
    </row>
    <row r="1274" spans="1:31">
      <c r="A1274" s="9"/>
      <c r="B1274" s="9"/>
      <c r="C1274" s="9"/>
      <c r="D1274" s="9"/>
      <c r="E1274" s="9"/>
      <c r="G1274" s="9"/>
      <c r="I1274" s="9"/>
      <c r="M1274" s="9"/>
      <c r="N1274" s="9"/>
      <c r="O1274" s="9"/>
      <c r="Q1274" s="9"/>
      <c r="S1274" s="9"/>
      <c r="U1274" s="9"/>
      <c r="W1274" s="9"/>
      <c r="AA1274" s="9"/>
      <c r="AB1274" s="9"/>
      <c r="AC1274" s="9"/>
      <c r="AE1274" s="9"/>
    </row>
    <row r="1275" spans="1:31">
      <c r="A1275" s="9"/>
      <c r="B1275" s="9"/>
      <c r="C1275" s="9"/>
      <c r="D1275" s="9"/>
      <c r="E1275" s="9"/>
      <c r="G1275" s="9"/>
      <c r="I1275" s="9"/>
      <c r="M1275" s="9"/>
      <c r="N1275" s="9"/>
      <c r="O1275" s="9"/>
      <c r="Q1275" s="9"/>
      <c r="S1275" s="9"/>
      <c r="U1275" s="9"/>
      <c r="W1275" s="9"/>
      <c r="AA1275" s="9"/>
      <c r="AB1275" s="9"/>
      <c r="AC1275" s="9"/>
      <c r="AE1275" s="9"/>
    </row>
    <row r="1276" spans="1:31">
      <c r="A1276" s="9"/>
      <c r="B1276" s="9"/>
      <c r="C1276" s="9"/>
      <c r="D1276" s="9"/>
      <c r="E1276" s="9"/>
      <c r="G1276" s="9"/>
      <c r="I1276" s="9"/>
      <c r="M1276" s="9"/>
      <c r="N1276" s="9"/>
      <c r="O1276" s="9"/>
      <c r="Q1276" s="9"/>
      <c r="S1276" s="9"/>
      <c r="U1276" s="9"/>
      <c r="W1276" s="9"/>
      <c r="AA1276" s="9"/>
      <c r="AB1276" s="9"/>
      <c r="AC1276" s="9"/>
      <c r="AE1276" s="9"/>
    </row>
    <row r="1277" spans="1:31">
      <c r="A1277" s="9"/>
      <c r="B1277" s="9"/>
      <c r="C1277" s="9"/>
      <c r="D1277" s="9"/>
      <c r="E1277" s="9"/>
      <c r="G1277" s="9"/>
      <c r="I1277" s="9"/>
      <c r="M1277" s="9"/>
      <c r="N1277" s="9"/>
      <c r="O1277" s="9"/>
      <c r="Q1277" s="9"/>
      <c r="S1277" s="9"/>
      <c r="U1277" s="9"/>
      <c r="W1277" s="9"/>
      <c r="AA1277" s="9"/>
      <c r="AB1277" s="9"/>
      <c r="AC1277" s="9"/>
      <c r="AE1277" s="9"/>
    </row>
    <row r="1278" spans="1:31">
      <c r="A1278" s="9"/>
      <c r="B1278" s="9"/>
      <c r="C1278" s="9"/>
      <c r="D1278" s="9"/>
      <c r="E1278" s="9"/>
      <c r="G1278" s="9"/>
      <c r="I1278" s="9"/>
      <c r="M1278" s="9"/>
      <c r="N1278" s="9"/>
      <c r="O1278" s="9"/>
      <c r="Q1278" s="9"/>
      <c r="S1278" s="9"/>
      <c r="U1278" s="9"/>
      <c r="W1278" s="9"/>
      <c r="AA1278" s="9"/>
      <c r="AB1278" s="9"/>
      <c r="AC1278" s="9"/>
      <c r="AE1278" s="9"/>
    </row>
    <row r="1279" spans="1:31">
      <c r="A1279" s="9"/>
      <c r="B1279" s="9"/>
      <c r="C1279" s="9"/>
      <c r="D1279" s="9"/>
      <c r="E1279" s="9"/>
      <c r="G1279" s="9"/>
      <c r="I1279" s="9"/>
      <c r="M1279" s="9"/>
      <c r="N1279" s="9"/>
      <c r="O1279" s="9"/>
      <c r="Q1279" s="9"/>
      <c r="S1279" s="9"/>
      <c r="U1279" s="9"/>
      <c r="W1279" s="9"/>
      <c r="AA1279" s="9"/>
      <c r="AB1279" s="9"/>
      <c r="AC1279" s="9"/>
      <c r="AE1279" s="9"/>
    </row>
    <row r="1280" spans="1:31">
      <c r="A1280" s="9"/>
      <c r="B1280" s="9"/>
      <c r="C1280" s="9"/>
      <c r="D1280" s="9"/>
      <c r="E1280" s="9"/>
      <c r="G1280" s="9"/>
      <c r="I1280" s="9"/>
      <c r="M1280" s="9"/>
      <c r="N1280" s="9"/>
      <c r="O1280" s="9"/>
      <c r="Q1280" s="9"/>
      <c r="S1280" s="9"/>
      <c r="U1280" s="9"/>
      <c r="W1280" s="9"/>
      <c r="AA1280" s="9"/>
      <c r="AB1280" s="9"/>
      <c r="AC1280" s="9"/>
      <c r="AE1280" s="9"/>
    </row>
    <row r="1281" spans="1:31">
      <c r="A1281" s="9"/>
      <c r="B1281" s="9"/>
      <c r="C1281" s="9"/>
      <c r="D1281" s="9"/>
      <c r="E1281" s="9"/>
      <c r="G1281" s="9"/>
      <c r="I1281" s="9"/>
      <c r="M1281" s="9"/>
      <c r="N1281" s="9"/>
      <c r="O1281" s="9"/>
      <c r="Q1281" s="9"/>
      <c r="S1281" s="9"/>
      <c r="U1281" s="9"/>
      <c r="W1281" s="9"/>
      <c r="AA1281" s="9"/>
      <c r="AB1281" s="9"/>
      <c r="AC1281" s="9"/>
      <c r="AE1281" s="9"/>
    </row>
    <row r="1282" spans="1:31">
      <c r="A1282" s="9"/>
      <c r="B1282" s="9"/>
      <c r="C1282" s="9"/>
      <c r="D1282" s="9"/>
      <c r="E1282" s="9"/>
      <c r="G1282" s="9"/>
      <c r="I1282" s="9"/>
      <c r="M1282" s="9"/>
      <c r="N1282" s="9"/>
      <c r="O1282" s="9"/>
      <c r="Q1282" s="9"/>
      <c r="S1282" s="9"/>
      <c r="U1282" s="9"/>
      <c r="W1282" s="9"/>
      <c r="AA1282" s="9"/>
      <c r="AB1282" s="9"/>
      <c r="AC1282" s="9"/>
      <c r="AE1282" s="9"/>
    </row>
    <row r="1283" spans="1:31">
      <c r="A1283" s="9"/>
      <c r="B1283" s="9"/>
      <c r="C1283" s="9"/>
      <c r="D1283" s="9"/>
      <c r="E1283" s="9"/>
      <c r="G1283" s="9"/>
      <c r="I1283" s="9"/>
      <c r="M1283" s="9"/>
      <c r="N1283" s="9"/>
      <c r="O1283" s="9"/>
      <c r="Q1283" s="9"/>
      <c r="S1283" s="9"/>
      <c r="U1283" s="9"/>
      <c r="W1283" s="9"/>
      <c r="AA1283" s="9"/>
      <c r="AB1283" s="9"/>
      <c r="AC1283" s="9"/>
      <c r="AE1283" s="9"/>
    </row>
    <row r="1284" spans="1:31">
      <c r="A1284" s="9"/>
      <c r="B1284" s="9"/>
      <c r="C1284" s="9"/>
      <c r="D1284" s="9"/>
      <c r="E1284" s="9"/>
      <c r="G1284" s="9"/>
      <c r="I1284" s="9"/>
      <c r="M1284" s="9"/>
      <c r="N1284" s="9"/>
      <c r="O1284" s="9"/>
      <c r="Q1284" s="9"/>
      <c r="S1284" s="9"/>
      <c r="U1284" s="9"/>
      <c r="W1284" s="9"/>
      <c r="AA1284" s="9"/>
      <c r="AB1284" s="9"/>
      <c r="AC1284" s="9"/>
      <c r="AE1284" s="9"/>
    </row>
    <row r="1285" spans="1:31">
      <c r="A1285" s="9"/>
      <c r="B1285" s="9"/>
      <c r="C1285" s="9"/>
      <c r="D1285" s="9"/>
      <c r="E1285" s="9"/>
      <c r="G1285" s="9"/>
      <c r="I1285" s="9"/>
      <c r="M1285" s="9"/>
      <c r="N1285" s="9"/>
      <c r="O1285" s="9"/>
      <c r="Q1285" s="9"/>
      <c r="S1285" s="9"/>
      <c r="U1285" s="9"/>
      <c r="W1285" s="9"/>
      <c r="AA1285" s="9"/>
      <c r="AB1285" s="9"/>
      <c r="AC1285" s="9"/>
      <c r="AE1285" s="9"/>
    </row>
    <row r="1286" spans="1:31">
      <c r="A1286" s="9"/>
      <c r="B1286" s="9"/>
      <c r="C1286" s="9"/>
      <c r="D1286" s="9"/>
      <c r="E1286" s="9"/>
      <c r="G1286" s="9"/>
      <c r="I1286" s="9"/>
      <c r="M1286" s="9"/>
      <c r="N1286" s="9"/>
      <c r="O1286" s="9"/>
      <c r="Q1286" s="9"/>
      <c r="S1286" s="9"/>
      <c r="U1286" s="9"/>
      <c r="W1286" s="9"/>
      <c r="AA1286" s="9"/>
      <c r="AB1286" s="9"/>
      <c r="AC1286" s="9"/>
      <c r="AE1286" s="9"/>
    </row>
    <row r="1287" spans="1:31">
      <c r="A1287" s="9"/>
      <c r="B1287" s="9"/>
      <c r="C1287" s="9"/>
      <c r="D1287" s="9"/>
      <c r="E1287" s="9"/>
      <c r="G1287" s="9"/>
      <c r="I1287" s="9"/>
      <c r="M1287" s="9"/>
      <c r="N1287" s="9"/>
      <c r="O1287" s="9"/>
      <c r="Q1287" s="9"/>
      <c r="S1287" s="9"/>
      <c r="U1287" s="9"/>
      <c r="W1287" s="9"/>
      <c r="AA1287" s="9"/>
      <c r="AB1287" s="9"/>
      <c r="AC1287" s="9"/>
      <c r="AE1287" s="9"/>
    </row>
    <row r="1288" spans="1:31">
      <c r="A1288" s="9"/>
      <c r="B1288" s="9"/>
      <c r="C1288" s="9"/>
      <c r="D1288" s="9"/>
      <c r="E1288" s="9"/>
      <c r="G1288" s="9"/>
      <c r="I1288" s="9"/>
      <c r="M1288" s="9"/>
      <c r="N1288" s="9"/>
      <c r="O1288" s="9"/>
      <c r="Q1288" s="9"/>
      <c r="S1288" s="9"/>
      <c r="U1288" s="9"/>
      <c r="W1288" s="9"/>
      <c r="AA1288" s="9"/>
      <c r="AB1288" s="9"/>
      <c r="AC1288" s="9"/>
      <c r="AE1288" s="9"/>
    </row>
    <row r="1289" spans="1:31">
      <c r="A1289" s="9"/>
      <c r="B1289" s="9"/>
      <c r="C1289" s="9"/>
      <c r="D1289" s="9"/>
      <c r="E1289" s="9"/>
      <c r="G1289" s="9"/>
      <c r="I1289" s="9"/>
      <c r="M1289" s="9"/>
      <c r="N1289" s="9"/>
      <c r="O1289" s="9"/>
      <c r="Q1289" s="9"/>
      <c r="S1289" s="9"/>
      <c r="U1289" s="9"/>
      <c r="W1289" s="9"/>
      <c r="AA1289" s="9"/>
      <c r="AB1289" s="9"/>
      <c r="AC1289" s="9"/>
      <c r="AE1289" s="9"/>
    </row>
    <row r="1290" spans="1:31">
      <c r="A1290" s="9"/>
      <c r="B1290" s="9"/>
      <c r="C1290" s="9"/>
      <c r="D1290" s="9"/>
      <c r="E1290" s="9"/>
      <c r="G1290" s="9"/>
      <c r="I1290" s="9"/>
      <c r="M1290" s="9"/>
      <c r="N1290" s="9"/>
      <c r="O1290" s="9"/>
      <c r="Q1290" s="9"/>
      <c r="S1290" s="9"/>
      <c r="U1290" s="9"/>
      <c r="W1290" s="9"/>
      <c r="AA1290" s="9"/>
      <c r="AB1290" s="9"/>
      <c r="AC1290" s="9"/>
      <c r="AE1290" s="9"/>
    </row>
    <row r="1291" spans="1:31">
      <c r="A1291" s="9"/>
      <c r="B1291" s="9"/>
      <c r="C1291" s="9"/>
      <c r="D1291" s="9"/>
      <c r="E1291" s="9"/>
      <c r="G1291" s="9"/>
      <c r="I1291" s="9"/>
      <c r="M1291" s="9"/>
      <c r="N1291" s="9"/>
      <c r="O1291" s="9"/>
      <c r="Q1291" s="9"/>
      <c r="S1291" s="9"/>
      <c r="U1291" s="9"/>
      <c r="W1291" s="9"/>
      <c r="AA1291" s="9"/>
      <c r="AB1291" s="9"/>
      <c r="AC1291" s="9"/>
      <c r="AE1291" s="9"/>
    </row>
    <row r="1292" spans="1:31">
      <c r="A1292" s="9"/>
      <c r="B1292" s="9"/>
      <c r="C1292" s="9"/>
      <c r="D1292" s="9"/>
      <c r="E1292" s="9"/>
      <c r="G1292" s="9"/>
      <c r="I1292" s="9"/>
      <c r="M1292" s="9"/>
      <c r="N1292" s="9"/>
      <c r="O1292" s="9"/>
      <c r="Q1292" s="9"/>
      <c r="S1292" s="9"/>
      <c r="U1292" s="9"/>
      <c r="W1292" s="9"/>
      <c r="AA1292" s="9"/>
      <c r="AB1292" s="9"/>
      <c r="AC1292" s="9"/>
      <c r="AE1292" s="9"/>
    </row>
    <row r="1293" spans="1:31">
      <c r="A1293" s="9"/>
      <c r="B1293" s="9"/>
      <c r="C1293" s="9"/>
      <c r="D1293" s="9"/>
      <c r="E1293" s="9"/>
      <c r="G1293" s="9"/>
      <c r="I1293" s="9"/>
      <c r="M1293" s="9"/>
      <c r="N1293" s="9"/>
      <c r="O1293" s="9"/>
      <c r="Q1293" s="9"/>
      <c r="S1293" s="9"/>
      <c r="U1293" s="9"/>
      <c r="W1293" s="9"/>
      <c r="AA1293" s="9"/>
      <c r="AB1293" s="9"/>
      <c r="AC1293" s="9"/>
      <c r="AE1293" s="9"/>
    </row>
    <row r="1294" spans="1:31">
      <c r="A1294" s="9"/>
      <c r="B1294" s="9"/>
      <c r="C1294" s="9"/>
      <c r="D1294" s="9"/>
      <c r="E1294" s="9"/>
      <c r="G1294" s="9"/>
      <c r="I1294" s="9"/>
      <c r="M1294" s="9"/>
      <c r="N1294" s="9"/>
      <c r="O1294" s="9"/>
      <c r="Q1294" s="9"/>
      <c r="S1294" s="9"/>
      <c r="U1294" s="9"/>
      <c r="W1294" s="9"/>
      <c r="AA1294" s="9"/>
      <c r="AB1294" s="9"/>
      <c r="AC1294" s="9"/>
      <c r="AE1294" s="9"/>
    </row>
    <row r="1295" spans="1:31">
      <c r="A1295" s="9"/>
      <c r="B1295" s="9"/>
      <c r="C1295" s="9"/>
      <c r="D1295" s="9"/>
      <c r="E1295" s="9"/>
      <c r="G1295" s="9"/>
      <c r="I1295" s="9"/>
      <c r="M1295" s="9"/>
      <c r="N1295" s="9"/>
      <c r="O1295" s="9"/>
      <c r="Q1295" s="9"/>
      <c r="S1295" s="9"/>
      <c r="U1295" s="9"/>
      <c r="W1295" s="9"/>
      <c r="AA1295" s="9"/>
      <c r="AB1295" s="9"/>
      <c r="AC1295" s="9"/>
      <c r="AE1295" s="9"/>
    </row>
    <row r="1296" spans="1:31">
      <c r="A1296" s="9"/>
      <c r="B1296" s="9"/>
      <c r="C1296" s="9"/>
      <c r="D1296" s="9"/>
      <c r="E1296" s="9"/>
      <c r="G1296" s="9"/>
      <c r="I1296" s="9"/>
      <c r="M1296" s="9"/>
      <c r="N1296" s="9"/>
      <c r="O1296" s="9"/>
      <c r="Q1296" s="9"/>
      <c r="S1296" s="9"/>
      <c r="U1296" s="9"/>
      <c r="W1296" s="9"/>
      <c r="AA1296" s="9"/>
      <c r="AB1296" s="9"/>
      <c r="AC1296" s="9"/>
      <c r="AE1296" s="9"/>
    </row>
    <row r="1297" spans="1:31">
      <c r="A1297" s="9"/>
      <c r="B1297" s="9"/>
      <c r="C1297" s="9"/>
      <c r="D1297" s="9"/>
      <c r="E1297" s="9"/>
      <c r="G1297" s="9"/>
      <c r="I1297" s="9"/>
      <c r="M1297" s="9"/>
      <c r="N1297" s="9"/>
      <c r="O1297" s="9"/>
      <c r="Q1297" s="9"/>
      <c r="S1297" s="9"/>
      <c r="U1297" s="9"/>
      <c r="W1297" s="9"/>
      <c r="AA1297" s="9"/>
      <c r="AB1297" s="9"/>
      <c r="AC1297" s="9"/>
      <c r="AE1297" s="9"/>
    </row>
    <row r="1298" spans="1:31">
      <c r="A1298" s="9"/>
      <c r="B1298" s="9"/>
      <c r="C1298" s="9"/>
      <c r="D1298" s="9"/>
      <c r="E1298" s="9"/>
      <c r="G1298" s="9"/>
      <c r="I1298" s="9"/>
      <c r="M1298" s="9"/>
      <c r="N1298" s="9"/>
      <c r="O1298" s="9"/>
      <c r="Q1298" s="9"/>
      <c r="S1298" s="9"/>
      <c r="U1298" s="9"/>
      <c r="W1298" s="9"/>
      <c r="AA1298" s="9"/>
      <c r="AB1298" s="9"/>
      <c r="AC1298" s="9"/>
      <c r="AE1298" s="9"/>
    </row>
    <row r="1299" spans="1:31">
      <c r="A1299" s="9"/>
      <c r="B1299" s="9"/>
      <c r="C1299" s="9"/>
      <c r="D1299" s="9"/>
      <c r="E1299" s="9"/>
      <c r="G1299" s="9"/>
      <c r="I1299" s="9"/>
      <c r="M1299" s="9"/>
      <c r="N1299" s="9"/>
      <c r="O1299" s="9"/>
      <c r="Q1299" s="9"/>
      <c r="S1299" s="9"/>
      <c r="U1299" s="9"/>
      <c r="W1299" s="9"/>
      <c r="AA1299" s="9"/>
      <c r="AB1299" s="9"/>
      <c r="AC1299" s="9"/>
      <c r="AE1299" s="9"/>
    </row>
    <row r="1300" spans="1:31">
      <c r="A1300" s="9"/>
      <c r="B1300" s="9"/>
      <c r="C1300" s="9"/>
      <c r="D1300" s="9"/>
      <c r="E1300" s="9"/>
      <c r="G1300" s="9"/>
      <c r="I1300" s="9"/>
      <c r="M1300" s="9"/>
      <c r="N1300" s="9"/>
      <c r="O1300" s="9"/>
      <c r="Q1300" s="9"/>
      <c r="S1300" s="9"/>
      <c r="U1300" s="9"/>
      <c r="W1300" s="9"/>
      <c r="AA1300" s="9"/>
      <c r="AB1300" s="9"/>
      <c r="AC1300" s="9"/>
      <c r="AE1300" s="9"/>
    </row>
    <row r="1301" spans="1:31">
      <c r="A1301" s="9"/>
      <c r="B1301" s="9"/>
      <c r="C1301" s="9"/>
      <c r="D1301" s="9"/>
      <c r="E1301" s="9"/>
      <c r="G1301" s="9"/>
      <c r="I1301" s="9"/>
      <c r="M1301" s="9"/>
      <c r="N1301" s="9"/>
      <c r="O1301" s="9"/>
      <c r="Q1301" s="9"/>
      <c r="S1301" s="9"/>
      <c r="U1301" s="9"/>
      <c r="W1301" s="9"/>
      <c r="AA1301" s="9"/>
      <c r="AB1301" s="9"/>
      <c r="AC1301" s="9"/>
      <c r="AE1301" s="9"/>
    </row>
    <row r="1302" spans="1:31">
      <c r="A1302" s="9"/>
      <c r="B1302" s="9"/>
      <c r="C1302" s="9"/>
      <c r="D1302" s="9"/>
      <c r="E1302" s="9"/>
      <c r="G1302" s="9"/>
      <c r="I1302" s="9"/>
      <c r="M1302" s="9"/>
      <c r="N1302" s="9"/>
      <c r="O1302" s="9"/>
      <c r="Q1302" s="9"/>
      <c r="S1302" s="9"/>
      <c r="U1302" s="9"/>
      <c r="W1302" s="9"/>
      <c r="AA1302" s="9"/>
      <c r="AB1302" s="9"/>
      <c r="AC1302" s="9"/>
      <c r="AE1302" s="9"/>
    </row>
    <row r="1303" spans="1:31">
      <c r="A1303" s="9"/>
      <c r="B1303" s="9"/>
      <c r="C1303" s="9"/>
      <c r="D1303" s="9"/>
      <c r="E1303" s="9"/>
      <c r="G1303" s="9"/>
      <c r="I1303" s="9"/>
      <c r="M1303" s="9"/>
      <c r="N1303" s="9"/>
      <c r="O1303" s="9"/>
      <c r="Q1303" s="9"/>
      <c r="S1303" s="9"/>
      <c r="U1303" s="9"/>
      <c r="W1303" s="9"/>
      <c r="AA1303" s="9"/>
      <c r="AB1303" s="9"/>
      <c r="AC1303" s="9"/>
      <c r="AE1303" s="9"/>
    </row>
    <row r="1304" spans="1:31">
      <c r="A1304" s="9"/>
      <c r="B1304" s="9"/>
      <c r="C1304" s="9"/>
      <c r="D1304" s="9"/>
      <c r="E1304" s="9"/>
      <c r="G1304" s="9"/>
      <c r="I1304" s="9"/>
      <c r="M1304" s="9"/>
      <c r="N1304" s="9"/>
      <c r="O1304" s="9"/>
      <c r="Q1304" s="9"/>
      <c r="S1304" s="9"/>
      <c r="U1304" s="9"/>
      <c r="W1304" s="9"/>
      <c r="AA1304" s="9"/>
      <c r="AB1304" s="9"/>
      <c r="AC1304" s="9"/>
      <c r="AE1304" s="9"/>
    </row>
    <row r="1305" spans="1:31">
      <c r="A1305" s="9"/>
      <c r="B1305" s="9"/>
      <c r="C1305" s="9"/>
      <c r="D1305" s="9"/>
      <c r="E1305" s="9"/>
      <c r="G1305" s="9"/>
      <c r="I1305" s="9"/>
      <c r="M1305" s="9"/>
      <c r="N1305" s="9"/>
      <c r="O1305" s="9"/>
      <c r="Q1305" s="9"/>
      <c r="S1305" s="9"/>
      <c r="U1305" s="9"/>
      <c r="W1305" s="9"/>
      <c r="AA1305" s="9"/>
      <c r="AB1305" s="9"/>
      <c r="AC1305" s="9"/>
      <c r="AE1305" s="9"/>
    </row>
    <row r="1306" spans="1:31">
      <c r="A1306" s="9"/>
      <c r="B1306" s="9"/>
      <c r="C1306" s="9"/>
      <c r="D1306" s="9"/>
      <c r="E1306" s="9"/>
      <c r="G1306" s="9"/>
      <c r="I1306" s="9"/>
      <c r="M1306" s="9"/>
      <c r="N1306" s="9"/>
      <c r="O1306" s="9"/>
      <c r="Q1306" s="9"/>
      <c r="S1306" s="9"/>
      <c r="U1306" s="9"/>
      <c r="W1306" s="9"/>
      <c r="AA1306" s="9"/>
      <c r="AB1306" s="9"/>
      <c r="AC1306" s="9"/>
      <c r="AE1306" s="9"/>
    </row>
    <row r="1307" spans="1:31">
      <c r="A1307" s="9"/>
      <c r="B1307" s="9"/>
      <c r="C1307" s="9"/>
      <c r="D1307" s="9"/>
      <c r="E1307" s="9"/>
      <c r="G1307" s="9"/>
      <c r="I1307" s="9"/>
      <c r="M1307" s="9"/>
      <c r="N1307" s="9"/>
      <c r="O1307" s="9"/>
      <c r="Q1307" s="9"/>
      <c r="S1307" s="9"/>
      <c r="U1307" s="9"/>
      <c r="W1307" s="9"/>
      <c r="AA1307" s="9"/>
      <c r="AB1307" s="9"/>
      <c r="AC1307" s="9"/>
      <c r="AE1307" s="9"/>
    </row>
    <row r="1308" spans="1:31">
      <c r="A1308" s="9"/>
      <c r="B1308" s="9"/>
      <c r="C1308" s="9"/>
      <c r="D1308" s="9"/>
      <c r="E1308" s="9"/>
      <c r="G1308" s="9"/>
      <c r="I1308" s="9"/>
      <c r="M1308" s="9"/>
      <c r="N1308" s="9"/>
      <c r="O1308" s="9"/>
      <c r="Q1308" s="9"/>
      <c r="S1308" s="9"/>
      <c r="U1308" s="9"/>
      <c r="W1308" s="9"/>
      <c r="AA1308" s="9"/>
      <c r="AB1308" s="9"/>
      <c r="AC1308" s="9"/>
      <c r="AE1308" s="9"/>
    </row>
    <row r="1309" spans="1:31">
      <c r="A1309" s="9"/>
      <c r="B1309" s="9"/>
      <c r="C1309" s="9"/>
      <c r="D1309" s="9"/>
      <c r="E1309" s="9"/>
      <c r="G1309" s="9"/>
      <c r="I1309" s="9"/>
      <c r="M1309" s="9"/>
      <c r="N1309" s="9"/>
      <c r="O1309" s="9"/>
      <c r="Q1309" s="9"/>
      <c r="S1309" s="9"/>
      <c r="U1309" s="9"/>
      <c r="W1309" s="9"/>
      <c r="AA1309" s="9"/>
      <c r="AB1309" s="9"/>
      <c r="AC1309" s="9"/>
      <c r="AE1309" s="9"/>
    </row>
    <row r="1310" spans="1:31">
      <c r="A1310" s="9"/>
      <c r="B1310" s="9"/>
      <c r="C1310" s="9"/>
      <c r="D1310" s="9"/>
      <c r="E1310" s="9"/>
      <c r="G1310" s="9"/>
      <c r="I1310" s="9"/>
      <c r="M1310" s="9"/>
      <c r="N1310" s="9"/>
      <c r="O1310" s="9"/>
      <c r="Q1310" s="9"/>
      <c r="S1310" s="9"/>
      <c r="U1310" s="9"/>
      <c r="W1310" s="9"/>
      <c r="AA1310" s="9"/>
      <c r="AB1310" s="9"/>
      <c r="AC1310" s="9"/>
      <c r="AE1310" s="9"/>
    </row>
    <row r="1311" spans="1:31">
      <c r="A1311" s="9"/>
      <c r="B1311" s="9"/>
      <c r="C1311" s="9"/>
      <c r="D1311" s="9"/>
      <c r="E1311" s="9"/>
      <c r="G1311" s="9"/>
      <c r="I1311" s="9"/>
      <c r="M1311" s="9"/>
      <c r="N1311" s="9"/>
      <c r="O1311" s="9"/>
      <c r="Q1311" s="9"/>
      <c r="S1311" s="9"/>
      <c r="U1311" s="9"/>
      <c r="W1311" s="9"/>
      <c r="AA1311" s="9"/>
      <c r="AB1311" s="9"/>
      <c r="AC1311" s="9"/>
      <c r="AE1311" s="9"/>
    </row>
    <row r="1312" spans="1:31">
      <c r="A1312" s="9"/>
      <c r="B1312" s="9"/>
      <c r="C1312" s="9"/>
      <c r="D1312" s="9"/>
      <c r="E1312" s="9"/>
      <c r="G1312" s="9"/>
      <c r="I1312" s="9"/>
      <c r="M1312" s="9"/>
      <c r="N1312" s="9"/>
      <c r="O1312" s="9"/>
      <c r="Q1312" s="9"/>
      <c r="S1312" s="9"/>
      <c r="U1312" s="9"/>
      <c r="W1312" s="9"/>
      <c r="AA1312" s="9"/>
      <c r="AB1312" s="9"/>
      <c r="AC1312" s="9"/>
      <c r="AE1312" s="9"/>
    </row>
    <row r="1313" spans="1:31">
      <c r="A1313" s="9"/>
      <c r="B1313" s="9"/>
      <c r="C1313" s="9"/>
      <c r="D1313" s="9"/>
      <c r="E1313" s="9"/>
      <c r="G1313" s="9"/>
      <c r="I1313" s="9"/>
      <c r="M1313" s="9"/>
      <c r="N1313" s="9"/>
      <c r="O1313" s="9"/>
      <c r="Q1313" s="9"/>
      <c r="S1313" s="9"/>
      <c r="U1313" s="9"/>
      <c r="W1313" s="9"/>
      <c r="AA1313" s="9"/>
      <c r="AB1313" s="9"/>
      <c r="AC1313" s="9"/>
      <c r="AE1313" s="9"/>
    </row>
    <row r="1314" spans="1:31">
      <c r="A1314" s="9"/>
      <c r="B1314" s="9"/>
      <c r="C1314" s="9"/>
      <c r="D1314" s="9"/>
      <c r="E1314" s="9"/>
      <c r="G1314" s="9"/>
      <c r="I1314" s="9"/>
      <c r="M1314" s="9"/>
      <c r="N1314" s="9"/>
      <c r="O1314" s="9"/>
      <c r="Q1314" s="9"/>
      <c r="S1314" s="9"/>
      <c r="U1314" s="9"/>
      <c r="W1314" s="9"/>
      <c r="AA1314" s="9"/>
      <c r="AB1314" s="9"/>
      <c r="AC1314" s="9"/>
      <c r="AE1314" s="9"/>
    </row>
    <row r="1315" spans="1:31">
      <c r="A1315" s="9"/>
      <c r="B1315" s="9"/>
      <c r="C1315" s="9"/>
      <c r="D1315" s="9"/>
      <c r="E1315" s="9"/>
      <c r="G1315" s="9"/>
      <c r="I1315" s="9"/>
      <c r="M1315" s="9"/>
      <c r="N1315" s="9"/>
      <c r="O1315" s="9"/>
      <c r="Q1315" s="9"/>
      <c r="S1315" s="9"/>
      <c r="U1315" s="9"/>
      <c r="W1315" s="9"/>
      <c r="AA1315" s="9"/>
      <c r="AB1315" s="9"/>
      <c r="AC1315" s="9"/>
      <c r="AE1315" s="9"/>
    </row>
    <row r="1316" spans="1:31">
      <c r="A1316" s="9"/>
      <c r="B1316" s="9"/>
      <c r="C1316" s="9"/>
      <c r="D1316" s="9"/>
      <c r="E1316" s="9"/>
      <c r="G1316" s="9"/>
      <c r="I1316" s="9"/>
      <c r="M1316" s="9"/>
      <c r="N1316" s="9"/>
      <c r="O1316" s="9"/>
      <c r="Q1316" s="9"/>
      <c r="S1316" s="9"/>
      <c r="U1316" s="9"/>
      <c r="W1316" s="9"/>
      <c r="AA1316" s="9"/>
      <c r="AB1316" s="9"/>
      <c r="AC1316" s="9"/>
      <c r="AE1316" s="9"/>
    </row>
    <row r="1317" spans="1:31">
      <c r="A1317" s="9"/>
      <c r="B1317" s="9"/>
      <c r="C1317" s="9"/>
      <c r="D1317" s="9"/>
      <c r="E1317" s="9"/>
      <c r="G1317" s="9"/>
      <c r="I1317" s="9"/>
      <c r="M1317" s="9"/>
      <c r="N1317" s="9"/>
      <c r="O1317" s="9"/>
      <c r="Q1317" s="9"/>
      <c r="S1317" s="9"/>
      <c r="U1317" s="9"/>
      <c r="W1317" s="9"/>
      <c r="AA1317" s="9"/>
      <c r="AB1317" s="9"/>
      <c r="AC1317" s="9"/>
      <c r="AE1317" s="9"/>
    </row>
    <row r="1318" spans="1:31">
      <c r="A1318" s="9"/>
      <c r="B1318" s="9"/>
      <c r="C1318" s="9"/>
      <c r="D1318" s="9"/>
      <c r="E1318" s="9"/>
      <c r="G1318" s="9"/>
      <c r="I1318" s="9"/>
      <c r="M1318" s="9"/>
      <c r="N1318" s="9"/>
      <c r="O1318" s="9"/>
      <c r="Q1318" s="9"/>
      <c r="S1318" s="9"/>
      <c r="U1318" s="9"/>
      <c r="W1318" s="9"/>
      <c r="AA1318" s="9"/>
      <c r="AB1318" s="9"/>
      <c r="AC1318" s="9"/>
      <c r="AE1318" s="9"/>
    </row>
    <row r="1319" spans="1:31">
      <c r="A1319" s="9"/>
      <c r="B1319" s="9"/>
      <c r="C1319" s="9"/>
      <c r="D1319" s="9"/>
      <c r="E1319" s="9"/>
      <c r="G1319" s="9"/>
      <c r="I1319" s="9"/>
      <c r="M1319" s="9"/>
      <c r="N1319" s="9"/>
      <c r="O1319" s="9"/>
      <c r="Q1319" s="9"/>
      <c r="S1319" s="9"/>
      <c r="U1319" s="9"/>
      <c r="W1319" s="9"/>
      <c r="AA1319" s="9"/>
      <c r="AB1319" s="9"/>
      <c r="AC1319" s="9"/>
      <c r="AE1319" s="9"/>
    </row>
    <row r="1320" spans="1:31">
      <c r="A1320" s="9"/>
      <c r="B1320" s="9"/>
      <c r="C1320" s="9"/>
      <c r="D1320" s="9"/>
      <c r="E1320" s="9"/>
      <c r="G1320" s="9"/>
      <c r="I1320" s="9"/>
      <c r="M1320" s="9"/>
      <c r="N1320" s="9"/>
      <c r="O1320" s="9"/>
      <c r="Q1320" s="9"/>
      <c r="S1320" s="9"/>
      <c r="U1320" s="9"/>
      <c r="W1320" s="9"/>
      <c r="AA1320" s="9"/>
      <c r="AB1320" s="9"/>
      <c r="AC1320" s="9"/>
      <c r="AE1320" s="9"/>
    </row>
    <row r="1321" spans="1:31">
      <c r="A1321" s="9"/>
      <c r="B1321" s="9"/>
      <c r="C1321" s="9"/>
      <c r="D1321" s="9"/>
      <c r="E1321" s="9"/>
      <c r="G1321" s="9"/>
      <c r="I1321" s="9"/>
      <c r="M1321" s="9"/>
      <c r="N1321" s="9"/>
      <c r="O1321" s="9"/>
      <c r="Q1321" s="9"/>
      <c r="S1321" s="9"/>
      <c r="U1321" s="9"/>
      <c r="W1321" s="9"/>
      <c r="AA1321" s="9"/>
      <c r="AB1321" s="9"/>
      <c r="AC1321" s="9"/>
      <c r="AE1321" s="9"/>
    </row>
    <row r="1322" spans="1:31">
      <c r="A1322" s="9"/>
      <c r="B1322" s="9"/>
      <c r="C1322" s="9"/>
      <c r="D1322" s="9"/>
      <c r="E1322" s="9"/>
      <c r="G1322" s="9"/>
      <c r="I1322" s="9"/>
      <c r="M1322" s="9"/>
      <c r="N1322" s="9"/>
      <c r="O1322" s="9"/>
      <c r="Q1322" s="9"/>
      <c r="S1322" s="9"/>
      <c r="U1322" s="9"/>
      <c r="W1322" s="9"/>
      <c r="AA1322" s="9"/>
      <c r="AB1322" s="9"/>
      <c r="AC1322" s="9"/>
      <c r="AE1322" s="9"/>
    </row>
    <row r="1323" spans="1:31">
      <c r="A1323" s="9"/>
      <c r="B1323" s="9"/>
      <c r="C1323" s="9"/>
      <c r="D1323" s="9"/>
      <c r="E1323" s="9"/>
      <c r="G1323" s="9"/>
      <c r="I1323" s="9"/>
      <c r="M1323" s="9"/>
      <c r="N1323" s="9"/>
      <c r="O1323" s="9"/>
      <c r="Q1323" s="9"/>
      <c r="S1323" s="9"/>
      <c r="U1323" s="9"/>
      <c r="W1323" s="9"/>
      <c r="AA1323" s="9"/>
      <c r="AB1323" s="9"/>
      <c r="AC1323" s="9"/>
      <c r="AE1323" s="9"/>
    </row>
    <row r="1324" spans="1:31">
      <c r="A1324" s="9"/>
      <c r="B1324" s="9"/>
      <c r="C1324" s="9"/>
      <c r="D1324" s="9"/>
      <c r="E1324" s="9"/>
      <c r="G1324" s="9"/>
      <c r="I1324" s="9"/>
      <c r="M1324" s="9"/>
      <c r="N1324" s="9"/>
      <c r="O1324" s="9"/>
      <c r="Q1324" s="9"/>
      <c r="S1324" s="9"/>
      <c r="U1324" s="9"/>
      <c r="W1324" s="9"/>
      <c r="AA1324" s="9"/>
      <c r="AB1324" s="9"/>
      <c r="AC1324" s="9"/>
      <c r="AE1324" s="9"/>
    </row>
    <row r="1325" spans="1:31">
      <c r="A1325" s="9"/>
      <c r="B1325" s="9"/>
      <c r="C1325" s="9"/>
      <c r="D1325" s="9"/>
      <c r="E1325" s="9"/>
      <c r="G1325" s="9"/>
      <c r="I1325" s="9"/>
      <c r="M1325" s="9"/>
      <c r="N1325" s="9"/>
      <c r="O1325" s="9"/>
      <c r="Q1325" s="9"/>
      <c r="S1325" s="9"/>
      <c r="U1325" s="9"/>
      <c r="W1325" s="9"/>
      <c r="AA1325" s="9"/>
      <c r="AB1325" s="9"/>
      <c r="AC1325" s="9"/>
      <c r="AE1325" s="9"/>
    </row>
    <row r="1326" spans="1:31">
      <c r="A1326" s="9"/>
      <c r="B1326" s="9"/>
      <c r="C1326" s="9"/>
      <c r="D1326" s="9"/>
      <c r="E1326" s="9"/>
      <c r="G1326" s="9"/>
      <c r="I1326" s="9"/>
      <c r="M1326" s="9"/>
      <c r="N1326" s="9"/>
      <c r="O1326" s="9"/>
      <c r="Q1326" s="9"/>
      <c r="S1326" s="9"/>
      <c r="U1326" s="9"/>
      <c r="W1326" s="9"/>
      <c r="AA1326" s="9"/>
      <c r="AB1326" s="9"/>
      <c r="AC1326" s="9"/>
      <c r="AE1326" s="9"/>
    </row>
    <row r="1327" spans="1:31">
      <c r="A1327" s="9"/>
      <c r="B1327" s="9"/>
      <c r="C1327" s="9"/>
      <c r="D1327" s="9"/>
      <c r="E1327" s="9"/>
      <c r="G1327" s="9"/>
      <c r="I1327" s="9"/>
      <c r="M1327" s="9"/>
      <c r="N1327" s="9"/>
      <c r="O1327" s="9"/>
      <c r="Q1327" s="9"/>
      <c r="S1327" s="9"/>
      <c r="U1327" s="9"/>
      <c r="W1327" s="9"/>
      <c r="AA1327" s="9"/>
      <c r="AB1327" s="9"/>
      <c r="AC1327" s="9"/>
      <c r="AE1327" s="9"/>
    </row>
    <row r="1328" spans="1:31">
      <c r="A1328" s="9"/>
      <c r="B1328" s="9"/>
      <c r="C1328" s="9"/>
      <c r="D1328" s="9"/>
      <c r="E1328" s="9"/>
      <c r="G1328" s="9"/>
      <c r="I1328" s="9"/>
      <c r="M1328" s="9"/>
      <c r="N1328" s="9"/>
      <c r="O1328" s="9"/>
      <c r="Q1328" s="9"/>
      <c r="S1328" s="9"/>
      <c r="U1328" s="9"/>
      <c r="W1328" s="9"/>
      <c r="AA1328" s="9"/>
      <c r="AB1328" s="9"/>
      <c r="AC1328" s="9"/>
      <c r="AE1328" s="9"/>
    </row>
    <row r="1329" spans="1:31">
      <c r="A1329" s="9"/>
      <c r="B1329" s="9"/>
      <c r="C1329" s="9"/>
      <c r="D1329" s="9"/>
      <c r="E1329" s="9"/>
      <c r="G1329" s="9"/>
      <c r="I1329" s="9"/>
      <c r="M1329" s="9"/>
      <c r="N1329" s="9"/>
      <c r="O1329" s="9"/>
      <c r="Q1329" s="9"/>
      <c r="S1329" s="9"/>
      <c r="U1329" s="9"/>
      <c r="W1329" s="9"/>
      <c r="AA1329" s="9"/>
      <c r="AB1329" s="9"/>
      <c r="AC1329" s="9"/>
      <c r="AE1329" s="9"/>
    </row>
    <row r="1330" spans="1:31">
      <c r="A1330" s="9"/>
      <c r="B1330" s="9"/>
      <c r="C1330" s="9"/>
      <c r="D1330" s="9"/>
      <c r="E1330" s="9"/>
      <c r="G1330" s="9"/>
      <c r="I1330" s="9"/>
      <c r="M1330" s="9"/>
      <c r="N1330" s="9"/>
      <c r="O1330" s="9"/>
      <c r="Q1330" s="9"/>
      <c r="S1330" s="9"/>
      <c r="U1330" s="9"/>
      <c r="W1330" s="9"/>
      <c r="AA1330" s="9"/>
      <c r="AB1330" s="9"/>
      <c r="AC1330" s="9"/>
      <c r="AE1330" s="9"/>
    </row>
    <row r="1331" spans="1:31">
      <c r="A1331" s="9"/>
      <c r="B1331" s="9"/>
      <c r="C1331" s="9"/>
      <c r="D1331" s="9"/>
      <c r="E1331" s="9"/>
      <c r="G1331" s="9"/>
      <c r="I1331" s="9"/>
      <c r="M1331" s="9"/>
      <c r="N1331" s="9"/>
      <c r="O1331" s="9"/>
      <c r="Q1331" s="9"/>
      <c r="S1331" s="9"/>
      <c r="U1331" s="9"/>
      <c r="W1331" s="9"/>
      <c r="AA1331" s="9"/>
      <c r="AB1331" s="9"/>
      <c r="AC1331" s="9"/>
      <c r="AE1331" s="9"/>
    </row>
    <row r="1332" spans="1:31">
      <c r="A1332" s="9"/>
      <c r="B1332" s="9"/>
      <c r="C1332" s="9"/>
      <c r="D1332" s="9"/>
      <c r="E1332" s="9"/>
      <c r="G1332" s="9"/>
      <c r="I1332" s="9"/>
      <c r="M1332" s="9"/>
      <c r="N1332" s="9"/>
      <c r="O1332" s="9"/>
      <c r="Q1332" s="9"/>
      <c r="S1332" s="9"/>
      <c r="U1332" s="9"/>
      <c r="W1332" s="9"/>
      <c r="AA1332" s="9"/>
      <c r="AB1332" s="9"/>
      <c r="AC1332" s="9"/>
      <c r="AE1332" s="9"/>
    </row>
    <row r="1333" spans="1:31">
      <c r="A1333" s="9"/>
      <c r="B1333" s="9"/>
      <c r="C1333" s="9"/>
      <c r="D1333" s="9"/>
      <c r="E1333" s="9"/>
      <c r="G1333" s="9"/>
      <c r="I1333" s="9"/>
      <c r="M1333" s="9"/>
      <c r="N1333" s="9"/>
      <c r="O1333" s="9"/>
      <c r="Q1333" s="9"/>
      <c r="S1333" s="9"/>
      <c r="U1333" s="9"/>
      <c r="W1333" s="9"/>
      <c r="AA1333" s="9"/>
      <c r="AB1333" s="9"/>
      <c r="AC1333" s="9"/>
      <c r="AE1333" s="9"/>
    </row>
    <row r="1334" spans="1:31">
      <c r="A1334" s="9"/>
      <c r="B1334" s="9"/>
      <c r="C1334" s="9"/>
      <c r="D1334" s="9"/>
      <c r="E1334" s="9"/>
      <c r="G1334" s="9"/>
      <c r="I1334" s="9"/>
      <c r="M1334" s="9"/>
      <c r="N1334" s="9"/>
      <c r="O1334" s="9"/>
      <c r="Q1334" s="9"/>
      <c r="S1334" s="9"/>
      <c r="U1334" s="9"/>
      <c r="W1334" s="9"/>
      <c r="AA1334" s="9"/>
      <c r="AB1334" s="9"/>
      <c r="AC1334" s="9"/>
      <c r="AE1334" s="9"/>
    </row>
    <row r="1335" spans="1:31">
      <c r="A1335" s="9"/>
      <c r="B1335" s="9"/>
      <c r="C1335" s="9"/>
      <c r="D1335" s="9"/>
      <c r="E1335" s="9"/>
      <c r="G1335" s="9"/>
      <c r="I1335" s="9"/>
      <c r="M1335" s="9"/>
      <c r="N1335" s="9"/>
      <c r="O1335" s="9"/>
      <c r="Q1335" s="9"/>
      <c r="S1335" s="9"/>
      <c r="U1335" s="9"/>
      <c r="W1335" s="9"/>
      <c r="AA1335" s="9"/>
      <c r="AB1335" s="9"/>
      <c r="AC1335" s="9"/>
      <c r="AE1335" s="9"/>
    </row>
    <row r="1336" spans="1:31">
      <c r="A1336" s="9"/>
      <c r="B1336" s="9"/>
      <c r="C1336" s="9"/>
      <c r="D1336" s="9"/>
      <c r="E1336" s="9"/>
      <c r="G1336" s="9"/>
      <c r="I1336" s="9"/>
      <c r="M1336" s="9"/>
      <c r="N1336" s="9"/>
      <c r="O1336" s="9"/>
      <c r="Q1336" s="9"/>
      <c r="S1336" s="9"/>
      <c r="U1336" s="9"/>
      <c r="W1336" s="9"/>
      <c r="AA1336" s="9"/>
      <c r="AB1336" s="9"/>
      <c r="AC1336" s="9"/>
      <c r="AE1336" s="9"/>
    </row>
    <row r="1337" spans="1:31">
      <c r="A1337" s="9"/>
      <c r="B1337" s="9"/>
      <c r="C1337" s="9"/>
      <c r="D1337" s="9"/>
      <c r="E1337" s="9"/>
      <c r="G1337" s="9"/>
      <c r="I1337" s="9"/>
      <c r="M1337" s="9"/>
      <c r="N1337" s="9"/>
      <c r="O1337" s="9"/>
      <c r="Q1337" s="9"/>
      <c r="S1337" s="9"/>
      <c r="U1337" s="9"/>
      <c r="W1337" s="9"/>
      <c r="AA1337" s="9"/>
      <c r="AB1337" s="9"/>
      <c r="AC1337" s="9"/>
      <c r="AE1337" s="9"/>
    </row>
    <row r="1338" spans="1:31">
      <c r="A1338" s="9"/>
      <c r="B1338" s="9"/>
      <c r="C1338" s="9"/>
      <c r="D1338" s="9"/>
      <c r="E1338" s="9"/>
      <c r="G1338" s="9"/>
      <c r="I1338" s="9"/>
      <c r="M1338" s="9"/>
      <c r="N1338" s="9"/>
      <c r="O1338" s="9"/>
      <c r="Q1338" s="9"/>
      <c r="S1338" s="9"/>
      <c r="U1338" s="9"/>
      <c r="W1338" s="9"/>
      <c r="AA1338" s="9"/>
      <c r="AB1338" s="9"/>
      <c r="AC1338" s="9"/>
      <c r="AE1338" s="9"/>
    </row>
    <row r="1339" spans="1:31">
      <c r="A1339" s="9"/>
      <c r="B1339" s="9"/>
      <c r="C1339" s="9"/>
      <c r="D1339" s="9"/>
      <c r="E1339" s="9"/>
      <c r="G1339" s="9"/>
      <c r="I1339" s="9"/>
      <c r="M1339" s="9"/>
      <c r="N1339" s="9"/>
      <c r="O1339" s="9"/>
      <c r="Q1339" s="9"/>
      <c r="S1339" s="9"/>
      <c r="U1339" s="9"/>
      <c r="W1339" s="9"/>
      <c r="AA1339" s="9"/>
      <c r="AB1339" s="9"/>
      <c r="AC1339" s="9"/>
      <c r="AE1339" s="9"/>
    </row>
    <row r="1340" spans="1:31">
      <c r="A1340" s="9"/>
      <c r="B1340" s="9"/>
      <c r="C1340" s="9"/>
      <c r="D1340" s="9"/>
      <c r="E1340" s="9"/>
      <c r="G1340" s="9"/>
      <c r="I1340" s="9"/>
      <c r="M1340" s="9"/>
      <c r="N1340" s="9"/>
      <c r="O1340" s="9"/>
      <c r="Q1340" s="9"/>
      <c r="S1340" s="9"/>
      <c r="U1340" s="9"/>
      <c r="W1340" s="9"/>
      <c r="AA1340" s="9"/>
      <c r="AB1340" s="9"/>
      <c r="AC1340" s="9"/>
      <c r="AE1340" s="9"/>
    </row>
    <row r="1341" spans="1:31">
      <c r="A1341" s="9"/>
      <c r="B1341" s="9"/>
      <c r="C1341" s="9"/>
      <c r="D1341" s="9"/>
      <c r="E1341" s="9"/>
      <c r="G1341" s="9"/>
      <c r="I1341" s="9"/>
      <c r="M1341" s="9"/>
      <c r="N1341" s="9"/>
      <c r="O1341" s="9"/>
      <c r="Q1341" s="9"/>
      <c r="S1341" s="9"/>
      <c r="U1341" s="9"/>
      <c r="W1341" s="9"/>
      <c r="AA1341" s="9"/>
      <c r="AB1341" s="9"/>
      <c r="AC1341" s="9"/>
      <c r="AE1341" s="9"/>
    </row>
    <row r="1342" spans="1:31">
      <c r="A1342" s="9"/>
      <c r="B1342" s="9"/>
      <c r="C1342" s="9"/>
      <c r="D1342" s="9"/>
      <c r="E1342" s="9"/>
      <c r="G1342" s="9"/>
      <c r="I1342" s="9"/>
      <c r="M1342" s="9"/>
      <c r="N1342" s="9"/>
      <c r="O1342" s="9"/>
      <c r="Q1342" s="9"/>
      <c r="S1342" s="9"/>
      <c r="U1342" s="9"/>
      <c r="W1342" s="9"/>
      <c r="AA1342" s="9"/>
      <c r="AB1342" s="9"/>
      <c r="AC1342" s="9"/>
      <c r="AE1342" s="9"/>
    </row>
    <row r="1343" spans="1:31">
      <c r="A1343" s="9"/>
      <c r="B1343" s="9"/>
      <c r="C1343" s="9"/>
      <c r="D1343" s="9"/>
      <c r="E1343" s="9"/>
      <c r="G1343" s="9"/>
      <c r="I1343" s="9"/>
      <c r="M1343" s="9"/>
      <c r="N1343" s="9"/>
      <c r="O1343" s="9"/>
      <c r="Q1343" s="9"/>
      <c r="S1343" s="9"/>
      <c r="U1343" s="9"/>
      <c r="W1343" s="9"/>
      <c r="AA1343" s="9"/>
      <c r="AB1343" s="9"/>
      <c r="AC1343" s="9"/>
      <c r="AE1343" s="9"/>
    </row>
    <row r="1344" spans="1:31">
      <c r="A1344" s="9"/>
      <c r="B1344" s="9"/>
      <c r="C1344" s="9"/>
      <c r="D1344" s="9"/>
      <c r="E1344" s="9"/>
      <c r="G1344" s="9"/>
      <c r="I1344" s="9"/>
      <c r="M1344" s="9"/>
      <c r="N1344" s="9"/>
      <c r="O1344" s="9"/>
      <c r="Q1344" s="9"/>
      <c r="S1344" s="9"/>
      <c r="U1344" s="9"/>
      <c r="W1344" s="9"/>
      <c r="AA1344" s="9"/>
      <c r="AB1344" s="9"/>
      <c r="AC1344" s="9"/>
      <c r="AE1344" s="9"/>
    </row>
    <row r="1345" spans="1:31">
      <c r="A1345" s="9"/>
      <c r="B1345" s="9"/>
      <c r="C1345" s="9"/>
      <c r="D1345" s="9"/>
      <c r="E1345" s="9"/>
      <c r="G1345" s="9"/>
      <c r="I1345" s="9"/>
      <c r="M1345" s="9"/>
      <c r="N1345" s="9"/>
      <c r="O1345" s="9"/>
      <c r="Q1345" s="9"/>
      <c r="S1345" s="9"/>
      <c r="U1345" s="9"/>
      <c r="W1345" s="9"/>
      <c r="AA1345" s="9"/>
      <c r="AB1345" s="9"/>
      <c r="AC1345" s="9"/>
      <c r="AE1345" s="9"/>
    </row>
    <row r="1346" spans="1:31">
      <c r="A1346" s="9"/>
      <c r="B1346" s="9"/>
      <c r="C1346" s="9"/>
      <c r="D1346" s="9"/>
      <c r="E1346" s="9"/>
      <c r="G1346" s="9"/>
      <c r="I1346" s="9"/>
      <c r="M1346" s="9"/>
      <c r="N1346" s="9"/>
      <c r="O1346" s="9"/>
      <c r="Q1346" s="9"/>
      <c r="S1346" s="9"/>
      <c r="U1346" s="9"/>
      <c r="W1346" s="9"/>
      <c r="AA1346" s="9"/>
      <c r="AB1346" s="9"/>
      <c r="AC1346" s="9"/>
      <c r="AE1346" s="9"/>
    </row>
    <row r="1347" spans="1:31">
      <c r="A1347" s="9"/>
      <c r="B1347" s="9"/>
      <c r="C1347" s="9"/>
      <c r="D1347" s="9"/>
      <c r="E1347" s="9"/>
      <c r="G1347" s="9"/>
      <c r="I1347" s="9"/>
      <c r="M1347" s="9"/>
      <c r="N1347" s="9"/>
      <c r="O1347" s="9"/>
      <c r="Q1347" s="9"/>
      <c r="S1347" s="9"/>
      <c r="U1347" s="9"/>
      <c r="W1347" s="9"/>
      <c r="AA1347" s="9"/>
      <c r="AB1347" s="9"/>
      <c r="AC1347" s="9"/>
      <c r="AE1347" s="9"/>
    </row>
    <row r="1348" spans="1:31">
      <c r="A1348" s="9"/>
      <c r="B1348" s="9"/>
      <c r="C1348" s="9"/>
      <c r="D1348" s="9"/>
      <c r="E1348" s="9"/>
      <c r="G1348" s="9"/>
      <c r="I1348" s="9"/>
      <c r="M1348" s="9"/>
      <c r="N1348" s="9"/>
      <c r="O1348" s="9"/>
      <c r="Q1348" s="9"/>
      <c r="S1348" s="9"/>
      <c r="U1348" s="9"/>
      <c r="W1348" s="9"/>
      <c r="AA1348" s="9"/>
      <c r="AB1348" s="9"/>
      <c r="AC1348" s="9"/>
      <c r="AE1348" s="9"/>
    </row>
    <row r="1349" spans="1:31">
      <c r="A1349" s="9"/>
      <c r="B1349" s="9"/>
      <c r="C1349" s="9"/>
      <c r="D1349" s="9"/>
      <c r="E1349" s="9"/>
      <c r="G1349" s="9"/>
      <c r="I1349" s="9"/>
      <c r="M1349" s="9"/>
      <c r="N1349" s="9"/>
      <c r="O1349" s="9"/>
      <c r="Q1349" s="9"/>
      <c r="S1349" s="9"/>
      <c r="U1349" s="9"/>
      <c r="W1349" s="9"/>
      <c r="AA1349" s="9"/>
      <c r="AB1349" s="9"/>
      <c r="AC1349" s="9"/>
      <c r="AE1349" s="9"/>
    </row>
    <row r="1350" spans="1:31">
      <c r="A1350" s="9"/>
      <c r="B1350" s="9"/>
      <c r="C1350" s="9"/>
      <c r="D1350" s="9"/>
      <c r="E1350" s="9"/>
      <c r="G1350" s="9"/>
      <c r="I1350" s="9"/>
      <c r="M1350" s="9"/>
      <c r="N1350" s="9"/>
      <c r="O1350" s="9"/>
      <c r="Q1350" s="9"/>
      <c r="S1350" s="9"/>
      <c r="U1350" s="9"/>
      <c r="W1350" s="9"/>
      <c r="AA1350" s="9"/>
      <c r="AB1350" s="9"/>
      <c r="AC1350" s="9"/>
      <c r="AE1350" s="9"/>
    </row>
    <row r="1351" spans="1:31">
      <c r="A1351" s="9"/>
      <c r="B1351" s="9"/>
      <c r="C1351" s="9"/>
      <c r="D1351" s="9"/>
      <c r="E1351" s="9"/>
      <c r="G1351" s="9"/>
      <c r="I1351" s="9"/>
      <c r="M1351" s="9"/>
      <c r="N1351" s="9"/>
      <c r="O1351" s="9"/>
      <c r="Q1351" s="9"/>
      <c r="S1351" s="9"/>
      <c r="U1351" s="9"/>
      <c r="W1351" s="9"/>
      <c r="AA1351" s="9"/>
      <c r="AB1351" s="9"/>
      <c r="AC1351" s="9"/>
      <c r="AE1351" s="9"/>
    </row>
    <row r="1352" spans="1:31">
      <c r="A1352" s="9"/>
      <c r="B1352" s="9"/>
      <c r="C1352" s="9"/>
      <c r="D1352" s="9"/>
      <c r="E1352" s="9"/>
      <c r="G1352" s="9"/>
      <c r="I1352" s="9"/>
      <c r="M1352" s="9"/>
      <c r="N1352" s="9"/>
      <c r="O1352" s="9"/>
      <c r="Q1352" s="9"/>
      <c r="S1352" s="9"/>
      <c r="U1352" s="9"/>
      <c r="W1352" s="9"/>
      <c r="AA1352" s="9"/>
      <c r="AB1352" s="9"/>
      <c r="AC1352" s="9"/>
      <c r="AE1352" s="9"/>
    </row>
    <row r="1353" spans="1:31">
      <c r="A1353" s="9"/>
      <c r="B1353" s="9"/>
      <c r="C1353" s="9"/>
      <c r="D1353" s="9"/>
      <c r="E1353" s="9"/>
      <c r="G1353" s="9"/>
      <c r="I1353" s="9"/>
      <c r="M1353" s="9"/>
      <c r="N1353" s="9"/>
      <c r="O1353" s="9"/>
      <c r="Q1353" s="9"/>
      <c r="S1353" s="9"/>
      <c r="U1353" s="9"/>
      <c r="W1353" s="9"/>
      <c r="AA1353" s="9"/>
      <c r="AB1353" s="9"/>
      <c r="AC1353" s="9"/>
      <c r="AE1353" s="9"/>
    </row>
    <row r="1354" spans="1:31">
      <c r="A1354" s="9"/>
      <c r="B1354" s="9"/>
      <c r="C1354" s="9"/>
      <c r="D1354" s="9"/>
      <c r="E1354" s="9"/>
      <c r="G1354" s="9"/>
      <c r="I1354" s="9"/>
      <c r="M1354" s="9"/>
      <c r="N1354" s="9"/>
      <c r="O1354" s="9"/>
      <c r="Q1354" s="9"/>
      <c r="S1354" s="9"/>
      <c r="U1354" s="9"/>
      <c r="W1354" s="9"/>
      <c r="AA1354" s="9"/>
      <c r="AB1354" s="9"/>
      <c r="AC1354" s="9"/>
      <c r="AE1354" s="9"/>
    </row>
    <row r="1355" spans="1:31">
      <c r="A1355" s="9"/>
      <c r="B1355" s="9"/>
      <c r="C1355" s="9"/>
      <c r="D1355" s="9"/>
      <c r="E1355" s="9"/>
      <c r="G1355" s="9"/>
      <c r="I1355" s="9"/>
      <c r="M1355" s="9"/>
      <c r="N1355" s="9"/>
      <c r="O1355" s="9"/>
      <c r="Q1355" s="9"/>
      <c r="S1355" s="9"/>
      <c r="U1355" s="9"/>
      <c r="W1355" s="9"/>
      <c r="AA1355" s="9"/>
      <c r="AB1355" s="9"/>
      <c r="AC1355" s="9"/>
      <c r="AE1355" s="9"/>
    </row>
    <row r="1356" spans="1:31">
      <c r="A1356" s="9"/>
      <c r="B1356" s="9"/>
      <c r="C1356" s="9"/>
      <c r="D1356" s="9"/>
      <c r="E1356" s="9"/>
      <c r="G1356" s="9"/>
      <c r="I1356" s="9"/>
      <c r="M1356" s="9"/>
      <c r="N1356" s="9"/>
      <c r="O1356" s="9"/>
      <c r="Q1356" s="9"/>
      <c r="S1356" s="9"/>
      <c r="U1356" s="9"/>
      <c r="W1356" s="9"/>
      <c r="AA1356" s="9"/>
      <c r="AB1356" s="9"/>
      <c r="AC1356" s="9"/>
      <c r="AE1356" s="9"/>
    </row>
    <row r="1357" spans="1:31">
      <c r="A1357" s="9"/>
      <c r="B1357" s="9"/>
      <c r="C1357" s="9"/>
      <c r="D1357" s="9"/>
      <c r="E1357" s="9"/>
      <c r="G1357" s="9"/>
      <c r="I1357" s="9"/>
      <c r="M1357" s="9"/>
      <c r="N1357" s="9"/>
      <c r="O1357" s="9"/>
      <c r="Q1357" s="9"/>
      <c r="S1357" s="9"/>
      <c r="U1357" s="9"/>
      <c r="W1357" s="9"/>
      <c r="AA1357" s="9"/>
      <c r="AB1357" s="9"/>
      <c r="AC1357" s="9"/>
      <c r="AE1357" s="9"/>
    </row>
    <row r="1358" spans="1:31">
      <c r="A1358" s="9"/>
      <c r="B1358" s="9"/>
      <c r="C1358" s="9"/>
      <c r="D1358" s="9"/>
      <c r="E1358" s="9"/>
      <c r="G1358" s="9"/>
      <c r="I1358" s="9"/>
      <c r="M1358" s="9"/>
      <c r="N1358" s="9"/>
      <c r="O1358" s="9"/>
      <c r="Q1358" s="9"/>
      <c r="S1358" s="9"/>
      <c r="U1358" s="9"/>
      <c r="W1358" s="9"/>
      <c r="AA1358" s="9"/>
      <c r="AB1358" s="9"/>
      <c r="AC1358" s="9"/>
      <c r="AE1358" s="9"/>
    </row>
    <row r="1359" spans="1:31">
      <c r="A1359" s="9"/>
      <c r="B1359" s="9"/>
      <c r="C1359" s="9"/>
      <c r="D1359" s="9"/>
      <c r="E1359" s="9"/>
      <c r="G1359" s="9"/>
      <c r="I1359" s="9"/>
      <c r="M1359" s="9"/>
      <c r="N1359" s="9"/>
      <c r="O1359" s="9"/>
      <c r="Q1359" s="9"/>
      <c r="S1359" s="9"/>
      <c r="U1359" s="9"/>
      <c r="W1359" s="9"/>
      <c r="AA1359" s="9"/>
      <c r="AB1359" s="9"/>
      <c r="AC1359" s="9"/>
      <c r="AE1359" s="9"/>
    </row>
    <row r="1360" spans="1:31">
      <c r="A1360" s="9"/>
      <c r="B1360" s="9"/>
      <c r="C1360" s="9"/>
      <c r="D1360" s="9"/>
      <c r="E1360" s="9"/>
      <c r="G1360" s="9"/>
      <c r="I1360" s="9"/>
      <c r="M1360" s="9"/>
      <c r="N1360" s="9"/>
      <c r="O1360" s="9"/>
      <c r="Q1360" s="9"/>
      <c r="S1360" s="9"/>
      <c r="U1360" s="9"/>
      <c r="W1360" s="9"/>
      <c r="AA1360" s="9"/>
      <c r="AB1360" s="9"/>
      <c r="AC1360" s="9"/>
      <c r="AE1360" s="9"/>
    </row>
    <row r="1361" spans="1:31">
      <c r="A1361" s="9"/>
      <c r="B1361" s="9"/>
      <c r="C1361" s="9"/>
      <c r="D1361" s="9"/>
      <c r="E1361" s="9"/>
      <c r="G1361" s="9"/>
      <c r="I1361" s="9"/>
      <c r="M1361" s="9"/>
      <c r="N1361" s="9"/>
      <c r="O1361" s="9"/>
      <c r="Q1361" s="9"/>
      <c r="S1361" s="9"/>
      <c r="U1361" s="9"/>
      <c r="W1361" s="9"/>
      <c r="AA1361" s="9"/>
      <c r="AB1361" s="9"/>
      <c r="AC1361" s="9"/>
      <c r="AE1361" s="9"/>
    </row>
    <row r="1362" spans="1:31">
      <c r="A1362" s="9"/>
      <c r="B1362" s="9"/>
      <c r="C1362" s="9"/>
      <c r="D1362" s="9"/>
      <c r="E1362" s="9"/>
      <c r="G1362" s="9"/>
      <c r="I1362" s="9"/>
      <c r="M1362" s="9"/>
      <c r="N1362" s="9"/>
      <c r="O1362" s="9"/>
      <c r="Q1362" s="9"/>
      <c r="S1362" s="9"/>
      <c r="U1362" s="9"/>
      <c r="W1362" s="9"/>
      <c r="AA1362" s="9"/>
      <c r="AB1362" s="9"/>
      <c r="AC1362" s="9"/>
      <c r="AE1362" s="9"/>
    </row>
    <row r="1363" spans="1:31">
      <c r="A1363" s="9"/>
      <c r="B1363" s="9"/>
      <c r="C1363" s="9"/>
      <c r="D1363" s="9"/>
      <c r="E1363" s="9"/>
      <c r="G1363" s="9"/>
      <c r="I1363" s="9"/>
      <c r="M1363" s="9"/>
      <c r="N1363" s="9"/>
      <c r="O1363" s="9"/>
      <c r="Q1363" s="9"/>
      <c r="S1363" s="9"/>
      <c r="U1363" s="9"/>
      <c r="W1363" s="9"/>
      <c r="AA1363" s="9"/>
      <c r="AB1363" s="9"/>
      <c r="AC1363" s="9"/>
      <c r="AE1363" s="9"/>
    </row>
    <row r="1364" spans="1:31">
      <c r="A1364" s="9"/>
      <c r="B1364" s="9"/>
      <c r="C1364" s="9"/>
      <c r="D1364" s="9"/>
      <c r="E1364" s="9"/>
      <c r="G1364" s="9"/>
      <c r="I1364" s="9"/>
      <c r="M1364" s="9"/>
      <c r="N1364" s="9"/>
      <c r="O1364" s="9"/>
      <c r="Q1364" s="9"/>
      <c r="S1364" s="9"/>
      <c r="U1364" s="9"/>
      <c r="W1364" s="9"/>
      <c r="AA1364" s="9"/>
      <c r="AB1364" s="9"/>
      <c r="AC1364" s="9"/>
      <c r="AE1364" s="9"/>
    </row>
    <row r="1365" spans="1:31">
      <c r="A1365" s="9"/>
      <c r="B1365" s="9"/>
      <c r="C1365" s="9"/>
      <c r="D1365" s="9"/>
      <c r="E1365" s="9"/>
      <c r="G1365" s="9"/>
      <c r="I1365" s="9"/>
      <c r="M1365" s="9"/>
      <c r="N1365" s="9"/>
      <c r="O1365" s="9"/>
      <c r="Q1365" s="9"/>
      <c r="S1365" s="9"/>
      <c r="U1365" s="9"/>
      <c r="W1365" s="9"/>
      <c r="AA1365" s="9"/>
      <c r="AB1365" s="9"/>
      <c r="AC1365" s="9"/>
      <c r="AE1365" s="9"/>
    </row>
    <row r="1366" spans="1:31">
      <c r="A1366" s="9"/>
      <c r="B1366" s="9"/>
      <c r="C1366" s="9"/>
      <c r="D1366" s="9"/>
      <c r="E1366" s="9"/>
      <c r="G1366" s="9"/>
      <c r="I1366" s="9"/>
      <c r="M1366" s="9"/>
      <c r="N1366" s="9"/>
      <c r="O1366" s="9"/>
      <c r="Q1366" s="9"/>
      <c r="S1366" s="9"/>
      <c r="U1366" s="9"/>
      <c r="W1366" s="9"/>
      <c r="AA1366" s="9"/>
      <c r="AB1366" s="9"/>
      <c r="AC1366" s="9"/>
      <c r="AE1366" s="9"/>
    </row>
    <row r="1367" spans="1:31">
      <c r="A1367" s="9"/>
      <c r="B1367" s="9"/>
      <c r="C1367" s="9"/>
      <c r="D1367" s="9"/>
      <c r="E1367" s="9"/>
      <c r="G1367" s="9"/>
      <c r="I1367" s="9"/>
      <c r="M1367" s="9"/>
      <c r="N1367" s="9"/>
      <c r="O1367" s="9"/>
      <c r="Q1367" s="9"/>
      <c r="S1367" s="9"/>
      <c r="U1367" s="9"/>
      <c r="W1367" s="9"/>
      <c r="AA1367" s="9"/>
      <c r="AB1367" s="9"/>
      <c r="AC1367" s="9"/>
      <c r="AE1367" s="9"/>
    </row>
    <row r="1368" spans="1:31">
      <c r="A1368" s="9"/>
      <c r="B1368" s="9"/>
      <c r="C1368" s="9"/>
      <c r="D1368" s="9"/>
      <c r="E1368" s="9"/>
      <c r="G1368" s="9"/>
      <c r="I1368" s="9"/>
      <c r="M1368" s="9"/>
      <c r="N1368" s="9"/>
      <c r="O1368" s="9"/>
      <c r="Q1368" s="9"/>
      <c r="S1368" s="9"/>
      <c r="U1368" s="9"/>
      <c r="W1368" s="9"/>
      <c r="AA1368" s="9"/>
      <c r="AB1368" s="9"/>
      <c r="AC1368" s="9"/>
      <c r="AE1368" s="9"/>
    </row>
    <row r="1369" spans="1:31">
      <c r="A1369" s="9"/>
      <c r="B1369" s="9"/>
      <c r="C1369" s="9"/>
      <c r="D1369" s="9"/>
      <c r="E1369" s="9"/>
      <c r="G1369" s="9"/>
      <c r="I1369" s="9"/>
      <c r="M1369" s="9"/>
      <c r="N1369" s="9"/>
      <c r="O1369" s="9"/>
      <c r="Q1369" s="9"/>
      <c r="S1369" s="9"/>
      <c r="U1369" s="9"/>
      <c r="W1369" s="9"/>
      <c r="AA1369" s="9"/>
      <c r="AB1369" s="9"/>
      <c r="AC1369" s="9"/>
      <c r="AE1369" s="9"/>
    </row>
    <row r="1370" spans="1:31">
      <c r="A1370" s="9"/>
      <c r="B1370" s="9"/>
      <c r="C1370" s="9"/>
      <c r="D1370" s="9"/>
      <c r="E1370" s="9"/>
      <c r="G1370" s="9"/>
      <c r="I1370" s="9"/>
      <c r="M1370" s="9"/>
      <c r="N1370" s="9"/>
      <c r="O1370" s="9"/>
      <c r="Q1370" s="9"/>
      <c r="S1370" s="9"/>
      <c r="U1370" s="9"/>
      <c r="W1370" s="9"/>
      <c r="AA1370" s="9"/>
      <c r="AB1370" s="9"/>
      <c r="AC1370" s="9"/>
      <c r="AE1370" s="9"/>
    </row>
    <row r="1371" spans="1:31">
      <c r="A1371" s="9"/>
      <c r="B1371" s="9"/>
      <c r="C1371" s="9"/>
      <c r="D1371" s="9"/>
      <c r="E1371" s="9"/>
      <c r="G1371" s="9"/>
      <c r="I1371" s="9"/>
      <c r="M1371" s="9"/>
      <c r="N1371" s="9"/>
      <c r="O1371" s="9"/>
      <c r="Q1371" s="9"/>
      <c r="S1371" s="9"/>
      <c r="U1371" s="9"/>
      <c r="W1371" s="9"/>
      <c r="AA1371" s="9"/>
      <c r="AB1371" s="9"/>
      <c r="AC1371" s="9"/>
      <c r="AE1371" s="9"/>
    </row>
    <row r="1372" spans="1:31">
      <c r="A1372" s="9"/>
      <c r="B1372" s="9"/>
      <c r="C1372" s="9"/>
      <c r="D1372" s="9"/>
      <c r="E1372" s="9"/>
      <c r="G1372" s="9"/>
      <c r="I1372" s="9"/>
      <c r="M1372" s="9"/>
      <c r="N1372" s="9"/>
      <c r="O1372" s="9"/>
      <c r="Q1372" s="9"/>
      <c r="S1372" s="9"/>
      <c r="U1372" s="9"/>
      <c r="W1372" s="9"/>
      <c r="AA1372" s="9"/>
      <c r="AB1372" s="9"/>
      <c r="AC1372" s="9"/>
      <c r="AE1372" s="9"/>
    </row>
    <row r="1373" spans="1:31">
      <c r="A1373" s="9"/>
      <c r="B1373" s="9"/>
      <c r="C1373" s="9"/>
      <c r="D1373" s="9"/>
      <c r="E1373" s="9"/>
      <c r="G1373" s="9"/>
      <c r="I1373" s="9"/>
      <c r="M1373" s="9"/>
      <c r="N1373" s="9"/>
      <c r="O1373" s="9"/>
      <c r="Q1373" s="9"/>
      <c r="S1373" s="9"/>
      <c r="U1373" s="9"/>
      <c r="W1373" s="9"/>
      <c r="AA1373" s="9"/>
      <c r="AB1373" s="9"/>
      <c r="AC1373" s="9"/>
      <c r="AE1373" s="9"/>
    </row>
    <row r="1374" spans="1:31">
      <c r="A1374" s="9"/>
      <c r="B1374" s="9"/>
      <c r="C1374" s="9"/>
      <c r="D1374" s="9"/>
      <c r="E1374" s="9"/>
      <c r="G1374" s="9"/>
      <c r="I1374" s="9"/>
      <c r="M1374" s="9"/>
      <c r="N1374" s="9"/>
      <c r="O1374" s="9"/>
      <c r="Q1374" s="9"/>
      <c r="S1374" s="9"/>
      <c r="U1374" s="9"/>
      <c r="W1374" s="9"/>
      <c r="AA1374" s="9"/>
      <c r="AB1374" s="9"/>
      <c r="AC1374" s="9"/>
      <c r="AE1374" s="9"/>
    </row>
    <row r="1375" spans="1:31">
      <c r="A1375" s="9"/>
      <c r="B1375" s="9"/>
      <c r="C1375" s="9"/>
      <c r="D1375" s="9"/>
      <c r="E1375" s="9"/>
      <c r="G1375" s="9"/>
      <c r="I1375" s="9"/>
      <c r="M1375" s="9"/>
      <c r="N1375" s="9"/>
      <c r="O1375" s="9"/>
      <c r="Q1375" s="9"/>
      <c r="S1375" s="9"/>
      <c r="U1375" s="9"/>
      <c r="W1375" s="9"/>
      <c r="AA1375" s="9"/>
      <c r="AB1375" s="9"/>
      <c r="AC1375" s="9"/>
      <c r="AE1375" s="9"/>
    </row>
    <row r="1376" spans="1:31">
      <c r="A1376" s="9"/>
      <c r="B1376" s="9"/>
      <c r="C1376" s="9"/>
      <c r="D1376" s="9"/>
      <c r="E1376" s="9"/>
      <c r="G1376" s="9"/>
      <c r="I1376" s="9"/>
      <c r="M1376" s="9"/>
      <c r="N1376" s="9"/>
      <c r="O1376" s="9"/>
      <c r="Q1376" s="9"/>
      <c r="S1376" s="9"/>
      <c r="U1376" s="9"/>
      <c r="W1376" s="9"/>
      <c r="AA1376" s="9"/>
      <c r="AB1376" s="9"/>
      <c r="AC1376" s="9"/>
      <c r="AE1376" s="9"/>
    </row>
    <row r="1377" spans="1:31">
      <c r="A1377" s="9"/>
      <c r="B1377" s="9"/>
      <c r="C1377" s="9"/>
      <c r="D1377" s="9"/>
      <c r="E1377" s="9"/>
      <c r="G1377" s="9"/>
      <c r="I1377" s="9"/>
      <c r="M1377" s="9"/>
      <c r="N1377" s="9"/>
      <c r="O1377" s="9"/>
      <c r="Q1377" s="9"/>
      <c r="S1377" s="9"/>
      <c r="U1377" s="9"/>
      <c r="W1377" s="9"/>
      <c r="AA1377" s="9"/>
      <c r="AB1377" s="9"/>
      <c r="AC1377" s="9"/>
      <c r="AE1377" s="9"/>
    </row>
    <row r="1378" spans="1:31">
      <c r="A1378" s="9"/>
      <c r="B1378" s="9"/>
      <c r="C1378" s="9"/>
      <c r="D1378" s="9"/>
      <c r="E1378" s="9"/>
      <c r="G1378" s="9"/>
      <c r="I1378" s="9"/>
      <c r="M1378" s="9"/>
      <c r="N1378" s="9"/>
      <c r="O1378" s="9"/>
      <c r="Q1378" s="9"/>
      <c r="S1378" s="9"/>
      <c r="U1378" s="9"/>
      <c r="W1378" s="9"/>
      <c r="AA1378" s="9"/>
      <c r="AB1378" s="9"/>
      <c r="AC1378" s="9"/>
      <c r="AE1378" s="9"/>
    </row>
    <row r="1379" spans="1:31">
      <c r="A1379" s="9"/>
      <c r="B1379" s="9"/>
      <c r="C1379" s="9"/>
      <c r="D1379" s="9"/>
      <c r="E1379" s="9"/>
      <c r="G1379" s="9"/>
      <c r="I1379" s="9"/>
      <c r="M1379" s="9"/>
      <c r="N1379" s="9"/>
      <c r="O1379" s="9"/>
      <c r="Q1379" s="9"/>
      <c r="S1379" s="9"/>
      <c r="U1379" s="9"/>
      <c r="W1379" s="9"/>
      <c r="AA1379" s="9"/>
      <c r="AB1379" s="9"/>
      <c r="AC1379" s="9"/>
      <c r="AE1379" s="9"/>
    </row>
    <row r="1380" spans="1:31">
      <c r="A1380" s="9"/>
      <c r="B1380" s="9"/>
      <c r="C1380" s="9"/>
      <c r="D1380" s="9"/>
      <c r="E1380" s="9"/>
      <c r="G1380" s="9"/>
      <c r="I1380" s="9"/>
      <c r="M1380" s="9"/>
      <c r="N1380" s="9"/>
      <c r="O1380" s="9"/>
      <c r="Q1380" s="9"/>
      <c r="S1380" s="9"/>
      <c r="U1380" s="9"/>
      <c r="W1380" s="9"/>
      <c r="AA1380" s="9"/>
      <c r="AB1380" s="9"/>
      <c r="AC1380" s="9"/>
      <c r="AE1380" s="9"/>
    </row>
    <row r="1381" spans="1:31">
      <c r="A1381" s="9"/>
      <c r="B1381" s="9"/>
      <c r="C1381" s="9"/>
      <c r="D1381" s="9"/>
      <c r="E1381" s="9"/>
      <c r="G1381" s="9"/>
      <c r="I1381" s="9"/>
      <c r="M1381" s="9"/>
      <c r="N1381" s="9"/>
      <c r="O1381" s="9"/>
      <c r="Q1381" s="9"/>
      <c r="S1381" s="9"/>
      <c r="U1381" s="9"/>
      <c r="W1381" s="9"/>
      <c r="AA1381" s="9"/>
      <c r="AB1381" s="9"/>
      <c r="AC1381" s="9"/>
      <c r="AE1381" s="9"/>
    </row>
    <row r="1382" spans="1:31">
      <c r="A1382" s="9"/>
      <c r="B1382" s="9"/>
      <c r="C1382" s="9"/>
      <c r="D1382" s="9"/>
      <c r="E1382" s="9"/>
      <c r="G1382" s="9"/>
      <c r="I1382" s="9"/>
      <c r="M1382" s="9"/>
      <c r="N1382" s="9"/>
      <c r="O1382" s="9"/>
      <c r="Q1382" s="9"/>
      <c r="S1382" s="9"/>
      <c r="U1382" s="9"/>
      <c r="W1382" s="9"/>
      <c r="AA1382" s="9"/>
      <c r="AB1382" s="9"/>
      <c r="AC1382" s="9"/>
      <c r="AE1382" s="9"/>
    </row>
    <row r="1383" spans="1:31">
      <c r="A1383" s="9"/>
      <c r="B1383" s="9"/>
      <c r="C1383" s="9"/>
      <c r="D1383" s="9"/>
      <c r="E1383" s="9"/>
      <c r="G1383" s="9"/>
      <c r="I1383" s="9"/>
      <c r="M1383" s="9"/>
      <c r="N1383" s="9"/>
      <c r="O1383" s="9"/>
      <c r="Q1383" s="9"/>
      <c r="S1383" s="9"/>
      <c r="U1383" s="9"/>
      <c r="W1383" s="9"/>
      <c r="AA1383" s="9"/>
      <c r="AB1383" s="9"/>
      <c r="AC1383" s="9"/>
      <c r="AE1383" s="9"/>
    </row>
    <row r="1384" spans="1:31">
      <c r="A1384" s="9"/>
      <c r="B1384" s="9"/>
      <c r="C1384" s="9"/>
      <c r="D1384" s="9"/>
      <c r="E1384" s="9"/>
      <c r="G1384" s="9"/>
      <c r="I1384" s="9"/>
      <c r="M1384" s="9"/>
      <c r="N1384" s="9"/>
      <c r="O1384" s="9"/>
      <c r="Q1384" s="9"/>
      <c r="S1384" s="9"/>
      <c r="U1384" s="9"/>
      <c r="W1384" s="9"/>
      <c r="AA1384" s="9"/>
      <c r="AB1384" s="9"/>
      <c r="AC1384" s="9"/>
      <c r="AE1384" s="9"/>
    </row>
    <row r="1385" spans="1:31">
      <c r="A1385" s="9"/>
      <c r="B1385" s="9"/>
      <c r="C1385" s="9"/>
      <c r="D1385" s="9"/>
      <c r="E1385" s="9"/>
      <c r="G1385" s="9"/>
      <c r="I1385" s="9"/>
      <c r="M1385" s="9"/>
      <c r="N1385" s="9"/>
      <c r="O1385" s="9"/>
      <c r="Q1385" s="9"/>
      <c r="S1385" s="9"/>
      <c r="U1385" s="9"/>
      <c r="W1385" s="9"/>
      <c r="AA1385" s="9"/>
      <c r="AB1385" s="9"/>
      <c r="AC1385" s="9"/>
      <c r="AE1385" s="9"/>
    </row>
    <row r="1386" spans="1:31">
      <c r="A1386" s="9"/>
      <c r="B1386" s="9"/>
      <c r="C1386" s="9"/>
      <c r="D1386" s="9"/>
      <c r="E1386" s="9"/>
      <c r="G1386" s="9"/>
      <c r="I1386" s="9"/>
      <c r="M1386" s="9"/>
      <c r="N1386" s="9"/>
      <c r="O1386" s="9"/>
      <c r="Q1386" s="9"/>
      <c r="S1386" s="9"/>
      <c r="U1386" s="9"/>
      <c r="W1386" s="9"/>
      <c r="AA1386" s="9"/>
      <c r="AB1386" s="9"/>
      <c r="AC1386" s="9"/>
      <c r="AE1386" s="9"/>
    </row>
    <row r="1387" spans="1:31">
      <c r="A1387" s="9"/>
      <c r="B1387" s="9"/>
      <c r="C1387" s="9"/>
      <c r="D1387" s="9"/>
      <c r="E1387" s="9"/>
      <c r="G1387" s="9"/>
      <c r="I1387" s="9"/>
      <c r="M1387" s="9"/>
      <c r="N1387" s="9"/>
      <c r="O1387" s="9"/>
      <c r="Q1387" s="9"/>
      <c r="S1387" s="9"/>
      <c r="U1387" s="9"/>
      <c r="W1387" s="9"/>
      <c r="AA1387" s="9"/>
      <c r="AB1387" s="9"/>
      <c r="AC1387" s="9"/>
      <c r="AE1387" s="9"/>
    </row>
    <row r="1388" spans="1:31">
      <c r="A1388" s="9"/>
      <c r="B1388" s="9"/>
      <c r="C1388" s="9"/>
      <c r="D1388" s="9"/>
      <c r="E1388" s="9"/>
      <c r="G1388" s="9"/>
      <c r="I1388" s="9"/>
      <c r="M1388" s="9"/>
      <c r="N1388" s="9"/>
      <c r="O1388" s="9"/>
      <c r="Q1388" s="9"/>
      <c r="S1388" s="9"/>
      <c r="U1388" s="9"/>
      <c r="W1388" s="9"/>
      <c r="AA1388" s="9"/>
      <c r="AB1388" s="9"/>
      <c r="AC1388" s="9"/>
      <c r="AE1388" s="9"/>
    </row>
    <row r="1389" spans="1:31">
      <c r="A1389" s="9"/>
      <c r="B1389" s="9"/>
      <c r="C1389" s="9"/>
      <c r="D1389" s="9"/>
      <c r="E1389" s="9"/>
      <c r="G1389" s="9"/>
      <c r="I1389" s="9"/>
      <c r="M1389" s="9"/>
      <c r="N1389" s="9"/>
      <c r="O1389" s="9"/>
      <c r="Q1389" s="9"/>
      <c r="S1389" s="9"/>
      <c r="U1389" s="9"/>
      <c r="W1389" s="9"/>
      <c r="AA1389" s="9"/>
      <c r="AB1389" s="9"/>
      <c r="AC1389" s="9"/>
      <c r="AE1389" s="9"/>
    </row>
    <row r="1390" spans="1:31">
      <c r="A1390" s="9"/>
      <c r="B1390" s="9"/>
      <c r="C1390" s="9"/>
      <c r="D1390" s="9"/>
      <c r="E1390" s="9"/>
      <c r="G1390" s="9"/>
      <c r="I1390" s="9"/>
      <c r="M1390" s="9"/>
      <c r="N1390" s="9"/>
      <c r="O1390" s="9"/>
      <c r="Q1390" s="9"/>
      <c r="S1390" s="9"/>
      <c r="U1390" s="9"/>
      <c r="W1390" s="9"/>
      <c r="AA1390" s="9"/>
      <c r="AB1390" s="9"/>
      <c r="AC1390" s="9"/>
      <c r="AE1390" s="9"/>
    </row>
    <row r="1391" spans="1:31">
      <c r="A1391" s="9"/>
      <c r="B1391" s="9"/>
      <c r="C1391" s="9"/>
      <c r="D1391" s="9"/>
      <c r="E1391" s="9"/>
      <c r="G1391" s="9"/>
      <c r="I1391" s="9"/>
      <c r="M1391" s="9"/>
      <c r="N1391" s="9"/>
      <c r="O1391" s="9"/>
      <c r="Q1391" s="9"/>
      <c r="S1391" s="9"/>
      <c r="U1391" s="9"/>
      <c r="W1391" s="9"/>
      <c r="AA1391" s="9"/>
      <c r="AB1391" s="9"/>
      <c r="AC1391" s="9"/>
      <c r="AE1391" s="9"/>
    </row>
    <row r="1392" spans="1:31">
      <c r="A1392" s="9"/>
      <c r="B1392" s="9"/>
      <c r="C1392" s="9"/>
      <c r="D1392" s="9"/>
      <c r="E1392" s="9"/>
      <c r="G1392" s="9"/>
      <c r="I1392" s="9"/>
      <c r="M1392" s="9"/>
      <c r="N1392" s="9"/>
      <c r="O1392" s="9"/>
      <c r="Q1392" s="9"/>
      <c r="S1392" s="9"/>
      <c r="U1392" s="9"/>
      <c r="W1392" s="9"/>
      <c r="AA1392" s="9"/>
      <c r="AB1392" s="9"/>
      <c r="AC1392" s="9"/>
      <c r="AE1392" s="9"/>
    </row>
    <row r="1393" spans="1:31">
      <c r="A1393" s="9"/>
      <c r="B1393" s="9"/>
      <c r="C1393" s="9"/>
      <c r="D1393" s="9"/>
      <c r="E1393" s="9"/>
      <c r="G1393" s="9"/>
      <c r="I1393" s="9"/>
      <c r="M1393" s="9"/>
      <c r="N1393" s="9"/>
      <c r="O1393" s="9"/>
      <c r="Q1393" s="9"/>
      <c r="S1393" s="9"/>
      <c r="U1393" s="9"/>
      <c r="W1393" s="9"/>
      <c r="AA1393" s="9"/>
      <c r="AB1393" s="9"/>
      <c r="AC1393" s="9"/>
      <c r="AE1393" s="9"/>
    </row>
    <row r="1394" spans="1:31">
      <c r="A1394" s="9"/>
      <c r="B1394" s="9"/>
      <c r="C1394" s="9"/>
      <c r="D1394" s="9"/>
      <c r="E1394" s="9"/>
      <c r="G1394" s="9"/>
      <c r="I1394" s="9"/>
      <c r="M1394" s="9"/>
      <c r="N1394" s="9"/>
      <c r="O1394" s="9"/>
      <c r="Q1394" s="9"/>
      <c r="S1394" s="9"/>
      <c r="U1394" s="9"/>
      <c r="W1394" s="9"/>
      <c r="AA1394" s="9"/>
      <c r="AB1394" s="9"/>
      <c r="AC1394" s="9"/>
      <c r="AE1394" s="9"/>
    </row>
    <row r="1395" spans="1:31">
      <c r="A1395" s="9"/>
      <c r="B1395" s="9"/>
      <c r="C1395" s="9"/>
      <c r="D1395" s="9"/>
      <c r="E1395" s="9"/>
      <c r="G1395" s="9"/>
      <c r="I1395" s="9"/>
      <c r="M1395" s="9"/>
      <c r="N1395" s="9"/>
      <c r="O1395" s="9"/>
      <c r="Q1395" s="9"/>
      <c r="S1395" s="9"/>
      <c r="U1395" s="9"/>
      <c r="W1395" s="9"/>
      <c r="AA1395" s="9"/>
      <c r="AB1395" s="9"/>
      <c r="AC1395" s="9"/>
      <c r="AE1395" s="9"/>
    </row>
    <row r="1396" spans="1:31">
      <c r="A1396" s="9"/>
      <c r="B1396" s="9"/>
      <c r="C1396" s="9"/>
      <c r="D1396" s="9"/>
      <c r="E1396" s="9"/>
      <c r="G1396" s="9"/>
      <c r="I1396" s="9"/>
      <c r="M1396" s="9"/>
      <c r="N1396" s="9"/>
      <c r="O1396" s="9"/>
      <c r="Q1396" s="9"/>
      <c r="S1396" s="9"/>
      <c r="U1396" s="9"/>
      <c r="W1396" s="9"/>
      <c r="AA1396" s="9"/>
      <c r="AB1396" s="9"/>
      <c r="AC1396" s="9"/>
      <c r="AE1396" s="9"/>
    </row>
    <row r="1397" spans="1:31">
      <c r="A1397" s="9"/>
      <c r="B1397" s="9"/>
      <c r="C1397" s="9"/>
      <c r="D1397" s="9"/>
      <c r="E1397" s="9"/>
      <c r="G1397" s="9"/>
      <c r="I1397" s="9"/>
      <c r="M1397" s="9"/>
      <c r="N1397" s="9"/>
      <c r="O1397" s="9"/>
      <c r="Q1397" s="9"/>
      <c r="S1397" s="9"/>
      <c r="U1397" s="9"/>
      <c r="W1397" s="9"/>
      <c r="AA1397" s="9"/>
      <c r="AB1397" s="9"/>
      <c r="AC1397" s="9"/>
      <c r="AE1397" s="9"/>
    </row>
    <row r="1398" spans="1:31">
      <c r="A1398" s="9"/>
      <c r="B1398" s="9"/>
      <c r="C1398" s="9"/>
      <c r="D1398" s="9"/>
      <c r="E1398" s="9"/>
      <c r="G1398" s="9"/>
      <c r="I1398" s="9"/>
      <c r="M1398" s="9"/>
      <c r="N1398" s="9"/>
      <c r="O1398" s="9"/>
      <c r="Q1398" s="9"/>
      <c r="S1398" s="9"/>
      <c r="U1398" s="9"/>
      <c r="W1398" s="9"/>
      <c r="AA1398" s="9"/>
      <c r="AB1398" s="9"/>
      <c r="AC1398" s="9"/>
      <c r="AE1398" s="9"/>
    </row>
    <row r="1399" spans="1:31">
      <c r="A1399" s="9"/>
      <c r="B1399" s="9"/>
      <c r="C1399" s="9"/>
      <c r="D1399" s="9"/>
      <c r="E1399" s="9"/>
      <c r="G1399" s="9"/>
      <c r="I1399" s="9"/>
      <c r="M1399" s="9"/>
      <c r="N1399" s="9"/>
      <c r="O1399" s="9"/>
      <c r="Q1399" s="9"/>
      <c r="S1399" s="9"/>
      <c r="U1399" s="9"/>
      <c r="W1399" s="9"/>
      <c r="AA1399" s="9"/>
      <c r="AB1399" s="9"/>
      <c r="AC1399" s="9"/>
      <c r="AE1399" s="9"/>
    </row>
    <row r="1400" spans="1:31">
      <c r="A1400" s="9"/>
      <c r="B1400" s="9"/>
      <c r="C1400" s="9"/>
      <c r="D1400" s="9"/>
      <c r="E1400" s="9"/>
      <c r="G1400" s="9"/>
      <c r="I1400" s="9"/>
      <c r="M1400" s="9"/>
      <c r="N1400" s="9"/>
      <c r="O1400" s="9"/>
      <c r="Q1400" s="9"/>
      <c r="S1400" s="9"/>
      <c r="U1400" s="9"/>
      <c r="W1400" s="9"/>
      <c r="AA1400" s="9"/>
      <c r="AB1400" s="9"/>
      <c r="AC1400" s="9"/>
      <c r="AE1400" s="9"/>
    </row>
    <row r="1401" spans="1:31">
      <c r="A1401" s="9"/>
      <c r="B1401" s="9"/>
      <c r="C1401" s="9"/>
      <c r="D1401" s="9"/>
      <c r="E1401" s="9"/>
      <c r="G1401" s="9"/>
      <c r="I1401" s="9"/>
      <c r="M1401" s="9"/>
      <c r="N1401" s="9"/>
      <c r="O1401" s="9"/>
      <c r="Q1401" s="9"/>
      <c r="S1401" s="9"/>
      <c r="U1401" s="9"/>
      <c r="W1401" s="9"/>
      <c r="AA1401" s="9"/>
      <c r="AB1401" s="9"/>
      <c r="AC1401" s="9"/>
      <c r="AE1401" s="9"/>
    </row>
    <row r="1402" spans="1:31">
      <c r="A1402" s="9"/>
      <c r="B1402" s="9"/>
      <c r="C1402" s="9"/>
      <c r="D1402" s="9"/>
      <c r="E1402" s="9"/>
      <c r="G1402" s="9"/>
      <c r="I1402" s="9"/>
      <c r="M1402" s="9"/>
      <c r="N1402" s="9"/>
      <c r="O1402" s="9"/>
      <c r="Q1402" s="9"/>
      <c r="S1402" s="9"/>
      <c r="U1402" s="9"/>
      <c r="W1402" s="9"/>
      <c r="AA1402" s="9"/>
      <c r="AB1402" s="9"/>
      <c r="AC1402" s="9"/>
      <c r="AE1402" s="9"/>
    </row>
    <row r="1403" spans="1:31">
      <c r="A1403" s="9"/>
      <c r="B1403" s="9"/>
      <c r="C1403" s="9"/>
      <c r="D1403" s="9"/>
      <c r="E1403" s="9"/>
      <c r="G1403" s="9"/>
      <c r="I1403" s="9"/>
      <c r="M1403" s="9"/>
      <c r="N1403" s="9"/>
      <c r="O1403" s="9"/>
      <c r="Q1403" s="9"/>
      <c r="S1403" s="9"/>
      <c r="U1403" s="9"/>
      <c r="W1403" s="9"/>
      <c r="AA1403" s="9"/>
      <c r="AB1403" s="9"/>
      <c r="AC1403" s="9"/>
      <c r="AE1403" s="9"/>
    </row>
    <row r="1404" spans="1:31">
      <c r="A1404" s="9"/>
      <c r="B1404" s="9"/>
      <c r="C1404" s="9"/>
      <c r="D1404" s="9"/>
      <c r="E1404" s="9"/>
      <c r="G1404" s="9"/>
      <c r="I1404" s="9"/>
      <c r="M1404" s="9"/>
      <c r="N1404" s="9"/>
      <c r="O1404" s="9"/>
      <c r="Q1404" s="9"/>
      <c r="S1404" s="9"/>
      <c r="U1404" s="9"/>
      <c r="W1404" s="9"/>
      <c r="AA1404" s="9"/>
      <c r="AB1404" s="9"/>
      <c r="AC1404" s="9"/>
      <c r="AE1404" s="9"/>
    </row>
    <row r="1405" spans="1:31">
      <c r="A1405" s="9"/>
      <c r="B1405" s="9"/>
      <c r="C1405" s="9"/>
      <c r="D1405" s="9"/>
      <c r="E1405" s="9"/>
      <c r="G1405" s="9"/>
      <c r="I1405" s="9"/>
      <c r="M1405" s="9"/>
      <c r="N1405" s="9"/>
      <c r="O1405" s="9"/>
      <c r="Q1405" s="9"/>
      <c r="S1405" s="9"/>
      <c r="U1405" s="9"/>
      <c r="W1405" s="9"/>
      <c r="AA1405" s="9"/>
      <c r="AB1405" s="9"/>
      <c r="AC1405" s="9"/>
      <c r="AE1405" s="9"/>
    </row>
    <row r="1406" spans="1:31">
      <c r="A1406" s="9"/>
      <c r="B1406" s="9"/>
      <c r="C1406" s="9"/>
      <c r="D1406" s="9"/>
      <c r="E1406" s="9"/>
      <c r="G1406" s="9"/>
      <c r="I1406" s="9"/>
      <c r="M1406" s="9"/>
      <c r="N1406" s="9"/>
      <c r="O1406" s="9"/>
      <c r="Q1406" s="9"/>
      <c r="S1406" s="9"/>
      <c r="U1406" s="9"/>
      <c r="W1406" s="9"/>
      <c r="AA1406" s="9"/>
      <c r="AB1406" s="9"/>
      <c r="AC1406" s="9"/>
      <c r="AE1406" s="9"/>
    </row>
    <row r="1407" spans="1:31">
      <c r="A1407" s="9"/>
      <c r="B1407" s="9"/>
      <c r="C1407" s="9"/>
      <c r="D1407" s="9"/>
      <c r="E1407" s="9"/>
      <c r="G1407" s="9"/>
      <c r="I1407" s="9"/>
      <c r="M1407" s="9"/>
      <c r="N1407" s="9"/>
      <c r="O1407" s="9"/>
      <c r="Q1407" s="9"/>
      <c r="S1407" s="9"/>
      <c r="U1407" s="9"/>
      <c r="W1407" s="9"/>
      <c r="AA1407" s="9"/>
      <c r="AB1407" s="9"/>
      <c r="AC1407" s="9"/>
      <c r="AE1407" s="9"/>
    </row>
    <row r="1408" spans="1:31">
      <c r="A1408" s="9"/>
      <c r="B1408" s="9"/>
      <c r="C1408" s="9"/>
      <c r="D1408" s="9"/>
      <c r="E1408" s="9"/>
      <c r="G1408" s="9"/>
      <c r="I1408" s="9"/>
      <c r="M1408" s="9"/>
      <c r="N1408" s="9"/>
      <c r="O1408" s="9"/>
      <c r="Q1408" s="9"/>
      <c r="S1408" s="9"/>
      <c r="U1408" s="9"/>
      <c r="W1408" s="9"/>
      <c r="AA1408" s="9"/>
      <c r="AB1408" s="9"/>
      <c r="AC1408" s="9"/>
      <c r="AE1408" s="9"/>
    </row>
    <row r="1409" spans="1:31">
      <c r="A1409" s="9"/>
      <c r="B1409" s="9"/>
      <c r="C1409" s="9"/>
      <c r="D1409" s="9"/>
      <c r="E1409" s="9"/>
      <c r="G1409" s="9"/>
      <c r="I1409" s="9"/>
      <c r="M1409" s="9"/>
      <c r="N1409" s="9"/>
      <c r="O1409" s="9"/>
      <c r="Q1409" s="9"/>
      <c r="S1409" s="9"/>
      <c r="U1409" s="9"/>
      <c r="W1409" s="9"/>
      <c r="AA1409" s="9"/>
      <c r="AB1409" s="9"/>
      <c r="AC1409" s="9"/>
      <c r="AE1409" s="9"/>
    </row>
    <row r="1410" spans="1:31">
      <c r="A1410" s="9"/>
      <c r="B1410" s="9"/>
      <c r="C1410" s="9"/>
      <c r="D1410" s="9"/>
      <c r="E1410" s="9"/>
      <c r="G1410" s="9"/>
      <c r="I1410" s="9"/>
      <c r="M1410" s="9"/>
      <c r="N1410" s="9"/>
      <c r="O1410" s="9"/>
      <c r="Q1410" s="9"/>
      <c r="S1410" s="9"/>
      <c r="U1410" s="9"/>
      <c r="W1410" s="9"/>
      <c r="AA1410" s="9"/>
      <c r="AB1410" s="9"/>
      <c r="AC1410" s="9"/>
      <c r="AE1410" s="9"/>
    </row>
    <row r="1411" spans="1:31">
      <c r="A1411" s="9"/>
      <c r="B1411" s="9"/>
      <c r="C1411" s="9"/>
      <c r="D1411" s="9"/>
      <c r="E1411" s="9"/>
      <c r="G1411" s="9"/>
      <c r="I1411" s="9"/>
      <c r="M1411" s="9"/>
      <c r="N1411" s="9"/>
      <c r="O1411" s="9"/>
      <c r="Q1411" s="9"/>
      <c r="S1411" s="9"/>
      <c r="U1411" s="9"/>
      <c r="W1411" s="9"/>
      <c r="AA1411" s="9"/>
      <c r="AB1411" s="9"/>
      <c r="AC1411" s="9"/>
      <c r="AE1411" s="9"/>
    </row>
    <row r="1412" spans="1:31">
      <c r="A1412" s="9"/>
      <c r="B1412" s="9"/>
      <c r="C1412" s="9"/>
      <c r="D1412" s="9"/>
      <c r="E1412" s="9"/>
      <c r="G1412" s="9"/>
      <c r="I1412" s="9"/>
      <c r="M1412" s="9"/>
      <c r="N1412" s="9"/>
      <c r="O1412" s="9"/>
      <c r="Q1412" s="9"/>
      <c r="S1412" s="9"/>
      <c r="U1412" s="9"/>
      <c r="W1412" s="9"/>
      <c r="AA1412" s="9"/>
      <c r="AB1412" s="9"/>
      <c r="AC1412" s="9"/>
      <c r="AE1412" s="9"/>
    </row>
    <row r="1413" spans="1:31">
      <c r="A1413" s="9"/>
      <c r="B1413" s="9"/>
      <c r="C1413" s="9"/>
      <c r="D1413" s="9"/>
      <c r="E1413" s="9"/>
      <c r="G1413" s="9"/>
      <c r="I1413" s="9"/>
      <c r="M1413" s="9"/>
      <c r="N1413" s="9"/>
      <c r="O1413" s="9"/>
      <c r="Q1413" s="9"/>
      <c r="S1413" s="9"/>
      <c r="U1413" s="9"/>
      <c r="W1413" s="9"/>
      <c r="AA1413" s="9"/>
      <c r="AB1413" s="9"/>
      <c r="AC1413" s="9"/>
      <c r="AE1413" s="9"/>
    </row>
    <row r="1414" spans="1:31">
      <c r="A1414" s="9"/>
      <c r="B1414" s="9"/>
      <c r="C1414" s="9"/>
      <c r="D1414" s="9"/>
      <c r="E1414" s="9"/>
      <c r="G1414" s="9"/>
      <c r="I1414" s="9"/>
      <c r="M1414" s="9"/>
      <c r="N1414" s="9"/>
      <c r="O1414" s="9"/>
      <c r="Q1414" s="9"/>
      <c r="S1414" s="9"/>
      <c r="U1414" s="9"/>
      <c r="W1414" s="9"/>
      <c r="AA1414" s="9"/>
      <c r="AB1414" s="9"/>
      <c r="AC1414" s="9"/>
      <c r="AE1414" s="9"/>
    </row>
    <row r="1415" spans="1:31">
      <c r="A1415" s="9"/>
      <c r="B1415" s="9"/>
      <c r="C1415" s="9"/>
      <c r="D1415" s="9"/>
      <c r="E1415" s="9"/>
      <c r="G1415" s="9"/>
      <c r="I1415" s="9"/>
      <c r="M1415" s="9"/>
      <c r="N1415" s="9"/>
      <c r="O1415" s="9"/>
      <c r="Q1415" s="9"/>
      <c r="S1415" s="9"/>
      <c r="U1415" s="9"/>
      <c r="W1415" s="9"/>
      <c r="AA1415" s="9"/>
      <c r="AB1415" s="9"/>
      <c r="AC1415" s="9"/>
      <c r="AE1415" s="9"/>
    </row>
    <row r="1416" spans="1:31">
      <c r="A1416" s="9"/>
      <c r="B1416" s="9"/>
      <c r="C1416" s="9"/>
      <c r="D1416" s="9"/>
      <c r="E1416" s="9"/>
      <c r="G1416" s="9"/>
      <c r="I1416" s="9"/>
      <c r="M1416" s="9"/>
      <c r="N1416" s="9"/>
      <c r="O1416" s="9"/>
      <c r="Q1416" s="9"/>
      <c r="S1416" s="9"/>
      <c r="U1416" s="9"/>
      <c r="W1416" s="9"/>
      <c r="AA1416" s="9"/>
      <c r="AB1416" s="9"/>
      <c r="AC1416" s="9"/>
      <c r="AE1416" s="9"/>
    </row>
    <row r="1417" spans="1:31">
      <c r="A1417" s="9"/>
      <c r="B1417" s="9"/>
      <c r="C1417" s="9"/>
      <c r="D1417" s="9"/>
      <c r="E1417" s="9"/>
      <c r="G1417" s="9"/>
      <c r="I1417" s="9"/>
      <c r="M1417" s="9"/>
      <c r="N1417" s="9"/>
      <c r="O1417" s="9"/>
      <c r="Q1417" s="9"/>
      <c r="S1417" s="9"/>
      <c r="U1417" s="9"/>
      <c r="W1417" s="9"/>
      <c r="AA1417" s="9"/>
      <c r="AB1417" s="9"/>
      <c r="AC1417" s="9"/>
      <c r="AE1417" s="9"/>
    </row>
    <row r="1418" spans="1:31">
      <c r="A1418" s="9"/>
      <c r="B1418" s="9"/>
      <c r="C1418" s="9"/>
      <c r="D1418" s="9"/>
      <c r="E1418" s="9"/>
      <c r="G1418" s="9"/>
      <c r="I1418" s="9"/>
      <c r="M1418" s="9"/>
      <c r="N1418" s="9"/>
      <c r="O1418" s="9"/>
      <c r="Q1418" s="9"/>
      <c r="S1418" s="9"/>
      <c r="U1418" s="9"/>
      <c r="W1418" s="9"/>
      <c r="AA1418" s="9"/>
      <c r="AB1418" s="9"/>
      <c r="AC1418" s="9"/>
      <c r="AE1418" s="9"/>
    </row>
    <row r="1419" spans="1:31">
      <c r="A1419" s="9"/>
      <c r="B1419" s="9"/>
      <c r="C1419" s="9"/>
      <c r="D1419" s="9"/>
      <c r="E1419" s="9"/>
      <c r="G1419" s="9"/>
      <c r="I1419" s="9"/>
      <c r="M1419" s="9"/>
      <c r="N1419" s="9"/>
      <c r="O1419" s="9"/>
      <c r="Q1419" s="9"/>
      <c r="S1419" s="9"/>
      <c r="U1419" s="9"/>
      <c r="W1419" s="9"/>
      <c r="AA1419" s="9"/>
      <c r="AB1419" s="9"/>
      <c r="AC1419" s="9"/>
      <c r="AE1419" s="9"/>
    </row>
    <row r="1420" spans="1:31">
      <c r="A1420" s="9"/>
      <c r="B1420" s="9"/>
      <c r="C1420" s="9"/>
      <c r="D1420" s="9"/>
      <c r="E1420" s="9"/>
      <c r="G1420" s="9"/>
      <c r="I1420" s="9"/>
      <c r="M1420" s="9"/>
      <c r="N1420" s="9"/>
      <c r="O1420" s="9"/>
      <c r="Q1420" s="9"/>
      <c r="S1420" s="9"/>
      <c r="U1420" s="9"/>
      <c r="W1420" s="9"/>
      <c r="AA1420" s="9"/>
      <c r="AB1420" s="9"/>
      <c r="AC1420" s="9"/>
      <c r="AE1420" s="9"/>
    </row>
    <row r="1421" spans="1:31">
      <c r="A1421" s="9"/>
      <c r="B1421" s="9"/>
      <c r="C1421" s="9"/>
      <c r="D1421" s="9"/>
      <c r="E1421" s="9"/>
      <c r="G1421" s="9"/>
      <c r="I1421" s="9"/>
      <c r="M1421" s="9"/>
      <c r="N1421" s="9"/>
      <c r="O1421" s="9"/>
      <c r="Q1421" s="9"/>
      <c r="S1421" s="9"/>
      <c r="U1421" s="9"/>
      <c r="W1421" s="9"/>
      <c r="AA1421" s="9"/>
      <c r="AB1421" s="9"/>
      <c r="AC1421" s="9"/>
      <c r="AE1421" s="9"/>
    </row>
    <row r="1422" spans="1:31">
      <c r="A1422" s="9"/>
      <c r="B1422" s="9"/>
      <c r="C1422" s="9"/>
      <c r="D1422" s="9"/>
      <c r="E1422" s="9"/>
      <c r="G1422" s="9"/>
      <c r="I1422" s="9"/>
      <c r="M1422" s="9"/>
      <c r="N1422" s="9"/>
      <c r="O1422" s="9"/>
      <c r="Q1422" s="9"/>
      <c r="S1422" s="9"/>
      <c r="U1422" s="9"/>
      <c r="W1422" s="9"/>
      <c r="AA1422" s="9"/>
      <c r="AB1422" s="9"/>
      <c r="AC1422" s="9"/>
      <c r="AE1422" s="9"/>
    </row>
    <row r="1423" spans="1:31">
      <c r="A1423" s="9"/>
      <c r="B1423" s="9"/>
      <c r="C1423" s="9"/>
      <c r="D1423" s="9"/>
      <c r="E1423" s="9"/>
      <c r="G1423" s="9"/>
      <c r="I1423" s="9"/>
      <c r="M1423" s="9"/>
      <c r="N1423" s="9"/>
      <c r="O1423" s="9"/>
      <c r="Q1423" s="9"/>
      <c r="S1423" s="9"/>
      <c r="U1423" s="9"/>
      <c r="W1423" s="9"/>
      <c r="AA1423" s="9"/>
      <c r="AB1423" s="9"/>
      <c r="AC1423" s="9"/>
      <c r="AE1423" s="9"/>
    </row>
    <row r="1424" spans="1:31">
      <c r="A1424" s="9"/>
      <c r="B1424" s="9"/>
      <c r="C1424" s="9"/>
      <c r="D1424" s="9"/>
      <c r="E1424" s="9"/>
      <c r="G1424" s="9"/>
      <c r="I1424" s="9"/>
      <c r="M1424" s="9"/>
      <c r="N1424" s="9"/>
      <c r="O1424" s="9"/>
      <c r="Q1424" s="9"/>
      <c r="S1424" s="9"/>
      <c r="U1424" s="9"/>
      <c r="W1424" s="9"/>
      <c r="AA1424" s="9"/>
      <c r="AB1424" s="9"/>
      <c r="AC1424" s="9"/>
      <c r="AE1424" s="9"/>
    </row>
    <row r="1425" spans="1:31">
      <c r="A1425" s="9"/>
      <c r="B1425" s="9"/>
      <c r="C1425" s="9"/>
      <c r="D1425" s="9"/>
      <c r="E1425" s="9"/>
      <c r="G1425" s="9"/>
      <c r="I1425" s="9"/>
      <c r="M1425" s="9"/>
      <c r="N1425" s="9"/>
      <c r="O1425" s="9"/>
      <c r="Q1425" s="9"/>
      <c r="S1425" s="9"/>
      <c r="U1425" s="9"/>
      <c r="W1425" s="9"/>
      <c r="AA1425" s="9"/>
      <c r="AB1425" s="9"/>
      <c r="AC1425" s="9"/>
      <c r="AE1425" s="9"/>
    </row>
    <row r="1426" spans="1:31">
      <c r="A1426" s="9"/>
      <c r="B1426" s="9"/>
      <c r="C1426" s="9"/>
      <c r="D1426" s="9"/>
      <c r="E1426" s="9"/>
      <c r="G1426" s="9"/>
      <c r="I1426" s="9"/>
      <c r="M1426" s="9"/>
      <c r="N1426" s="9"/>
      <c r="O1426" s="9"/>
      <c r="Q1426" s="9"/>
      <c r="S1426" s="9"/>
      <c r="U1426" s="9"/>
      <c r="W1426" s="9"/>
      <c r="AA1426" s="9"/>
      <c r="AB1426" s="9"/>
      <c r="AC1426" s="9"/>
      <c r="AE1426" s="9"/>
    </row>
    <row r="1427" spans="1:31">
      <c r="A1427" s="9"/>
      <c r="B1427" s="9"/>
      <c r="C1427" s="9"/>
      <c r="D1427" s="9"/>
      <c r="E1427" s="9"/>
      <c r="G1427" s="9"/>
      <c r="I1427" s="9"/>
      <c r="M1427" s="9"/>
      <c r="N1427" s="9"/>
      <c r="O1427" s="9"/>
      <c r="Q1427" s="9"/>
      <c r="S1427" s="9"/>
      <c r="U1427" s="9"/>
      <c r="W1427" s="9"/>
      <c r="AA1427" s="9"/>
      <c r="AB1427" s="9"/>
      <c r="AC1427" s="9"/>
      <c r="AE1427" s="9"/>
    </row>
    <row r="1428" spans="1:31">
      <c r="A1428" s="9"/>
      <c r="B1428" s="9"/>
      <c r="C1428" s="9"/>
      <c r="D1428" s="9"/>
      <c r="E1428" s="9"/>
      <c r="G1428" s="9"/>
      <c r="I1428" s="9"/>
      <c r="M1428" s="9"/>
      <c r="N1428" s="9"/>
      <c r="O1428" s="9"/>
      <c r="Q1428" s="9"/>
      <c r="S1428" s="9"/>
      <c r="U1428" s="9"/>
      <c r="W1428" s="9"/>
      <c r="AA1428" s="9"/>
      <c r="AB1428" s="9"/>
      <c r="AC1428" s="9"/>
      <c r="AE1428" s="9"/>
    </row>
    <row r="1429" spans="1:31">
      <c r="A1429" s="9"/>
      <c r="B1429" s="9"/>
      <c r="C1429" s="9"/>
      <c r="D1429" s="9"/>
      <c r="E1429" s="9"/>
      <c r="G1429" s="9"/>
      <c r="I1429" s="9"/>
      <c r="M1429" s="9"/>
      <c r="N1429" s="9"/>
      <c r="O1429" s="9"/>
      <c r="Q1429" s="9"/>
      <c r="S1429" s="9"/>
      <c r="U1429" s="9"/>
      <c r="W1429" s="9"/>
      <c r="AA1429" s="9"/>
      <c r="AB1429" s="9"/>
      <c r="AC1429" s="9"/>
      <c r="AE1429" s="9"/>
    </row>
    <row r="1430" spans="1:31">
      <c r="A1430" s="9"/>
      <c r="B1430" s="9"/>
      <c r="C1430" s="9"/>
      <c r="D1430" s="9"/>
      <c r="E1430" s="9"/>
      <c r="G1430" s="9"/>
      <c r="I1430" s="9"/>
      <c r="M1430" s="9"/>
      <c r="N1430" s="9"/>
      <c r="O1430" s="9"/>
      <c r="Q1430" s="9"/>
      <c r="S1430" s="9"/>
      <c r="U1430" s="9"/>
      <c r="W1430" s="9"/>
      <c r="AA1430" s="9"/>
      <c r="AB1430" s="9"/>
      <c r="AC1430" s="9"/>
      <c r="AE1430" s="9"/>
    </row>
    <row r="1431" spans="1:31">
      <c r="A1431" s="9"/>
      <c r="B1431" s="9"/>
      <c r="C1431" s="9"/>
      <c r="D1431" s="9"/>
      <c r="E1431" s="9"/>
      <c r="G1431" s="9"/>
      <c r="I1431" s="9"/>
      <c r="M1431" s="9"/>
      <c r="N1431" s="9"/>
      <c r="O1431" s="9"/>
      <c r="Q1431" s="9"/>
      <c r="S1431" s="9"/>
      <c r="U1431" s="9"/>
      <c r="W1431" s="9"/>
      <c r="AA1431" s="9"/>
      <c r="AB1431" s="9"/>
      <c r="AC1431" s="9"/>
      <c r="AE1431" s="9"/>
    </row>
    <row r="1432" spans="1:31">
      <c r="A1432" s="9"/>
      <c r="B1432" s="9"/>
      <c r="C1432" s="9"/>
      <c r="D1432" s="9"/>
      <c r="E1432" s="9"/>
      <c r="G1432" s="9"/>
      <c r="I1432" s="9"/>
      <c r="M1432" s="9"/>
      <c r="N1432" s="9"/>
      <c r="O1432" s="9"/>
      <c r="Q1432" s="9"/>
      <c r="S1432" s="9"/>
      <c r="U1432" s="9"/>
      <c r="W1432" s="9"/>
      <c r="AA1432" s="9"/>
      <c r="AB1432" s="9"/>
      <c r="AC1432" s="9"/>
      <c r="AE1432" s="9"/>
    </row>
    <row r="1433" spans="1:31">
      <c r="A1433" s="9"/>
      <c r="B1433" s="9"/>
      <c r="C1433" s="9"/>
      <c r="D1433" s="9"/>
      <c r="E1433" s="9"/>
      <c r="G1433" s="9"/>
      <c r="I1433" s="9"/>
      <c r="M1433" s="9"/>
      <c r="N1433" s="9"/>
      <c r="O1433" s="9"/>
      <c r="Q1433" s="9"/>
      <c r="S1433" s="9"/>
      <c r="U1433" s="9"/>
      <c r="W1433" s="9"/>
      <c r="AA1433" s="9"/>
      <c r="AB1433" s="9"/>
      <c r="AC1433" s="9"/>
      <c r="AE1433" s="9"/>
    </row>
    <row r="1434" spans="1:31">
      <c r="A1434" s="9"/>
      <c r="B1434" s="9"/>
      <c r="C1434" s="9"/>
      <c r="D1434" s="9"/>
      <c r="E1434" s="9"/>
      <c r="G1434" s="9"/>
      <c r="I1434" s="9"/>
      <c r="M1434" s="9"/>
      <c r="N1434" s="9"/>
      <c r="O1434" s="9"/>
      <c r="Q1434" s="9"/>
      <c r="S1434" s="9"/>
      <c r="U1434" s="9"/>
      <c r="W1434" s="9"/>
      <c r="AA1434" s="9"/>
      <c r="AB1434" s="9"/>
      <c r="AC1434" s="9"/>
      <c r="AE1434" s="9"/>
    </row>
    <row r="1435" spans="1:31">
      <c r="A1435" s="9"/>
      <c r="B1435" s="9"/>
      <c r="C1435" s="9"/>
      <c r="D1435" s="9"/>
      <c r="E1435" s="9"/>
      <c r="G1435" s="9"/>
      <c r="I1435" s="9"/>
      <c r="M1435" s="9"/>
      <c r="N1435" s="9"/>
      <c r="O1435" s="9"/>
      <c r="Q1435" s="9"/>
      <c r="S1435" s="9"/>
      <c r="U1435" s="9"/>
      <c r="W1435" s="9"/>
      <c r="AA1435" s="9"/>
      <c r="AB1435" s="9"/>
      <c r="AC1435" s="9"/>
      <c r="AE1435" s="9"/>
    </row>
    <row r="1436" spans="1:31">
      <c r="A1436" s="9"/>
      <c r="B1436" s="9"/>
      <c r="C1436" s="9"/>
      <c r="D1436" s="9"/>
      <c r="E1436" s="9"/>
      <c r="G1436" s="9"/>
      <c r="I1436" s="9"/>
      <c r="M1436" s="9"/>
      <c r="N1436" s="9"/>
      <c r="O1436" s="9"/>
      <c r="Q1436" s="9"/>
      <c r="S1436" s="9"/>
      <c r="U1436" s="9"/>
      <c r="W1436" s="9"/>
      <c r="AA1436" s="9"/>
      <c r="AB1436" s="9"/>
      <c r="AC1436" s="9"/>
      <c r="AE1436" s="9"/>
    </row>
    <row r="1437" spans="1:31">
      <c r="A1437" s="9"/>
      <c r="B1437" s="9"/>
      <c r="C1437" s="9"/>
      <c r="D1437" s="9"/>
      <c r="E1437" s="9"/>
      <c r="G1437" s="9"/>
      <c r="I1437" s="9"/>
      <c r="M1437" s="9"/>
      <c r="N1437" s="9"/>
      <c r="O1437" s="9"/>
      <c r="Q1437" s="9"/>
      <c r="S1437" s="9"/>
      <c r="U1437" s="9"/>
      <c r="W1437" s="9"/>
      <c r="AA1437" s="9"/>
      <c r="AB1437" s="9"/>
      <c r="AC1437" s="9"/>
      <c r="AE1437" s="9"/>
    </row>
    <row r="1438" spans="1:31">
      <c r="A1438" s="9"/>
      <c r="B1438" s="9"/>
      <c r="C1438" s="9"/>
      <c r="D1438" s="9"/>
      <c r="E1438" s="9"/>
      <c r="G1438" s="9"/>
      <c r="I1438" s="9"/>
      <c r="M1438" s="9"/>
      <c r="N1438" s="9"/>
      <c r="O1438" s="9"/>
      <c r="Q1438" s="9"/>
      <c r="S1438" s="9"/>
      <c r="U1438" s="9"/>
      <c r="W1438" s="9"/>
      <c r="AA1438" s="9"/>
      <c r="AB1438" s="9"/>
      <c r="AC1438" s="9"/>
      <c r="AE1438" s="9"/>
    </row>
    <row r="1439" spans="1:31">
      <c r="A1439" s="9"/>
      <c r="B1439" s="9"/>
      <c r="C1439" s="9"/>
      <c r="D1439" s="9"/>
      <c r="E1439" s="9"/>
      <c r="G1439" s="9"/>
      <c r="I1439" s="9"/>
      <c r="M1439" s="9"/>
      <c r="N1439" s="9"/>
      <c r="O1439" s="9"/>
      <c r="Q1439" s="9"/>
      <c r="S1439" s="9"/>
      <c r="U1439" s="9"/>
      <c r="W1439" s="9"/>
      <c r="AA1439" s="9"/>
      <c r="AB1439" s="9"/>
      <c r="AC1439" s="9"/>
      <c r="AE1439" s="9"/>
    </row>
    <row r="1440" spans="1:31">
      <c r="A1440" s="9"/>
      <c r="B1440" s="9"/>
      <c r="C1440" s="9"/>
      <c r="D1440" s="9"/>
      <c r="E1440" s="9"/>
      <c r="G1440" s="9"/>
      <c r="I1440" s="9"/>
      <c r="M1440" s="9"/>
      <c r="N1440" s="9"/>
      <c r="O1440" s="9"/>
      <c r="Q1440" s="9"/>
      <c r="S1440" s="9"/>
      <c r="U1440" s="9"/>
      <c r="W1440" s="9"/>
      <c r="AA1440" s="9"/>
      <c r="AB1440" s="9"/>
      <c r="AC1440" s="9"/>
      <c r="AE1440" s="9"/>
    </row>
    <row r="1441" spans="1:31">
      <c r="A1441" s="9"/>
      <c r="B1441" s="9"/>
      <c r="C1441" s="9"/>
      <c r="D1441" s="9"/>
      <c r="E1441" s="9"/>
      <c r="G1441" s="9"/>
      <c r="I1441" s="9"/>
      <c r="M1441" s="9"/>
      <c r="N1441" s="9"/>
      <c r="O1441" s="9"/>
      <c r="Q1441" s="9"/>
      <c r="S1441" s="9"/>
      <c r="U1441" s="9"/>
      <c r="W1441" s="9"/>
      <c r="AA1441" s="9"/>
      <c r="AB1441" s="9"/>
      <c r="AC1441" s="9"/>
      <c r="AE1441" s="9"/>
    </row>
    <row r="1442" spans="1:31">
      <c r="A1442" s="9"/>
      <c r="B1442" s="9"/>
      <c r="C1442" s="9"/>
      <c r="D1442" s="9"/>
      <c r="E1442" s="9"/>
      <c r="G1442" s="9"/>
      <c r="I1442" s="9"/>
      <c r="M1442" s="9"/>
      <c r="N1442" s="9"/>
      <c r="O1442" s="9"/>
      <c r="Q1442" s="9"/>
      <c r="S1442" s="9"/>
      <c r="U1442" s="9"/>
      <c r="W1442" s="9"/>
      <c r="AA1442" s="9"/>
      <c r="AB1442" s="9"/>
      <c r="AC1442" s="9"/>
      <c r="AE1442" s="9"/>
    </row>
    <row r="1443" spans="1:31">
      <c r="A1443" s="9"/>
      <c r="B1443" s="9"/>
      <c r="C1443" s="9"/>
      <c r="D1443" s="9"/>
      <c r="E1443" s="9"/>
      <c r="G1443" s="9"/>
      <c r="I1443" s="9"/>
      <c r="M1443" s="9"/>
      <c r="N1443" s="9"/>
      <c r="O1443" s="9"/>
      <c r="Q1443" s="9"/>
      <c r="S1443" s="9"/>
      <c r="U1443" s="9"/>
      <c r="W1443" s="9"/>
      <c r="AA1443" s="9"/>
      <c r="AB1443" s="9"/>
      <c r="AC1443" s="9"/>
      <c r="AE1443" s="9"/>
    </row>
    <row r="1444" spans="1:31">
      <c r="A1444" s="9"/>
      <c r="B1444" s="9"/>
      <c r="C1444" s="9"/>
      <c r="D1444" s="9"/>
      <c r="E1444" s="9"/>
      <c r="G1444" s="9"/>
      <c r="I1444" s="9"/>
      <c r="M1444" s="9"/>
      <c r="N1444" s="9"/>
      <c r="O1444" s="9"/>
      <c r="Q1444" s="9"/>
      <c r="S1444" s="9"/>
      <c r="U1444" s="9"/>
      <c r="W1444" s="9"/>
      <c r="AA1444" s="9"/>
      <c r="AB1444" s="9"/>
      <c r="AC1444" s="9"/>
      <c r="AE1444" s="9"/>
    </row>
    <row r="1445" spans="1:31">
      <c r="A1445" s="9"/>
      <c r="B1445" s="9"/>
      <c r="C1445" s="9"/>
      <c r="D1445" s="9"/>
      <c r="E1445" s="9"/>
      <c r="G1445" s="9"/>
      <c r="I1445" s="9"/>
      <c r="M1445" s="9"/>
      <c r="N1445" s="9"/>
      <c r="O1445" s="9"/>
      <c r="Q1445" s="9"/>
      <c r="S1445" s="9"/>
      <c r="U1445" s="9"/>
      <c r="W1445" s="9"/>
      <c r="AA1445" s="9"/>
      <c r="AB1445" s="9"/>
      <c r="AC1445" s="9"/>
      <c r="AE1445" s="9"/>
    </row>
    <row r="1446" spans="1:31">
      <c r="A1446" s="9"/>
      <c r="B1446" s="9"/>
      <c r="C1446" s="9"/>
      <c r="D1446" s="9"/>
      <c r="E1446" s="9"/>
      <c r="G1446" s="9"/>
      <c r="I1446" s="9"/>
      <c r="M1446" s="9"/>
      <c r="N1446" s="9"/>
      <c r="O1446" s="9"/>
      <c r="Q1446" s="9"/>
      <c r="S1446" s="9"/>
      <c r="U1446" s="9"/>
      <c r="W1446" s="9"/>
      <c r="AA1446" s="9"/>
      <c r="AB1446" s="9"/>
      <c r="AC1446" s="9"/>
      <c r="AE1446" s="9"/>
    </row>
    <row r="1447" spans="1:31">
      <c r="A1447" s="9"/>
      <c r="B1447" s="9"/>
      <c r="C1447" s="9"/>
      <c r="D1447" s="9"/>
      <c r="E1447" s="9"/>
      <c r="G1447" s="9"/>
      <c r="I1447" s="9"/>
      <c r="M1447" s="9"/>
      <c r="N1447" s="9"/>
      <c r="O1447" s="9"/>
      <c r="Q1447" s="9"/>
      <c r="S1447" s="9"/>
      <c r="U1447" s="9"/>
      <c r="W1447" s="9"/>
      <c r="AA1447" s="9"/>
      <c r="AB1447" s="9"/>
      <c r="AC1447" s="9"/>
      <c r="AE1447" s="9"/>
    </row>
    <row r="1448" spans="1:31">
      <c r="A1448" s="9"/>
      <c r="B1448" s="9"/>
      <c r="C1448" s="9"/>
      <c r="D1448" s="9"/>
      <c r="E1448" s="9"/>
      <c r="G1448" s="9"/>
      <c r="I1448" s="9"/>
      <c r="M1448" s="9"/>
      <c r="N1448" s="9"/>
      <c r="O1448" s="9"/>
      <c r="Q1448" s="9"/>
      <c r="S1448" s="9"/>
      <c r="U1448" s="9"/>
      <c r="W1448" s="9"/>
      <c r="AA1448" s="9"/>
      <c r="AB1448" s="9"/>
      <c r="AC1448" s="9"/>
      <c r="AE1448" s="9"/>
    </row>
    <row r="1449" spans="1:31">
      <c r="A1449" s="9"/>
      <c r="B1449" s="9"/>
      <c r="C1449" s="9"/>
      <c r="D1449" s="9"/>
      <c r="E1449" s="9"/>
      <c r="G1449" s="9"/>
      <c r="I1449" s="9"/>
      <c r="M1449" s="9"/>
      <c r="N1449" s="9"/>
      <c r="O1449" s="9"/>
      <c r="Q1449" s="9"/>
      <c r="S1449" s="9"/>
      <c r="U1449" s="9"/>
      <c r="W1449" s="9"/>
      <c r="AA1449" s="9"/>
      <c r="AB1449" s="9"/>
      <c r="AC1449" s="9"/>
      <c r="AE1449" s="9"/>
    </row>
    <row r="1450" spans="1:31">
      <c r="A1450" s="9"/>
      <c r="B1450" s="9"/>
      <c r="C1450" s="9"/>
      <c r="D1450" s="9"/>
      <c r="E1450" s="9"/>
      <c r="G1450" s="9"/>
      <c r="I1450" s="9"/>
      <c r="M1450" s="9"/>
      <c r="N1450" s="9"/>
      <c r="O1450" s="9"/>
      <c r="Q1450" s="9"/>
      <c r="S1450" s="9"/>
      <c r="U1450" s="9"/>
      <c r="W1450" s="9"/>
      <c r="AA1450" s="9"/>
      <c r="AB1450" s="9"/>
      <c r="AC1450" s="9"/>
      <c r="AE1450" s="9"/>
    </row>
    <row r="1451" spans="1:31">
      <c r="A1451" s="9"/>
      <c r="B1451" s="9"/>
      <c r="C1451" s="9"/>
      <c r="D1451" s="9"/>
      <c r="E1451" s="9"/>
      <c r="G1451" s="9"/>
      <c r="I1451" s="9"/>
      <c r="M1451" s="9"/>
      <c r="N1451" s="9"/>
      <c r="O1451" s="9"/>
      <c r="Q1451" s="9"/>
      <c r="S1451" s="9"/>
      <c r="U1451" s="9"/>
      <c r="W1451" s="9"/>
      <c r="AA1451" s="9"/>
      <c r="AB1451" s="9"/>
      <c r="AC1451" s="9"/>
      <c r="AE1451" s="9"/>
    </row>
    <row r="1452" spans="1:31">
      <c r="A1452" s="9"/>
      <c r="B1452" s="9"/>
      <c r="C1452" s="9"/>
      <c r="D1452" s="9"/>
      <c r="E1452" s="9"/>
      <c r="G1452" s="9"/>
      <c r="I1452" s="9"/>
      <c r="M1452" s="9"/>
      <c r="N1452" s="9"/>
      <c r="O1452" s="9"/>
      <c r="Q1452" s="9"/>
      <c r="S1452" s="9"/>
      <c r="U1452" s="9"/>
      <c r="W1452" s="9"/>
      <c r="AA1452" s="9"/>
      <c r="AB1452" s="9"/>
      <c r="AC1452" s="9"/>
      <c r="AE1452" s="9"/>
    </row>
    <row r="1453" spans="1:31">
      <c r="A1453" s="9"/>
      <c r="B1453" s="9"/>
      <c r="C1453" s="9"/>
      <c r="D1453" s="9"/>
      <c r="E1453" s="9"/>
      <c r="G1453" s="9"/>
      <c r="I1453" s="9"/>
      <c r="M1453" s="9"/>
      <c r="N1453" s="9"/>
      <c r="O1453" s="9"/>
      <c r="Q1453" s="9"/>
      <c r="S1453" s="9"/>
      <c r="U1453" s="9"/>
      <c r="W1453" s="9"/>
      <c r="AA1453" s="9"/>
      <c r="AB1453" s="9"/>
      <c r="AC1453" s="9"/>
      <c r="AE1453" s="9"/>
    </row>
    <row r="1454" spans="1:31">
      <c r="A1454" s="9"/>
      <c r="B1454" s="9"/>
      <c r="C1454" s="9"/>
      <c r="D1454" s="9"/>
      <c r="E1454" s="9"/>
      <c r="G1454" s="9"/>
      <c r="I1454" s="9"/>
      <c r="M1454" s="9"/>
      <c r="N1454" s="9"/>
      <c r="O1454" s="9"/>
      <c r="Q1454" s="9"/>
      <c r="S1454" s="9"/>
      <c r="U1454" s="9"/>
      <c r="W1454" s="9"/>
      <c r="AA1454" s="9"/>
      <c r="AB1454" s="9"/>
      <c r="AC1454" s="9"/>
      <c r="AE1454" s="9"/>
    </row>
    <row r="1455" spans="1:31">
      <c r="A1455" s="9"/>
      <c r="B1455" s="9"/>
      <c r="C1455" s="9"/>
      <c r="D1455" s="9"/>
      <c r="E1455" s="9"/>
      <c r="G1455" s="9"/>
      <c r="I1455" s="9"/>
      <c r="M1455" s="9"/>
      <c r="N1455" s="9"/>
      <c r="O1455" s="9"/>
      <c r="Q1455" s="9"/>
      <c r="S1455" s="9"/>
      <c r="U1455" s="9"/>
      <c r="W1455" s="9"/>
      <c r="AA1455" s="9"/>
      <c r="AB1455" s="9"/>
      <c r="AC1455" s="9"/>
      <c r="AE1455" s="9"/>
    </row>
    <row r="1456" spans="1:31">
      <c r="A1456" s="9"/>
      <c r="B1456" s="9"/>
      <c r="C1456" s="9"/>
      <c r="D1456" s="9"/>
      <c r="E1456" s="9"/>
      <c r="G1456" s="9"/>
      <c r="I1456" s="9"/>
      <c r="M1456" s="9"/>
      <c r="N1456" s="9"/>
      <c r="O1456" s="9"/>
      <c r="Q1456" s="9"/>
      <c r="S1456" s="9"/>
      <c r="U1456" s="9"/>
      <c r="W1456" s="9"/>
      <c r="AA1456" s="9"/>
      <c r="AB1456" s="9"/>
      <c r="AC1456" s="9"/>
      <c r="AE1456" s="9"/>
    </row>
    <row r="1457" spans="1:31">
      <c r="A1457" s="9"/>
      <c r="B1457" s="9"/>
      <c r="C1457" s="9"/>
      <c r="D1457" s="9"/>
      <c r="E1457" s="9"/>
      <c r="G1457" s="9"/>
      <c r="I1457" s="9"/>
      <c r="M1457" s="9"/>
      <c r="N1457" s="9"/>
      <c r="O1457" s="9"/>
      <c r="Q1457" s="9"/>
      <c r="S1457" s="9"/>
      <c r="U1457" s="9"/>
      <c r="W1457" s="9"/>
      <c r="AA1457" s="9"/>
      <c r="AB1457" s="9"/>
      <c r="AC1457" s="9"/>
      <c r="AE1457" s="9"/>
    </row>
    <row r="1458" spans="1:31">
      <c r="A1458" s="9"/>
      <c r="B1458" s="9"/>
      <c r="C1458" s="9"/>
      <c r="D1458" s="9"/>
      <c r="E1458" s="9"/>
      <c r="G1458" s="9"/>
      <c r="I1458" s="9"/>
      <c r="M1458" s="9"/>
      <c r="N1458" s="9"/>
      <c r="O1458" s="9"/>
      <c r="Q1458" s="9"/>
      <c r="S1458" s="9"/>
      <c r="U1458" s="9"/>
      <c r="W1458" s="9"/>
      <c r="AA1458" s="9"/>
      <c r="AB1458" s="9"/>
      <c r="AC1458" s="9"/>
      <c r="AE1458" s="9"/>
    </row>
    <row r="1459" spans="1:31">
      <c r="A1459" s="9"/>
      <c r="B1459" s="9"/>
      <c r="C1459" s="9"/>
      <c r="D1459" s="9"/>
      <c r="E1459" s="9"/>
      <c r="G1459" s="9"/>
      <c r="I1459" s="9"/>
      <c r="M1459" s="9"/>
      <c r="N1459" s="9"/>
      <c r="O1459" s="9"/>
      <c r="Q1459" s="9"/>
      <c r="S1459" s="9"/>
      <c r="U1459" s="9"/>
      <c r="W1459" s="9"/>
      <c r="AA1459" s="9"/>
      <c r="AB1459" s="9"/>
      <c r="AC1459" s="9"/>
      <c r="AE1459" s="9"/>
    </row>
    <row r="1460" spans="1:31">
      <c r="A1460" s="9"/>
      <c r="B1460" s="9"/>
      <c r="C1460" s="9"/>
      <c r="D1460" s="9"/>
      <c r="E1460" s="9"/>
      <c r="G1460" s="9"/>
      <c r="I1460" s="9"/>
      <c r="M1460" s="9"/>
      <c r="N1460" s="9"/>
      <c r="O1460" s="9"/>
      <c r="Q1460" s="9"/>
      <c r="S1460" s="9"/>
      <c r="U1460" s="9"/>
      <c r="W1460" s="9"/>
      <c r="AA1460" s="9"/>
      <c r="AB1460" s="9"/>
      <c r="AC1460" s="9"/>
      <c r="AE1460" s="9"/>
    </row>
    <row r="1461" spans="1:31">
      <c r="A1461" s="9"/>
      <c r="B1461" s="9"/>
      <c r="C1461" s="9"/>
      <c r="D1461" s="9"/>
      <c r="E1461" s="9"/>
      <c r="G1461" s="9"/>
      <c r="I1461" s="9"/>
      <c r="M1461" s="9"/>
      <c r="N1461" s="9"/>
      <c r="O1461" s="9"/>
      <c r="Q1461" s="9"/>
      <c r="S1461" s="9"/>
      <c r="U1461" s="9"/>
      <c r="W1461" s="9"/>
      <c r="AA1461" s="9"/>
      <c r="AB1461" s="9"/>
      <c r="AC1461" s="9"/>
      <c r="AE1461" s="9"/>
    </row>
    <row r="1462" spans="1:31">
      <c r="A1462" s="9"/>
      <c r="B1462" s="9"/>
      <c r="C1462" s="9"/>
      <c r="D1462" s="9"/>
      <c r="E1462" s="9"/>
      <c r="G1462" s="9"/>
      <c r="I1462" s="9"/>
      <c r="M1462" s="9"/>
      <c r="N1462" s="9"/>
      <c r="O1462" s="9"/>
      <c r="Q1462" s="9"/>
      <c r="S1462" s="9"/>
      <c r="U1462" s="9"/>
      <c r="W1462" s="9"/>
      <c r="AA1462" s="9"/>
      <c r="AB1462" s="9"/>
      <c r="AC1462" s="9"/>
      <c r="AE1462" s="9"/>
    </row>
    <row r="1463" spans="1:31">
      <c r="A1463" s="9"/>
      <c r="B1463" s="9"/>
      <c r="C1463" s="9"/>
      <c r="D1463" s="9"/>
      <c r="E1463" s="9"/>
      <c r="G1463" s="9"/>
      <c r="I1463" s="9"/>
      <c r="M1463" s="9"/>
      <c r="N1463" s="9"/>
      <c r="O1463" s="9"/>
      <c r="Q1463" s="9"/>
      <c r="S1463" s="9"/>
      <c r="U1463" s="9"/>
      <c r="W1463" s="9"/>
      <c r="AA1463" s="9"/>
      <c r="AB1463" s="9"/>
      <c r="AC1463" s="9"/>
      <c r="AE1463" s="9"/>
    </row>
    <row r="1464" spans="1:31">
      <c r="A1464" s="9"/>
      <c r="B1464" s="9"/>
      <c r="C1464" s="9"/>
      <c r="D1464" s="9"/>
      <c r="E1464" s="9"/>
      <c r="G1464" s="9"/>
      <c r="I1464" s="9"/>
      <c r="M1464" s="9"/>
      <c r="N1464" s="9"/>
      <c r="O1464" s="9"/>
      <c r="Q1464" s="9"/>
      <c r="S1464" s="9"/>
      <c r="U1464" s="9"/>
      <c r="W1464" s="9"/>
      <c r="AA1464" s="9"/>
      <c r="AB1464" s="9"/>
      <c r="AC1464" s="9"/>
      <c r="AE1464" s="9"/>
    </row>
    <row r="1465" spans="1:31">
      <c r="A1465" s="9"/>
      <c r="B1465" s="9"/>
      <c r="C1465" s="9"/>
      <c r="D1465" s="9"/>
      <c r="E1465" s="9"/>
      <c r="G1465" s="9"/>
      <c r="I1465" s="9"/>
      <c r="M1465" s="9"/>
      <c r="N1465" s="9"/>
      <c r="O1465" s="9"/>
      <c r="Q1465" s="9"/>
      <c r="S1465" s="9"/>
      <c r="U1465" s="9"/>
      <c r="W1465" s="9"/>
      <c r="AA1465" s="9"/>
      <c r="AB1465" s="9"/>
      <c r="AC1465" s="9"/>
      <c r="AE1465" s="9"/>
    </row>
    <row r="1466" spans="1:31">
      <c r="A1466" s="9"/>
      <c r="B1466" s="9"/>
      <c r="C1466" s="9"/>
      <c r="D1466" s="9"/>
      <c r="E1466" s="9"/>
      <c r="G1466" s="9"/>
      <c r="I1466" s="9"/>
      <c r="M1466" s="9"/>
      <c r="N1466" s="9"/>
      <c r="O1466" s="9"/>
      <c r="Q1466" s="9"/>
      <c r="S1466" s="9"/>
      <c r="U1466" s="9"/>
      <c r="W1466" s="9"/>
      <c r="AA1466" s="9"/>
      <c r="AB1466" s="9"/>
      <c r="AC1466" s="9"/>
      <c r="AE1466" s="9"/>
    </row>
    <row r="1467" spans="1:31">
      <c r="A1467" s="9"/>
      <c r="B1467" s="9"/>
      <c r="C1467" s="9"/>
      <c r="D1467" s="9"/>
      <c r="E1467" s="9"/>
      <c r="G1467" s="9"/>
      <c r="I1467" s="9"/>
      <c r="M1467" s="9"/>
      <c r="N1467" s="9"/>
      <c r="O1467" s="9"/>
      <c r="Q1467" s="9"/>
      <c r="S1467" s="9"/>
      <c r="U1467" s="9"/>
      <c r="W1467" s="9"/>
      <c r="AA1467" s="9"/>
      <c r="AB1467" s="9"/>
      <c r="AC1467" s="9"/>
      <c r="AE1467" s="9"/>
    </row>
    <row r="1468" spans="1:31">
      <c r="A1468" s="9"/>
      <c r="B1468" s="9"/>
      <c r="C1468" s="9"/>
      <c r="D1468" s="9"/>
      <c r="E1468" s="9"/>
      <c r="G1468" s="9"/>
      <c r="I1468" s="9"/>
      <c r="M1468" s="9"/>
      <c r="N1468" s="9"/>
      <c r="O1468" s="9"/>
      <c r="Q1468" s="9"/>
      <c r="S1468" s="9"/>
      <c r="U1468" s="9"/>
      <c r="W1468" s="9"/>
      <c r="AA1468" s="9"/>
      <c r="AB1468" s="9"/>
      <c r="AC1468" s="9"/>
      <c r="AE1468" s="9"/>
    </row>
    <row r="1469" spans="1:31">
      <c r="A1469" s="9"/>
      <c r="B1469" s="9"/>
      <c r="C1469" s="9"/>
      <c r="D1469" s="9"/>
      <c r="E1469" s="9"/>
      <c r="G1469" s="9"/>
      <c r="I1469" s="9"/>
      <c r="M1469" s="9"/>
      <c r="N1469" s="9"/>
      <c r="O1469" s="9"/>
      <c r="Q1469" s="9"/>
      <c r="S1469" s="9"/>
      <c r="U1469" s="9"/>
      <c r="W1469" s="9"/>
      <c r="AA1469" s="9"/>
      <c r="AB1469" s="9"/>
      <c r="AC1469" s="9"/>
      <c r="AE1469" s="9"/>
    </row>
    <row r="1470" spans="1:31">
      <c r="A1470" s="9"/>
      <c r="B1470" s="9"/>
      <c r="C1470" s="9"/>
      <c r="D1470" s="9"/>
      <c r="E1470" s="9"/>
      <c r="G1470" s="9"/>
      <c r="I1470" s="9"/>
      <c r="M1470" s="9"/>
      <c r="N1470" s="9"/>
      <c r="O1470" s="9"/>
      <c r="Q1470" s="9"/>
      <c r="S1470" s="9"/>
      <c r="U1470" s="9"/>
      <c r="W1470" s="9"/>
      <c r="AA1470" s="9"/>
      <c r="AB1470" s="9"/>
      <c r="AC1470" s="9"/>
      <c r="AE1470" s="9"/>
    </row>
    <row r="1471" spans="1:31">
      <c r="A1471" s="9"/>
      <c r="B1471" s="9"/>
      <c r="C1471" s="9"/>
      <c r="D1471" s="9"/>
      <c r="E1471" s="9"/>
      <c r="G1471" s="9"/>
      <c r="I1471" s="9"/>
      <c r="M1471" s="9"/>
      <c r="N1471" s="9"/>
      <c r="O1471" s="9"/>
      <c r="Q1471" s="9"/>
      <c r="S1471" s="9"/>
      <c r="U1471" s="9"/>
      <c r="W1471" s="9"/>
      <c r="AA1471" s="9"/>
      <c r="AB1471" s="9"/>
      <c r="AC1471" s="9"/>
      <c r="AE1471" s="9"/>
    </row>
    <row r="1472" spans="1:31">
      <c r="A1472" s="9"/>
      <c r="B1472" s="9"/>
      <c r="C1472" s="9"/>
      <c r="D1472" s="9"/>
      <c r="E1472" s="9"/>
      <c r="G1472" s="9"/>
      <c r="I1472" s="9"/>
      <c r="M1472" s="9"/>
      <c r="N1472" s="9"/>
      <c r="O1472" s="9"/>
      <c r="Q1472" s="9"/>
      <c r="S1472" s="9"/>
      <c r="U1472" s="9"/>
      <c r="W1472" s="9"/>
      <c r="AA1472" s="9"/>
      <c r="AB1472" s="9"/>
      <c r="AC1472" s="9"/>
      <c r="AE1472" s="9"/>
    </row>
    <row r="1473" spans="1:31">
      <c r="A1473" s="9"/>
      <c r="B1473" s="9"/>
      <c r="C1473" s="9"/>
      <c r="D1473" s="9"/>
      <c r="E1473" s="9"/>
      <c r="G1473" s="9"/>
      <c r="I1473" s="9"/>
      <c r="M1473" s="9"/>
      <c r="N1473" s="9"/>
      <c r="O1473" s="9"/>
      <c r="Q1473" s="9"/>
      <c r="S1473" s="9"/>
      <c r="U1473" s="9"/>
      <c r="W1473" s="9"/>
      <c r="AA1473" s="9"/>
      <c r="AB1473" s="9"/>
      <c r="AC1473" s="9"/>
      <c r="AE1473" s="9"/>
    </row>
    <row r="1474" spans="1:31">
      <c r="A1474" s="9"/>
      <c r="B1474" s="9"/>
      <c r="C1474" s="9"/>
      <c r="D1474" s="9"/>
      <c r="E1474" s="9"/>
      <c r="G1474" s="9"/>
      <c r="I1474" s="9"/>
      <c r="M1474" s="9"/>
      <c r="N1474" s="9"/>
      <c r="O1474" s="9"/>
      <c r="Q1474" s="9"/>
      <c r="S1474" s="9"/>
      <c r="U1474" s="9"/>
      <c r="W1474" s="9"/>
      <c r="AA1474" s="9"/>
      <c r="AB1474" s="9"/>
      <c r="AC1474" s="9"/>
      <c r="AE1474" s="9"/>
    </row>
    <row r="1475" spans="1:31">
      <c r="A1475" s="9"/>
      <c r="B1475" s="9"/>
      <c r="C1475" s="9"/>
      <c r="D1475" s="9"/>
      <c r="E1475" s="9"/>
      <c r="G1475" s="9"/>
      <c r="I1475" s="9"/>
      <c r="M1475" s="9"/>
      <c r="N1475" s="9"/>
      <c r="O1475" s="9"/>
      <c r="Q1475" s="9"/>
      <c r="S1475" s="9"/>
      <c r="U1475" s="9"/>
      <c r="W1475" s="9"/>
      <c r="AA1475" s="9"/>
      <c r="AB1475" s="9"/>
      <c r="AC1475" s="9"/>
      <c r="AE1475" s="9"/>
    </row>
    <row r="1476" spans="1:31">
      <c r="A1476" s="9"/>
      <c r="B1476" s="9"/>
      <c r="C1476" s="9"/>
      <c r="D1476" s="9"/>
      <c r="E1476" s="9"/>
      <c r="G1476" s="9"/>
      <c r="I1476" s="9"/>
      <c r="M1476" s="9"/>
      <c r="N1476" s="9"/>
      <c r="O1476" s="9"/>
      <c r="Q1476" s="9"/>
      <c r="S1476" s="9"/>
      <c r="U1476" s="9"/>
      <c r="W1476" s="9"/>
      <c r="AA1476" s="9"/>
      <c r="AB1476" s="9"/>
      <c r="AC1476" s="9"/>
      <c r="AE1476" s="9"/>
    </row>
    <row r="1477" spans="1:31">
      <c r="A1477" s="9"/>
      <c r="B1477" s="9"/>
      <c r="C1477" s="9"/>
      <c r="D1477" s="9"/>
      <c r="E1477" s="9"/>
      <c r="G1477" s="9"/>
      <c r="I1477" s="9"/>
      <c r="M1477" s="9"/>
      <c r="N1477" s="9"/>
      <c r="O1477" s="9"/>
      <c r="Q1477" s="9"/>
      <c r="S1477" s="9"/>
      <c r="U1477" s="9"/>
      <c r="W1477" s="9"/>
      <c r="AA1477" s="9"/>
      <c r="AB1477" s="9"/>
      <c r="AC1477" s="9"/>
      <c r="AE1477" s="9"/>
    </row>
    <row r="1478" spans="1:31">
      <c r="A1478" s="9"/>
      <c r="B1478" s="9"/>
      <c r="C1478" s="9"/>
      <c r="D1478" s="9"/>
      <c r="E1478" s="9"/>
      <c r="G1478" s="9"/>
      <c r="I1478" s="9"/>
      <c r="M1478" s="9"/>
      <c r="N1478" s="9"/>
      <c r="O1478" s="9"/>
      <c r="Q1478" s="9"/>
      <c r="S1478" s="9"/>
      <c r="U1478" s="9"/>
      <c r="W1478" s="9"/>
      <c r="AA1478" s="9"/>
      <c r="AB1478" s="9"/>
      <c r="AC1478" s="9"/>
      <c r="AE1478" s="9"/>
    </row>
    <row r="1479" spans="1:31">
      <c r="A1479" s="9"/>
      <c r="B1479" s="9"/>
      <c r="C1479" s="9"/>
      <c r="D1479" s="9"/>
      <c r="E1479" s="9"/>
      <c r="G1479" s="9"/>
      <c r="I1479" s="9"/>
      <c r="M1479" s="9"/>
      <c r="N1479" s="9"/>
      <c r="O1479" s="9"/>
      <c r="Q1479" s="9"/>
      <c r="S1479" s="9"/>
      <c r="U1479" s="9"/>
      <c r="W1479" s="9"/>
      <c r="AA1479" s="9"/>
      <c r="AB1479" s="9"/>
      <c r="AC1479" s="9"/>
      <c r="AE1479" s="9"/>
    </row>
    <row r="1480" spans="1:31">
      <c r="A1480" s="9"/>
      <c r="B1480" s="9"/>
      <c r="C1480" s="9"/>
      <c r="D1480" s="9"/>
      <c r="E1480" s="9"/>
      <c r="G1480" s="9"/>
      <c r="I1480" s="9"/>
      <c r="M1480" s="9"/>
      <c r="N1480" s="9"/>
      <c r="O1480" s="9"/>
      <c r="Q1480" s="9"/>
      <c r="S1480" s="9"/>
      <c r="U1480" s="9"/>
      <c r="W1480" s="9"/>
      <c r="AA1480" s="9"/>
      <c r="AB1480" s="9"/>
      <c r="AC1480" s="9"/>
      <c r="AE1480" s="9"/>
    </row>
    <row r="1481" spans="1:31">
      <c r="A1481" s="9"/>
      <c r="B1481" s="9"/>
      <c r="C1481" s="9"/>
      <c r="D1481" s="9"/>
      <c r="E1481" s="9"/>
      <c r="G1481" s="9"/>
      <c r="I1481" s="9"/>
      <c r="M1481" s="9"/>
      <c r="N1481" s="9"/>
      <c r="O1481" s="9"/>
      <c r="Q1481" s="9"/>
      <c r="S1481" s="9"/>
      <c r="U1481" s="9"/>
      <c r="W1481" s="9"/>
      <c r="AA1481" s="9"/>
      <c r="AB1481" s="9"/>
      <c r="AC1481" s="9"/>
      <c r="AE1481" s="9"/>
    </row>
    <row r="1482" spans="1:31">
      <c r="A1482" s="9"/>
      <c r="B1482" s="9"/>
      <c r="C1482" s="9"/>
      <c r="D1482" s="9"/>
      <c r="E1482" s="9"/>
      <c r="G1482" s="9"/>
      <c r="I1482" s="9"/>
      <c r="M1482" s="9"/>
      <c r="N1482" s="9"/>
      <c r="O1482" s="9"/>
      <c r="Q1482" s="9"/>
      <c r="S1482" s="9"/>
      <c r="U1482" s="9"/>
      <c r="W1482" s="9"/>
      <c r="AA1482" s="9"/>
      <c r="AB1482" s="9"/>
      <c r="AC1482" s="9"/>
      <c r="AE1482" s="9"/>
    </row>
    <row r="1483" spans="1:31">
      <c r="A1483" s="9"/>
      <c r="B1483" s="9"/>
      <c r="C1483" s="9"/>
      <c r="D1483" s="9"/>
      <c r="E1483" s="9"/>
      <c r="G1483" s="9"/>
      <c r="I1483" s="9"/>
      <c r="M1483" s="9"/>
      <c r="N1483" s="9"/>
      <c r="O1483" s="9"/>
      <c r="Q1483" s="9"/>
      <c r="S1483" s="9"/>
      <c r="U1483" s="9"/>
      <c r="W1483" s="9"/>
      <c r="AA1483" s="9"/>
      <c r="AB1483" s="9"/>
      <c r="AC1483" s="9"/>
      <c r="AE1483" s="9"/>
    </row>
    <row r="1484" spans="1:31">
      <c r="A1484" s="9"/>
      <c r="B1484" s="9"/>
      <c r="C1484" s="9"/>
      <c r="D1484" s="9"/>
      <c r="E1484" s="9"/>
      <c r="G1484" s="9"/>
      <c r="I1484" s="9"/>
      <c r="M1484" s="9"/>
      <c r="N1484" s="9"/>
      <c r="O1484" s="9"/>
      <c r="Q1484" s="9"/>
      <c r="S1484" s="9"/>
      <c r="U1484" s="9"/>
      <c r="W1484" s="9"/>
      <c r="AA1484" s="9"/>
      <c r="AB1484" s="9"/>
      <c r="AC1484" s="9"/>
      <c r="AE1484" s="9"/>
    </row>
    <row r="1485" spans="1:31">
      <c r="A1485" s="9"/>
      <c r="B1485" s="9"/>
      <c r="C1485" s="9"/>
      <c r="D1485" s="9"/>
      <c r="E1485" s="9"/>
      <c r="G1485" s="9"/>
      <c r="I1485" s="9"/>
      <c r="M1485" s="9"/>
      <c r="N1485" s="9"/>
      <c r="O1485" s="9"/>
      <c r="Q1485" s="9"/>
      <c r="S1485" s="9"/>
      <c r="U1485" s="9"/>
      <c r="W1485" s="9"/>
      <c r="AA1485" s="9"/>
      <c r="AB1485" s="9"/>
      <c r="AC1485" s="9"/>
      <c r="AE1485" s="9"/>
    </row>
    <row r="1486" spans="1:31">
      <c r="A1486" s="9"/>
      <c r="B1486" s="9"/>
      <c r="C1486" s="9"/>
      <c r="D1486" s="9"/>
      <c r="E1486" s="9"/>
      <c r="G1486" s="9"/>
      <c r="I1486" s="9"/>
      <c r="M1486" s="9"/>
      <c r="N1486" s="9"/>
      <c r="O1486" s="9"/>
      <c r="Q1486" s="9"/>
      <c r="S1486" s="9"/>
      <c r="U1486" s="9"/>
      <c r="W1486" s="9"/>
      <c r="AA1486" s="9"/>
      <c r="AB1486" s="9"/>
      <c r="AC1486" s="9"/>
      <c r="AE1486" s="9"/>
    </row>
    <row r="1487" spans="1:31">
      <c r="A1487" s="9"/>
      <c r="B1487" s="9"/>
      <c r="C1487" s="9"/>
      <c r="D1487" s="9"/>
      <c r="E1487" s="9"/>
      <c r="G1487" s="9"/>
      <c r="I1487" s="9"/>
      <c r="M1487" s="9"/>
      <c r="N1487" s="9"/>
      <c r="O1487" s="9"/>
      <c r="Q1487" s="9"/>
      <c r="S1487" s="9"/>
      <c r="U1487" s="9"/>
      <c r="W1487" s="9"/>
      <c r="AA1487" s="9"/>
      <c r="AB1487" s="9"/>
      <c r="AC1487" s="9"/>
      <c r="AE1487" s="9"/>
    </row>
    <row r="1488" spans="1:31">
      <c r="A1488" s="9"/>
      <c r="B1488" s="9"/>
      <c r="C1488" s="9"/>
      <c r="D1488" s="9"/>
      <c r="E1488" s="9"/>
      <c r="G1488" s="9"/>
      <c r="I1488" s="9"/>
      <c r="M1488" s="9"/>
      <c r="N1488" s="9"/>
      <c r="O1488" s="9"/>
      <c r="Q1488" s="9"/>
      <c r="S1488" s="9"/>
      <c r="U1488" s="9"/>
      <c r="W1488" s="9"/>
      <c r="AA1488" s="9"/>
      <c r="AB1488" s="9"/>
      <c r="AC1488" s="9"/>
      <c r="AE1488" s="9"/>
    </row>
    <row r="1489" spans="1:31">
      <c r="A1489" s="9"/>
      <c r="B1489" s="9"/>
      <c r="C1489" s="9"/>
      <c r="D1489" s="9"/>
      <c r="E1489" s="9"/>
      <c r="G1489" s="9"/>
      <c r="I1489" s="9"/>
      <c r="M1489" s="9"/>
      <c r="N1489" s="9"/>
      <c r="O1489" s="9"/>
      <c r="Q1489" s="9"/>
      <c r="S1489" s="9"/>
      <c r="U1489" s="9"/>
      <c r="W1489" s="9"/>
      <c r="AA1489" s="9"/>
      <c r="AB1489" s="9"/>
      <c r="AC1489" s="9"/>
      <c r="AE1489" s="9"/>
    </row>
    <row r="1490" spans="1:31">
      <c r="A1490" s="9"/>
      <c r="B1490" s="9"/>
      <c r="C1490" s="9"/>
      <c r="D1490" s="9"/>
      <c r="E1490" s="9"/>
      <c r="G1490" s="9"/>
      <c r="I1490" s="9"/>
      <c r="M1490" s="9"/>
      <c r="N1490" s="9"/>
      <c r="O1490" s="9"/>
      <c r="Q1490" s="9"/>
      <c r="S1490" s="9"/>
      <c r="U1490" s="9"/>
      <c r="W1490" s="9"/>
      <c r="AA1490" s="9"/>
      <c r="AB1490" s="9"/>
      <c r="AC1490" s="9"/>
      <c r="AE1490" s="9"/>
    </row>
    <row r="1491" spans="1:31">
      <c r="A1491" s="9"/>
      <c r="B1491" s="9"/>
      <c r="C1491" s="9"/>
      <c r="D1491" s="9"/>
      <c r="E1491" s="9"/>
      <c r="G1491" s="9"/>
      <c r="I1491" s="9"/>
      <c r="M1491" s="9"/>
      <c r="N1491" s="9"/>
      <c r="O1491" s="9"/>
      <c r="Q1491" s="9"/>
      <c r="S1491" s="9"/>
      <c r="U1491" s="9"/>
      <c r="W1491" s="9"/>
      <c r="AA1491" s="9"/>
      <c r="AB1491" s="9"/>
      <c r="AC1491" s="9"/>
      <c r="AE1491" s="9"/>
    </row>
    <row r="1492" spans="1:31">
      <c r="A1492" s="9"/>
      <c r="B1492" s="9"/>
      <c r="C1492" s="9"/>
      <c r="D1492" s="9"/>
      <c r="E1492" s="9"/>
      <c r="G1492" s="9"/>
      <c r="I1492" s="9"/>
      <c r="M1492" s="9"/>
      <c r="N1492" s="9"/>
      <c r="O1492" s="9"/>
      <c r="Q1492" s="9"/>
      <c r="S1492" s="9"/>
      <c r="U1492" s="9"/>
      <c r="W1492" s="9"/>
      <c r="AA1492" s="9"/>
      <c r="AB1492" s="9"/>
      <c r="AC1492" s="9"/>
      <c r="AE1492" s="9"/>
    </row>
    <row r="1493" spans="1:31">
      <c r="A1493" s="9"/>
      <c r="B1493" s="9"/>
      <c r="C1493" s="9"/>
      <c r="D1493" s="9"/>
      <c r="E1493" s="9"/>
      <c r="G1493" s="9"/>
      <c r="I1493" s="9"/>
      <c r="M1493" s="9"/>
      <c r="N1493" s="9"/>
      <c r="O1493" s="9"/>
      <c r="Q1493" s="9"/>
      <c r="S1493" s="9"/>
      <c r="U1493" s="9"/>
      <c r="W1493" s="9"/>
      <c r="AA1493" s="9"/>
      <c r="AB1493" s="9"/>
      <c r="AC1493" s="9"/>
      <c r="AE1493" s="9"/>
    </row>
    <row r="1494" spans="1:31">
      <c r="A1494" s="9"/>
      <c r="B1494" s="9"/>
      <c r="C1494" s="9"/>
      <c r="D1494" s="9"/>
      <c r="E1494" s="9"/>
      <c r="G1494" s="9"/>
      <c r="I1494" s="9"/>
      <c r="M1494" s="9"/>
      <c r="N1494" s="9"/>
      <c r="O1494" s="9"/>
      <c r="Q1494" s="9"/>
      <c r="S1494" s="9"/>
      <c r="U1494" s="9"/>
      <c r="W1494" s="9"/>
      <c r="AA1494" s="9"/>
      <c r="AB1494" s="9"/>
      <c r="AC1494" s="9"/>
      <c r="AE1494" s="9"/>
    </row>
    <row r="1495" spans="1:31">
      <c r="A1495" s="9"/>
      <c r="B1495" s="9"/>
      <c r="C1495" s="9"/>
      <c r="D1495" s="9"/>
      <c r="E1495" s="9"/>
      <c r="G1495" s="9"/>
      <c r="I1495" s="9"/>
      <c r="M1495" s="9"/>
      <c r="N1495" s="9"/>
      <c r="O1495" s="9"/>
      <c r="Q1495" s="9"/>
      <c r="S1495" s="9"/>
      <c r="U1495" s="9"/>
      <c r="W1495" s="9"/>
      <c r="AA1495" s="9"/>
      <c r="AB1495" s="9"/>
      <c r="AC1495" s="9"/>
      <c r="AE1495" s="9"/>
    </row>
    <row r="1496" spans="1:31">
      <c r="A1496" s="9"/>
      <c r="B1496" s="9"/>
      <c r="C1496" s="9"/>
      <c r="D1496" s="9"/>
      <c r="E1496" s="9"/>
      <c r="G1496" s="9"/>
      <c r="I1496" s="9"/>
      <c r="M1496" s="9"/>
      <c r="N1496" s="9"/>
      <c r="O1496" s="9"/>
      <c r="Q1496" s="9"/>
      <c r="S1496" s="9"/>
      <c r="U1496" s="9"/>
      <c r="W1496" s="9"/>
      <c r="AA1496" s="9"/>
      <c r="AB1496" s="9"/>
      <c r="AC1496" s="9"/>
      <c r="AE1496" s="9"/>
    </row>
    <row r="1497" spans="1:31">
      <c r="A1497" s="9"/>
      <c r="B1497" s="9"/>
      <c r="C1497" s="9"/>
      <c r="D1497" s="9"/>
      <c r="E1497" s="9"/>
      <c r="G1497" s="9"/>
      <c r="I1497" s="9"/>
      <c r="M1497" s="9"/>
      <c r="N1497" s="9"/>
      <c r="O1497" s="9"/>
      <c r="Q1497" s="9"/>
      <c r="S1497" s="9"/>
      <c r="U1497" s="9"/>
      <c r="W1497" s="9"/>
      <c r="AA1497" s="9"/>
      <c r="AB1497" s="9"/>
      <c r="AC1497" s="9"/>
      <c r="AE1497" s="9"/>
    </row>
    <row r="1498" spans="1:31">
      <c r="A1498" s="9"/>
      <c r="B1498" s="9"/>
      <c r="C1498" s="9"/>
      <c r="D1498" s="9"/>
      <c r="E1498" s="9"/>
      <c r="G1498" s="9"/>
      <c r="I1498" s="9"/>
      <c r="M1498" s="9"/>
      <c r="N1498" s="9"/>
      <c r="O1498" s="9"/>
      <c r="Q1498" s="9"/>
      <c r="S1498" s="9"/>
      <c r="U1498" s="9"/>
      <c r="W1498" s="9"/>
      <c r="AA1498" s="9"/>
      <c r="AB1498" s="9"/>
      <c r="AC1498" s="9"/>
      <c r="AE1498" s="9"/>
    </row>
    <row r="1499" spans="1:31">
      <c r="A1499" s="9"/>
      <c r="B1499" s="9"/>
      <c r="C1499" s="9"/>
      <c r="D1499" s="9"/>
      <c r="E1499" s="9"/>
      <c r="G1499" s="9"/>
      <c r="I1499" s="9"/>
      <c r="M1499" s="9"/>
      <c r="N1499" s="9"/>
      <c r="O1499" s="9"/>
      <c r="Q1499" s="9"/>
      <c r="S1499" s="9"/>
      <c r="U1499" s="9"/>
      <c r="W1499" s="9"/>
      <c r="AA1499" s="9"/>
      <c r="AB1499" s="9"/>
      <c r="AC1499" s="9"/>
      <c r="AE1499" s="9"/>
    </row>
    <row r="1500" spans="1:31">
      <c r="A1500" s="9"/>
      <c r="B1500" s="9"/>
      <c r="C1500" s="9"/>
      <c r="D1500" s="9"/>
      <c r="E1500" s="9"/>
      <c r="G1500" s="9"/>
      <c r="I1500" s="9"/>
      <c r="M1500" s="9"/>
      <c r="N1500" s="9"/>
      <c r="O1500" s="9"/>
      <c r="Q1500" s="9"/>
      <c r="S1500" s="9"/>
      <c r="U1500" s="9"/>
      <c r="W1500" s="9"/>
      <c r="AA1500" s="9"/>
      <c r="AB1500" s="9"/>
      <c r="AC1500" s="9"/>
      <c r="AE1500" s="9"/>
    </row>
    <row r="1501" spans="1:31">
      <c r="A1501" s="9"/>
      <c r="B1501" s="9"/>
      <c r="C1501" s="9"/>
      <c r="D1501" s="9"/>
      <c r="E1501" s="9"/>
      <c r="G1501" s="9"/>
      <c r="I1501" s="9"/>
      <c r="M1501" s="9"/>
      <c r="N1501" s="9"/>
      <c r="O1501" s="9"/>
      <c r="Q1501" s="9"/>
      <c r="S1501" s="9"/>
      <c r="U1501" s="9"/>
      <c r="W1501" s="9"/>
      <c r="AA1501" s="9"/>
      <c r="AB1501" s="9"/>
      <c r="AC1501" s="9"/>
      <c r="AE1501" s="9"/>
    </row>
    <row r="1502" spans="1:31">
      <c r="A1502" s="9"/>
      <c r="B1502" s="9"/>
      <c r="C1502" s="9"/>
      <c r="D1502" s="9"/>
      <c r="E1502" s="9"/>
      <c r="G1502" s="9"/>
      <c r="I1502" s="9"/>
      <c r="M1502" s="9"/>
      <c r="N1502" s="9"/>
      <c r="O1502" s="9"/>
      <c r="Q1502" s="9"/>
      <c r="S1502" s="9"/>
      <c r="U1502" s="9"/>
      <c r="W1502" s="9"/>
      <c r="AA1502" s="9"/>
      <c r="AB1502" s="9"/>
      <c r="AC1502" s="9"/>
      <c r="AE1502" s="9"/>
    </row>
    <row r="1503" spans="1:31">
      <c r="A1503" s="9"/>
      <c r="B1503" s="9"/>
      <c r="C1503" s="9"/>
      <c r="D1503" s="9"/>
      <c r="E1503" s="9"/>
      <c r="G1503" s="9"/>
      <c r="I1503" s="9"/>
      <c r="M1503" s="9"/>
      <c r="N1503" s="9"/>
      <c r="O1503" s="9"/>
      <c r="Q1503" s="9"/>
      <c r="S1503" s="9"/>
      <c r="U1503" s="9"/>
      <c r="W1503" s="9"/>
      <c r="AA1503" s="9"/>
      <c r="AB1503" s="9"/>
      <c r="AC1503" s="9"/>
      <c r="AE1503" s="9"/>
    </row>
    <row r="1504" spans="1:31">
      <c r="A1504" s="9"/>
      <c r="B1504" s="9"/>
      <c r="C1504" s="9"/>
      <c r="D1504" s="9"/>
      <c r="E1504" s="9"/>
      <c r="G1504" s="9"/>
      <c r="I1504" s="9"/>
      <c r="M1504" s="9"/>
      <c r="N1504" s="9"/>
      <c r="O1504" s="9"/>
      <c r="Q1504" s="9"/>
      <c r="S1504" s="9"/>
      <c r="U1504" s="9"/>
      <c r="W1504" s="9"/>
      <c r="AA1504" s="9"/>
      <c r="AB1504" s="9"/>
      <c r="AC1504" s="9"/>
      <c r="AE1504" s="9"/>
    </row>
    <row r="1505" spans="1:31">
      <c r="A1505" s="9"/>
      <c r="B1505" s="9"/>
      <c r="C1505" s="9"/>
      <c r="D1505" s="9"/>
      <c r="E1505" s="9"/>
      <c r="G1505" s="9"/>
      <c r="I1505" s="9"/>
      <c r="M1505" s="9"/>
      <c r="N1505" s="9"/>
      <c r="O1505" s="9"/>
      <c r="Q1505" s="9"/>
      <c r="S1505" s="9"/>
      <c r="U1505" s="9"/>
      <c r="W1505" s="9"/>
      <c r="AA1505" s="9"/>
      <c r="AB1505" s="9"/>
      <c r="AC1505" s="9"/>
      <c r="AE1505" s="9"/>
    </row>
    <row r="1506" spans="1:31">
      <c r="A1506" s="9"/>
      <c r="B1506" s="9"/>
      <c r="C1506" s="9"/>
      <c r="D1506" s="9"/>
      <c r="E1506" s="9"/>
      <c r="G1506" s="9"/>
      <c r="I1506" s="9"/>
      <c r="M1506" s="9"/>
      <c r="N1506" s="9"/>
      <c r="O1506" s="9"/>
      <c r="Q1506" s="9"/>
      <c r="S1506" s="9"/>
      <c r="U1506" s="9"/>
      <c r="W1506" s="9"/>
      <c r="AA1506" s="9"/>
      <c r="AB1506" s="9"/>
      <c r="AC1506" s="9"/>
      <c r="AE1506" s="9"/>
    </row>
    <row r="1507" spans="1:31">
      <c r="A1507" s="9"/>
      <c r="B1507" s="9"/>
      <c r="C1507" s="9"/>
      <c r="D1507" s="9"/>
      <c r="E1507" s="9"/>
      <c r="G1507" s="9"/>
      <c r="I1507" s="9"/>
      <c r="M1507" s="9"/>
      <c r="N1507" s="9"/>
      <c r="O1507" s="9"/>
      <c r="Q1507" s="9"/>
      <c r="S1507" s="9"/>
      <c r="U1507" s="9"/>
      <c r="W1507" s="9"/>
      <c r="AA1507" s="9"/>
      <c r="AB1507" s="9"/>
      <c r="AC1507" s="9"/>
      <c r="AE1507" s="9"/>
    </row>
    <row r="1508" spans="1:31">
      <c r="A1508" s="9"/>
      <c r="B1508" s="9"/>
      <c r="C1508" s="9"/>
      <c r="D1508" s="9"/>
      <c r="E1508" s="9"/>
      <c r="G1508" s="9"/>
      <c r="I1508" s="9"/>
      <c r="M1508" s="9"/>
      <c r="N1508" s="9"/>
      <c r="O1508" s="9"/>
      <c r="Q1508" s="9"/>
      <c r="S1508" s="9"/>
      <c r="U1508" s="9"/>
      <c r="W1508" s="9"/>
      <c r="AA1508" s="9"/>
      <c r="AB1508" s="9"/>
      <c r="AC1508" s="9"/>
      <c r="AE1508" s="9"/>
    </row>
    <row r="1509" spans="1:31">
      <c r="A1509" s="9"/>
      <c r="B1509" s="9"/>
      <c r="C1509" s="9"/>
      <c r="D1509" s="9"/>
      <c r="E1509" s="9"/>
      <c r="G1509" s="9"/>
      <c r="I1509" s="9"/>
      <c r="M1509" s="9"/>
      <c r="N1509" s="9"/>
      <c r="O1509" s="9"/>
      <c r="Q1509" s="9"/>
      <c r="S1509" s="9"/>
      <c r="U1509" s="9"/>
      <c r="W1509" s="9"/>
      <c r="AA1509" s="9"/>
      <c r="AB1509" s="9"/>
      <c r="AC1509" s="9"/>
      <c r="AE1509" s="9"/>
    </row>
    <row r="1510" spans="1:31">
      <c r="A1510" s="9"/>
      <c r="B1510" s="9"/>
      <c r="C1510" s="9"/>
      <c r="D1510" s="9"/>
      <c r="E1510" s="9"/>
      <c r="G1510" s="9"/>
      <c r="I1510" s="9"/>
      <c r="M1510" s="9"/>
      <c r="N1510" s="9"/>
      <c r="O1510" s="9"/>
      <c r="Q1510" s="9"/>
      <c r="S1510" s="9"/>
      <c r="U1510" s="9"/>
      <c r="W1510" s="9"/>
      <c r="AA1510" s="9"/>
      <c r="AB1510" s="9"/>
      <c r="AC1510" s="9"/>
      <c r="AE1510" s="9"/>
    </row>
    <row r="1511" spans="1:31">
      <c r="A1511" s="9"/>
      <c r="B1511" s="9"/>
      <c r="C1511" s="9"/>
      <c r="D1511" s="9"/>
      <c r="E1511" s="9"/>
      <c r="G1511" s="9"/>
      <c r="I1511" s="9"/>
      <c r="M1511" s="9"/>
      <c r="N1511" s="9"/>
      <c r="O1511" s="9"/>
      <c r="Q1511" s="9"/>
      <c r="S1511" s="9"/>
      <c r="U1511" s="9"/>
      <c r="W1511" s="9"/>
      <c r="AA1511" s="9"/>
      <c r="AB1511" s="9"/>
      <c r="AC1511" s="9"/>
      <c r="AE1511" s="9"/>
    </row>
    <row r="1512" spans="1:31">
      <c r="A1512" s="9"/>
      <c r="B1512" s="9"/>
      <c r="C1512" s="9"/>
      <c r="D1512" s="9"/>
      <c r="E1512" s="9"/>
      <c r="G1512" s="9"/>
      <c r="I1512" s="9"/>
      <c r="M1512" s="9"/>
      <c r="N1512" s="9"/>
      <c r="O1512" s="9"/>
      <c r="Q1512" s="9"/>
      <c r="S1512" s="9"/>
      <c r="U1512" s="9"/>
      <c r="W1512" s="9"/>
      <c r="AA1512" s="9"/>
      <c r="AB1512" s="9"/>
      <c r="AC1512" s="9"/>
      <c r="AE1512" s="9"/>
    </row>
    <row r="1513" spans="1:31">
      <c r="A1513" s="9"/>
      <c r="B1513" s="9"/>
      <c r="C1513" s="9"/>
      <c r="D1513" s="9"/>
      <c r="E1513" s="9"/>
      <c r="G1513" s="9"/>
      <c r="I1513" s="9"/>
      <c r="M1513" s="9"/>
      <c r="N1513" s="9"/>
      <c r="O1513" s="9"/>
      <c r="Q1513" s="9"/>
      <c r="S1513" s="9"/>
      <c r="U1513" s="9"/>
      <c r="W1513" s="9"/>
      <c r="AA1513" s="9"/>
      <c r="AB1513" s="9"/>
      <c r="AC1513" s="9"/>
      <c r="AE1513" s="9"/>
    </row>
    <row r="1514" spans="1:31">
      <c r="A1514" s="9"/>
      <c r="B1514" s="9"/>
      <c r="C1514" s="9"/>
      <c r="D1514" s="9"/>
      <c r="E1514" s="9"/>
      <c r="G1514" s="9"/>
      <c r="I1514" s="9"/>
      <c r="M1514" s="9"/>
      <c r="N1514" s="9"/>
      <c r="O1514" s="9"/>
      <c r="Q1514" s="9"/>
      <c r="S1514" s="9"/>
      <c r="U1514" s="9"/>
      <c r="W1514" s="9"/>
      <c r="AA1514" s="9"/>
      <c r="AB1514" s="9"/>
      <c r="AC1514" s="9"/>
      <c r="AE1514" s="9"/>
    </row>
    <row r="1515" spans="1:31">
      <c r="A1515" s="9"/>
      <c r="B1515" s="9"/>
      <c r="C1515" s="9"/>
      <c r="D1515" s="9"/>
      <c r="E1515" s="9"/>
      <c r="G1515" s="9"/>
      <c r="I1515" s="9"/>
      <c r="M1515" s="9"/>
      <c r="N1515" s="9"/>
      <c r="O1515" s="9"/>
      <c r="Q1515" s="9"/>
      <c r="S1515" s="9"/>
      <c r="U1515" s="9"/>
      <c r="W1515" s="9"/>
      <c r="AA1515" s="9"/>
      <c r="AB1515" s="9"/>
      <c r="AC1515" s="9"/>
      <c r="AE1515" s="9"/>
    </row>
    <row r="1516" spans="1:31">
      <c r="A1516" s="9"/>
      <c r="B1516" s="9"/>
      <c r="C1516" s="9"/>
      <c r="D1516" s="9"/>
      <c r="E1516" s="9"/>
      <c r="G1516" s="9"/>
      <c r="I1516" s="9"/>
      <c r="M1516" s="9"/>
      <c r="N1516" s="9"/>
      <c r="O1516" s="9"/>
      <c r="Q1516" s="9"/>
      <c r="S1516" s="9"/>
      <c r="U1516" s="9"/>
      <c r="W1516" s="9"/>
      <c r="AA1516" s="9"/>
      <c r="AB1516" s="9"/>
      <c r="AC1516" s="9"/>
      <c r="AE1516" s="9"/>
    </row>
    <row r="1517" spans="1:31">
      <c r="A1517" s="9"/>
      <c r="B1517" s="9"/>
      <c r="C1517" s="9"/>
      <c r="D1517" s="9"/>
      <c r="E1517" s="9"/>
      <c r="G1517" s="9"/>
      <c r="I1517" s="9"/>
      <c r="M1517" s="9"/>
      <c r="N1517" s="9"/>
      <c r="O1517" s="9"/>
      <c r="Q1517" s="9"/>
      <c r="S1517" s="9"/>
      <c r="U1517" s="9"/>
      <c r="W1517" s="9"/>
      <c r="AA1517" s="9"/>
      <c r="AB1517" s="9"/>
      <c r="AC1517" s="9"/>
      <c r="AE1517" s="9"/>
    </row>
    <row r="1518" spans="1:31">
      <c r="A1518" s="9"/>
      <c r="B1518" s="9"/>
      <c r="C1518" s="9"/>
      <c r="D1518" s="9"/>
      <c r="E1518" s="9"/>
      <c r="G1518" s="9"/>
      <c r="I1518" s="9"/>
      <c r="M1518" s="9"/>
      <c r="N1518" s="9"/>
      <c r="O1518" s="9"/>
      <c r="Q1518" s="9"/>
      <c r="S1518" s="9"/>
      <c r="U1518" s="9"/>
      <c r="W1518" s="9"/>
      <c r="AA1518" s="9"/>
      <c r="AB1518" s="9"/>
      <c r="AC1518" s="9"/>
      <c r="AE1518" s="9"/>
    </row>
    <row r="1519" spans="1:31">
      <c r="A1519" s="9"/>
      <c r="B1519" s="9"/>
      <c r="C1519" s="9"/>
      <c r="D1519" s="9"/>
      <c r="E1519" s="9"/>
      <c r="G1519" s="9"/>
      <c r="I1519" s="9"/>
      <c r="M1519" s="9"/>
      <c r="N1519" s="9"/>
      <c r="O1519" s="9"/>
      <c r="Q1519" s="9"/>
      <c r="S1519" s="9"/>
      <c r="U1519" s="9"/>
      <c r="W1519" s="9"/>
      <c r="AA1519" s="9"/>
      <c r="AB1519" s="9"/>
      <c r="AC1519" s="9"/>
      <c r="AE1519" s="9"/>
    </row>
    <row r="1520" spans="1:31">
      <c r="A1520" s="9"/>
      <c r="B1520" s="9"/>
      <c r="C1520" s="9"/>
      <c r="D1520" s="9"/>
      <c r="E1520" s="9"/>
      <c r="G1520" s="9"/>
      <c r="I1520" s="9"/>
      <c r="M1520" s="9"/>
      <c r="N1520" s="9"/>
      <c r="O1520" s="9"/>
      <c r="Q1520" s="9"/>
      <c r="S1520" s="9"/>
      <c r="U1520" s="9"/>
      <c r="W1520" s="9"/>
      <c r="AA1520" s="9"/>
      <c r="AB1520" s="9"/>
      <c r="AC1520" s="9"/>
      <c r="AE1520" s="9"/>
    </row>
    <row r="1521" spans="1:31">
      <c r="A1521" s="9"/>
      <c r="B1521" s="9"/>
      <c r="C1521" s="9"/>
      <c r="D1521" s="9"/>
      <c r="E1521" s="9"/>
      <c r="G1521" s="9"/>
      <c r="I1521" s="9"/>
      <c r="M1521" s="9"/>
      <c r="N1521" s="9"/>
      <c r="O1521" s="9"/>
      <c r="Q1521" s="9"/>
      <c r="S1521" s="9"/>
      <c r="U1521" s="9"/>
      <c r="W1521" s="9"/>
      <c r="AA1521" s="9"/>
      <c r="AB1521" s="9"/>
      <c r="AC1521" s="9"/>
      <c r="AE1521" s="9"/>
    </row>
    <row r="1522" spans="1:31">
      <c r="A1522" s="9"/>
      <c r="B1522" s="9"/>
      <c r="C1522" s="9"/>
      <c r="D1522" s="9"/>
      <c r="E1522" s="9"/>
      <c r="G1522" s="9"/>
      <c r="I1522" s="9"/>
      <c r="M1522" s="9"/>
      <c r="N1522" s="9"/>
      <c r="O1522" s="9"/>
      <c r="Q1522" s="9"/>
      <c r="S1522" s="9"/>
      <c r="U1522" s="9"/>
      <c r="W1522" s="9"/>
      <c r="AA1522" s="9"/>
      <c r="AB1522" s="9"/>
      <c r="AC1522" s="9"/>
      <c r="AE1522" s="9"/>
    </row>
    <row r="1523" spans="1:31">
      <c r="A1523" s="9"/>
      <c r="B1523" s="9"/>
      <c r="C1523" s="9"/>
      <c r="D1523" s="9"/>
      <c r="E1523" s="9"/>
      <c r="G1523" s="9"/>
      <c r="I1523" s="9"/>
      <c r="M1523" s="9"/>
      <c r="N1523" s="9"/>
      <c r="O1523" s="9"/>
      <c r="Q1523" s="9"/>
      <c r="S1523" s="9"/>
      <c r="U1523" s="9"/>
      <c r="W1523" s="9"/>
      <c r="AA1523" s="9"/>
      <c r="AB1523" s="9"/>
      <c r="AC1523" s="9"/>
      <c r="AE1523" s="9"/>
    </row>
    <row r="1524" spans="1:31">
      <c r="A1524" s="9"/>
      <c r="B1524" s="9"/>
      <c r="C1524" s="9"/>
      <c r="D1524" s="9"/>
      <c r="E1524" s="9"/>
      <c r="G1524" s="9"/>
      <c r="I1524" s="9"/>
      <c r="M1524" s="9"/>
      <c r="N1524" s="9"/>
      <c r="O1524" s="9"/>
      <c r="Q1524" s="9"/>
      <c r="S1524" s="9"/>
      <c r="U1524" s="9"/>
      <c r="W1524" s="9"/>
      <c r="AA1524" s="9"/>
      <c r="AB1524" s="9"/>
      <c r="AC1524" s="9"/>
      <c r="AE1524" s="9"/>
    </row>
    <row r="1525" spans="1:31">
      <c r="A1525" s="9"/>
      <c r="B1525" s="9"/>
      <c r="C1525" s="9"/>
      <c r="D1525" s="9"/>
      <c r="E1525" s="9"/>
      <c r="G1525" s="9"/>
      <c r="I1525" s="9"/>
      <c r="M1525" s="9"/>
      <c r="N1525" s="9"/>
      <c r="O1525" s="9"/>
      <c r="Q1525" s="9"/>
      <c r="S1525" s="9"/>
      <c r="U1525" s="9"/>
      <c r="W1525" s="9"/>
      <c r="AA1525" s="9"/>
      <c r="AB1525" s="9"/>
      <c r="AC1525" s="9"/>
      <c r="AE1525" s="9"/>
    </row>
    <row r="1526" spans="1:31">
      <c r="A1526" s="9"/>
      <c r="B1526" s="9"/>
      <c r="C1526" s="9"/>
      <c r="D1526" s="9"/>
      <c r="E1526" s="9"/>
      <c r="G1526" s="9"/>
      <c r="I1526" s="9"/>
      <c r="M1526" s="9"/>
      <c r="N1526" s="9"/>
      <c r="O1526" s="9"/>
      <c r="Q1526" s="9"/>
      <c r="S1526" s="9"/>
      <c r="U1526" s="9"/>
      <c r="W1526" s="9"/>
      <c r="AA1526" s="9"/>
      <c r="AB1526" s="9"/>
      <c r="AC1526" s="9"/>
      <c r="AE1526" s="9"/>
    </row>
    <row r="1527" spans="1:31">
      <c r="A1527" s="9"/>
      <c r="B1527" s="9"/>
      <c r="C1527" s="9"/>
      <c r="D1527" s="9"/>
      <c r="E1527" s="9"/>
      <c r="G1527" s="9"/>
      <c r="I1527" s="9"/>
      <c r="M1527" s="9"/>
      <c r="N1527" s="9"/>
      <c r="O1527" s="9"/>
      <c r="Q1527" s="9"/>
      <c r="S1527" s="9"/>
      <c r="U1527" s="9"/>
      <c r="W1527" s="9"/>
      <c r="AA1527" s="9"/>
      <c r="AB1527" s="9"/>
      <c r="AC1527" s="9"/>
      <c r="AE1527" s="9"/>
    </row>
    <row r="1528" spans="1:31">
      <c r="A1528" s="9"/>
      <c r="B1528" s="9"/>
      <c r="C1528" s="9"/>
      <c r="D1528" s="9"/>
      <c r="E1528" s="9"/>
      <c r="G1528" s="9"/>
      <c r="I1528" s="9"/>
      <c r="M1528" s="9"/>
      <c r="N1528" s="9"/>
      <c r="O1528" s="9"/>
      <c r="Q1528" s="9"/>
      <c r="S1528" s="9"/>
      <c r="U1528" s="9"/>
      <c r="W1528" s="9"/>
      <c r="AA1528" s="9"/>
      <c r="AB1528" s="9"/>
      <c r="AC1528" s="9"/>
      <c r="AE1528" s="9"/>
    </row>
    <row r="1529" spans="1:31">
      <c r="A1529" s="9"/>
      <c r="B1529" s="9"/>
      <c r="C1529" s="9"/>
      <c r="D1529" s="9"/>
      <c r="E1529" s="9"/>
      <c r="G1529" s="9"/>
      <c r="I1529" s="9"/>
      <c r="M1529" s="9"/>
      <c r="N1529" s="9"/>
      <c r="O1529" s="9"/>
      <c r="Q1529" s="9"/>
      <c r="S1529" s="9"/>
      <c r="U1529" s="9"/>
      <c r="W1529" s="9"/>
      <c r="AA1529" s="9"/>
      <c r="AB1529" s="9"/>
      <c r="AC1529" s="9"/>
      <c r="AE1529" s="9"/>
    </row>
    <row r="1530" spans="1:31">
      <c r="A1530" s="9"/>
      <c r="B1530" s="9"/>
      <c r="C1530" s="9"/>
      <c r="D1530" s="9"/>
      <c r="E1530" s="9"/>
      <c r="G1530" s="9"/>
      <c r="I1530" s="9"/>
      <c r="M1530" s="9"/>
      <c r="N1530" s="9"/>
      <c r="O1530" s="9"/>
      <c r="Q1530" s="9"/>
      <c r="S1530" s="9"/>
      <c r="U1530" s="9"/>
      <c r="W1530" s="9"/>
      <c r="AA1530" s="9"/>
      <c r="AB1530" s="9"/>
      <c r="AC1530" s="9"/>
      <c r="AE1530" s="9"/>
    </row>
    <row r="1531" spans="1:31">
      <c r="A1531" s="9"/>
      <c r="B1531" s="9"/>
      <c r="C1531" s="9"/>
      <c r="D1531" s="9"/>
      <c r="E1531" s="9"/>
      <c r="G1531" s="9"/>
      <c r="I1531" s="9"/>
      <c r="M1531" s="9"/>
      <c r="N1531" s="9"/>
      <c r="O1531" s="9"/>
      <c r="Q1531" s="9"/>
      <c r="S1531" s="9"/>
      <c r="U1531" s="9"/>
      <c r="W1531" s="9"/>
      <c r="AA1531" s="9"/>
      <c r="AB1531" s="9"/>
      <c r="AC1531" s="9"/>
      <c r="AE1531" s="9"/>
    </row>
    <row r="1532" spans="1:31">
      <c r="A1532" s="9"/>
      <c r="B1532" s="9"/>
      <c r="C1532" s="9"/>
      <c r="D1532" s="9"/>
      <c r="E1532" s="9"/>
      <c r="G1532" s="9"/>
      <c r="I1532" s="9"/>
      <c r="M1532" s="9"/>
      <c r="N1532" s="9"/>
      <c r="O1532" s="9"/>
      <c r="Q1532" s="9"/>
      <c r="S1532" s="9"/>
      <c r="U1532" s="9"/>
      <c r="W1532" s="9"/>
      <c r="AA1532" s="9"/>
      <c r="AB1532" s="9"/>
      <c r="AC1532" s="9"/>
      <c r="AE1532" s="9"/>
    </row>
    <row r="1533" spans="1:31">
      <c r="A1533" s="9"/>
      <c r="B1533" s="9"/>
      <c r="C1533" s="9"/>
      <c r="D1533" s="9"/>
      <c r="E1533" s="9"/>
      <c r="G1533" s="9"/>
      <c r="I1533" s="9"/>
      <c r="M1533" s="9"/>
      <c r="N1533" s="9"/>
      <c r="O1533" s="9"/>
      <c r="Q1533" s="9"/>
      <c r="S1533" s="9"/>
      <c r="U1533" s="9"/>
      <c r="W1533" s="9"/>
      <c r="AA1533" s="9"/>
      <c r="AB1533" s="9"/>
      <c r="AC1533" s="9"/>
      <c r="AE1533" s="9"/>
    </row>
    <row r="1534" spans="1:31">
      <c r="A1534" s="9"/>
      <c r="B1534" s="9"/>
      <c r="C1534" s="9"/>
      <c r="D1534" s="9"/>
      <c r="E1534" s="9"/>
      <c r="G1534" s="9"/>
      <c r="I1534" s="9"/>
      <c r="M1534" s="9"/>
      <c r="N1534" s="9"/>
      <c r="O1534" s="9"/>
      <c r="Q1534" s="9"/>
      <c r="S1534" s="9"/>
      <c r="U1534" s="9"/>
      <c r="W1534" s="9"/>
      <c r="AA1534" s="9"/>
      <c r="AB1534" s="9"/>
      <c r="AC1534" s="9"/>
      <c r="AE1534" s="9"/>
    </row>
    <row r="1535" spans="1:31">
      <c r="A1535" s="9"/>
      <c r="B1535" s="9"/>
      <c r="C1535" s="9"/>
      <c r="D1535" s="9"/>
      <c r="E1535" s="9"/>
      <c r="G1535" s="9"/>
      <c r="I1535" s="9"/>
      <c r="M1535" s="9"/>
      <c r="N1535" s="9"/>
      <c r="O1535" s="9"/>
      <c r="Q1535" s="9"/>
      <c r="S1535" s="9"/>
      <c r="U1535" s="9"/>
      <c r="W1535" s="9"/>
      <c r="AA1535" s="9"/>
      <c r="AB1535" s="9"/>
      <c r="AC1535" s="9"/>
      <c r="AE1535" s="9"/>
    </row>
    <row r="1536" spans="1:31">
      <c r="A1536" s="9"/>
      <c r="B1536" s="9"/>
      <c r="C1536" s="9"/>
      <c r="D1536" s="9"/>
      <c r="E1536" s="9"/>
      <c r="G1536" s="9"/>
      <c r="I1536" s="9"/>
      <c r="M1536" s="9"/>
      <c r="N1536" s="9"/>
      <c r="O1536" s="9"/>
      <c r="Q1536" s="9"/>
      <c r="S1536" s="9"/>
      <c r="U1536" s="9"/>
      <c r="W1536" s="9"/>
      <c r="AA1536" s="9"/>
      <c r="AB1536" s="9"/>
      <c r="AC1536" s="9"/>
      <c r="AE1536" s="9"/>
    </row>
    <row r="1537" spans="1:31">
      <c r="A1537" s="9"/>
      <c r="B1537" s="9"/>
      <c r="C1537" s="9"/>
      <c r="D1537" s="9"/>
      <c r="E1537" s="9"/>
      <c r="G1537" s="9"/>
      <c r="I1537" s="9"/>
      <c r="M1537" s="9"/>
      <c r="N1537" s="9"/>
      <c r="O1537" s="9"/>
      <c r="Q1537" s="9"/>
      <c r="S1537" s="9"/>
      <c r="U1537" s="9"/>
      <c r="W1537" s="9"/>
      <c r="AA1537" s="9"/>
      <c r="AB1537" s="9"/>
      <c r="AC1537" s="9"/>
      <c r="AE1537" s="9"/>
    </row>
    <row r="1538" spans="1:31">
      <c r="A1538" s="9"/>
      <c r="B1538" s="9"/>
      <c r="C1538" s="9"/>
      <c r="D1538" s="9"/>
      <c r="E1538" s="9"/>
      <c r="G1538" s="9"/>
      <c r="I1538" s="9"/>
      <c r="M1538" s="9"/>
      <c r="N1538" s="9"/>
      <c r="O1538" s="9"/>
      <c r="Q1538" s="9"/>
      <c r="S1538" s="9"/>
      <c r="U1538" s="9"/>
      <c r="W1538" s="9"/>
      <c r="AA1538" s="9"/>
      <c r="AB1538" s="9"/>
      <c r="AC1538" s="9"/>
      <c r="AE1538" s="9"/>
    </row>
    <row r="1539" spans="1:31">
      <c r="A1539" s="9"/>
      <c r="B1539" s="9"/>
      <c r="C1539" s="9"/>
      <c r="D1539" s="9"/>
      <c r="E1539" s="9"/>
      <c r="G1539" s="9"/>
      <c r="I1539" s="9"/>
      <c r="M1539" s="9"/>
      <c r="N1539" s="9"/>
      <c r="O1539" s="9"/>
      <c r="Q1539" s="9"/>
      <c r="S1539" s="9"/>
      <c r="U1539" s="9"/>
      <c r="W1539" s="9"/>
      <c r="AA1539" s="9"/>
      <c r="AB1539" s="9"/>
      <c r="AC1539" s="9"/>
      <c r="AE1539" s="9"/>
    </row>
    <row r="1540" spans="1:31">
      <c r="A1540" s="9"/>
      <c r="B1540" s="9"/>
      <c r="C1540" s="9"/>
      <c r="D1540" s="9"/>
      <c r="E1540" s="9"/>
      <c r="G1540" s="9"/>
      <c r="I1540" s="9"/>
      <c r="M1540" s="9"/>
      <c r="N1540" s="9"/>
      <c r="O1540" s="9"/>
      <c r="Q1540" s="9"/>
      <c r="S1540" s="9"/>
      <c r="U1540" s="9"/>
      <c r="W1540" s="9"/>
      <c r="AA1540" s="9"/>
      <c r="AB1540" s="9"/>
      <c r="AC1540" s="9"/>
      <c r="AE1540" s="9"/>
    </row>
    <row r="1541" spans="1:31">
      <c r="A1541" s="9"/>
      <c r="B1541" s="9"/>
      <c r="C1541" s="9"/>
      <c r="D1541" s="9"/>
      <c r="E1541" s="9"/>
      <c r="G1541" s="9"/>
      <c r="I1541" s="9"/>
      <c r="M1541" s="9"/>
      <c r="N1541" s="9"/>
      <c r="O1541" s="9"/>
      <c r="Q1541" s="9"/>
      <c r="S1541" s="9"/>
      <c r="U1541" s="9"/>
      <c r="W1541" s="9"/>
      <c r="AA1541" s="9"/>
      <c r="AB1541" s="9"/>
      <c r="AC1541" s="9"/>
      <c r="AE1541" s="9"/>
    </row>
    <row r="1542" spans="1:31">
      <c r="A1542" s="9"/>
      <c r="B1542" s="9"/>
      <c r="C1542" s="9"/>
      <c r="D1542" s="9"/>
      <c r="E1542" s="9"/>
      <c r="G1542" s="9"/>
      <c r="I1542" s="9"/>
      <c r="M1542" s="9"/>
      <c r="N1542" s="9"/>
      <c r="O1542" s="9"/>
      <c r="Q1542" s="9"/>
      <c r="S1542" s="9"/>
      <c r="U1542" s="9"/>
      <c r="W1542" s="9"/>
      <c r="AA1542" s="9"/>
      <c r="AB1542" s="9"/>
      <c r="AC1542" s="9"/>
      <c r="AE1542" s="9"/>
    </row>
    <row r="1543" spans="1:31">
      <c r="A1543" s="9"/>
      <c r="B1543" s="9"/>
      <c r="C1543" s="9"/>
      <c r="D1543" s="9"/>
      <c r="E1543" s="9"/>
      <c r="G1543" s="9"/>
      <c r="I1543" s="9"/>
      <c r="M1543" s="9"/>
      <c r="N1543" s="9"/>
      <c r="O1543" s="9"/>
      <c r="Q1543" s="9"/>
      <c r="S1543" s="9"/>
      <c r="U1543" s="9"/>
      <c r="W1543" s="9"/>
      <c r="AA1543" s="9"/>
      <c r="AB1543" s="9"/>
      <c r="AC1543" s="9"/>
      <c r="AE1543" s="9"/>
    </row>
    <row r="1544" spans="1:31">
      <c r="A1544" s="9"/>
      <c r="B1544" s="9"/>
      <c r="C1544" s="9"/>
      <c r="D1544" s="9"/>
      <c r="E1544" s="9"/>
      <c r="G1544" s="9"/>
      <c r="I1544" s="9"/>
      <c r="M1544" s="9"/>
      <c r="N1544" s="9"/>
      <c r="O1544" s="9"/>
      <c r="Q1544" s="9"/>
      <c r="S1544" s="9"/>
      <c r="U1544" s="9"/>
      <c r="W1544" s="9"/>
      <c r="AA1544" s="9"/>
      <c r="AB1544" s="9"/>
      <c r="AC1544" s="9"/>
      <c r="AE1544" s="9"/>
    </row>
    <row r="1545" spans="1:31">
      <c r="A1545" s="9"/>
      <c r="B1545" s="9"/>
      <c r="C1545" s="9"/>
      <c r="D1545" s="9"/>
      <c r="E1545" s="9"/>
      <c r="G1545" s="9"/>
      <c r="I1545" s="9"/>
      <c r="M1545" s="9"/>
      <c r="N1545" s="9"/>
      <c r="O1545" s="9"/>
      <c r="Q1545" s="9"/>
      <c r="S1545" s="9"/>
      <c r="U1545" s="9"/>
      <c r="W1545" s="9"/>
      <c r="AA1545" s="9"/>
      <c r="AB1545" s="9"/>
      <c r="AC1545" s="9"/>
      <c r="AE1545" s="9"/>
    </row>
    <row r="1546" spans="1:31">
      <c r="A1546" s="9"/>
      <c r="B1546" s="9"/>
      <c r="C1546" s="9"/>
      <c r="D1546" s="9"/>
      <c r="E1546" s="9"/>
      <c r="G1546" s="9"/>
      <c r="I1546" s="9"/>
      <c r="M1546" s="9"/>
      <c r="N1546" s="9"/>
      <c r="O1546" s="9"/>
      <c r="Q1546" s="9"/>
      <c r="S1546" s="9"/>
      <c r="U1546" s="9"/>
      <c r="W1546" s="9"/>
      <c r="AA1546" s="9"/>
      <c r="AB1546" s="9"/>
      <c r="AC1546" s="9"/>
      <c r="AE1546" s="9"/>
    </row>
    <row r="1547" spans="1:31">
      <c r="A1547" s="9"/>
      <c r="B1547" s="9"/>
      <c r="C1547" s="9"/>
      <c r="D1547" s="9"/>
      <c r="E1547" s="9"/>
      <c r="G1547" s="9"/>
      <c r="I1547" s="9"/>
      <c r="M1547" s="9"/>
      <c r="N1547" s="9"/>
      <c r="O1547" s="9"/>
      <c r="Q1547" s="9"/>
      <c r="S1547" s="9"/>
      <c r="U1547" s="9"/>
      <c r="W1547" s="9"/>
      <c r="AA1547" s="9"/>
      <c r="AB1547" s="9"/>
      <c r="AC1547" s="9"/>
      <c r="AE1547" s="9"/>
    </row>
    <row r="1548" spans="1:31">
      <c r="A1548" s="9"/>
      <c r="B1548" s="9"/>
      <c r="C1548" s="9"/>
      <c r="D1548" s="9"/>
      <c r="E1548" s="9"/>
      <c r="G1548" s="9"/>
      <c r="I1548" s="9"/>
      <c r="M1548" s="9"/>
      <c r="N1548" s="9"/>
      <c r="O1548" s="9"/>
      <c r="Q1548" s="9"/>
      <c r="S1548" s="9"/>
      <c r="U1548" s="9"/>
      <c r="W1548" s="9"/>
      <c r="AA1548" s="9"/>
      <c r="AB1548" s="9"/>
      <c r="AC1548" s="9"/>
      <c r="AE1548" s="9"/>
    </row>
    <row r="1549" spans="1:31">
      <c r="A1549" s="9"/>
      <c r="B1549" s="9"/>
      <c r="C1549" s="9"/>
      <c r="D1549" s="9"/>
      <c r="E1549" s="9"/>
      <c r="G1549" s="9"/>
      <c r="I1549" s="9"/>
      <c r="M1549" s="9"/>
      <c r="N1549" s="9"/>
      <c r="O1549" s="9"/>
      <c r="Q1549" s="9"/>
      <c r="S1549" s="9"/>
      <c r="U1549" s="9"/>
      <c r="W1549" s="9"/>
      <c r="AA1549" s="9"/>
      <c r="AB1549" s="9"/>
      <c r="AC1549" s="9"/>
      <c r="AE1549" s="9"/>
    </row>
    <row r="1550" spans="1:31">
      <c r="A1550" s="9"/>
      <c r="B1550" s="9"/>
      <c r="C1550" s="9"/>
      <c r="D1550" s="9"/>
      <c r="E1550" s="9"/>
      <c r="G1550" s="9"/>
      <c r="I1550" s="9"/>
      <c r="M1550" s="9"/>
      <c r="N1550" s="9"/>
      <c r="O1550" s="9"/>
      <c r="Q1550" s="9"/>
      <c r="S1550" s="9"/>
      <c r="U1550" s="9"/>
      <c r="W1550" s="9"/>
      <c r="AA1550" s="9"/>
      <c r="AB1550" s="9"/>
      <c r="AC1550" s="9"/>
      <c r="AE1550" s="9"/>
    </row>
    <row r="1551" spans="1:31">
      <c r="A1551" s="9"/>
      <c r="B1551" s="9"/>
      <c r="C1551" s="9"/>
      <c r="D1551" s="9"/>
      <c r="E1551" s="9"/>
      <c r="G1551" s="9"/>
      <c r="I1551" s="9"/>
      <c r="M1551" s="9"/>
      <c r="N1551" s="9"/>
      <c r="O1551" s="9"/>
      <c r="Q1551" s="9"/>
      <c r="S1551" s="9"/>
      <c r="U1551" s="9"/>
      <c r="W1551" s="9"/>
      <c r="AA1551" s="9"/>
      <c r="AB1551" s="9"/>
      <c r="AC1551" s="9"/>
      <c r="AE1551" s="9"/>
    </row>
    <row r="1552" spans="1:31">
      <c r="A1552" s="9"/>
      <c r="B1552" s="9"/>
      <c r="C1552" s="9"/>
      <c r="D1552" s="9"/>
      <c r="E1552" s="9"/>
      <c r="G1552" s="9"/>
      <c r="I1552" s="9"/>
      <c r="M1552" s="9"/>
      <c r="N1552" s="9"/>
      <c r="O1552" s="9"/>
      <c r="Q1552" s="9"/>
      <c r="S1552" s="9"/>
      <c r="U1552" s="9"/>
      <c r="W1552" s="9"/>
      <c r="AA1552" s="9"/>
      <c r="AB1552" s="9"/>
      <c r="AC1552" s="9"/>
      <c r="AE1552" s="9"/>
    </row>
    <row r="1553" spans="1:31">
      <c r="A1553" s="9"/>
      <c r="B1553" s="9"/>
      <c r="C1553" s="9"/>
      <c r="D1553" s="9"/>
      <c r="E1553" s="9"/>
      <c r="G1553" s="9"/>
      <c r="I1553" s="9"/>
      <c r="M1553" s="9"/>
      <c r="N1553" s="9"/>
      <c r="O1553" s="9"/>
      <c r="Q1553" s="9"/>
      <c r="S1553" s="9"/>
      <c r="U1553" s="9"/>
      <c r="W1553" s="9"/>
      <c r="AA1553" s="9"/>
      <c r="AB1553" s="9"/>
      <c r="AC1553" s="9"/>
      <c r="AE1553" s="9"/>
    </row>
    <row r="1554" spans="1:31">
      <c r="A1554" s="9"/>
      <c r="B1554" s="9"/>
      <c r="C1554" s="9"/>
      <c r="D1554" s="9"/>
      <c r="E1554" s="9"/>
      <c r="G1554" s="9"/>
      <c r="I1554" s="9"/>
      <c r="M1554" s="9"/>
      <c r="N1554" s="9"/>
      <c r="O1554" s="9"/>
      <c r="Q1554" s="9"/>
      <c r="S1554" s="9"/>
      <c r="U1554" s="9"/>
      <c r="W1554" s="9"/>
      <c r="AA1554" s="9"/>
      <c r="AB1554" s="9"/>
      <c r="AC1554" s="9"/>
      <c r="AE1554" s="9"/>
    </row>
    <row r="1555" spans="1:31">
      <c r="A1555" s="9"/>
      <c r="B1555" s="9"/>
      <c r="C1555" s="9"/>
      <c r="D1555" s="9"/>
      <c r="E1555" s="9"/>
      <c r="G1555" s="9"/>
      <c r="I1555" s="9"/>
      <c r="M1555" s="9"/>
      <c r="N1555" s="9"/>
      <c r="O1555" s="9"/>
      <c r="Q1555" s="9"/>
      <c r="S1555" s="9"/>
      <c r="U1555" s="9"/>
      <c r="W1555" s="9"/>
      <c r="AA1555" s="9"/>
      <c r="AB1555" s="9"/>
      <c r="AC1555" s="9"/>
      <c r="AE1555" s="9"/>
    </row>
    <row r="1556" spans="1:31">
      <c r="A1556" s="9"/>
      <c r="B1556" s="9"/>
      <c r="C1556" s="9"/>
      <c r="D1556" s="9"/>
      <c r="E1556" s="9"/>
      <c r="G1556" s="9"/>
      <c r="I1556" s="9"/>
      <c r="M1556" s="9"/>
      <c r="N1556" s="9"/>
      <c r="O1556" s="9"/>
      <c r="Q1556" s="9"/>
      <c r="S1556" s="9"/>
      <c r="U1556" s="9"/>
      <c r="W1556" s="9"/>
      <c r="AA1556" s="9"/>
      <c r="AB1556" s="9"/>
      <c r="AC1556" s="9"/>
      <c r="AE1556" s="9"/>
    </row>
  </sheetData>
  <mergeCells count="1">
    <mergeCell ref="H4:I4"/>
  </mergeCells>
  <conditionalFormatting sqref="AG598:AG600 Y598:Y600 W598:W600 S598:S600 K598:K600 I598:I600 AG162:AG176 Y162:Y176 W162:W176 S162:S176 K162:K176 I162:I176 I155:I160 K155:K160 S155:S160 W155:W160 Y155:Y160 AG155:AG160 I203:I231 K203:K231 S203:S231 W203:W231 Y203:Y231 AG203:AG231 S581:S596 AG581:AG596 I581:I596 K581:K596 W581:W596 Y581:Y596">
    <cfRule type="expression" dxfId="877" priority="937">
      <formula>AND(H155=0,(I155&gt;0))</formula>
    </cfRule>
    <cfRule type="expression" dxfId="876" priority="938">
      <formula>((I155-H155)/H155)&gt;0.05</formula>
    </cfRule>
  </conditionalFormatting>
  <conditionalFormatting sqref="AC598:AE600 O598:Q600 AC162:AE176 O162:Q176 O155:Q160 AC155:AE160 O203:Q231 AC203:AE231 O581:Q596 AC581:AE596">
    <cfRule type="expression" dxfId="875" priority="935">
      <formula>AND(L155=0,(O155&gt;0))</formula>
    </cfRule>
    <cfRule type="expression" dxfId="874" priority="936">
      <formula>((O155-L155)/L155)&gt;0.05</formula>
    </cfRule>
  </conditionalFormatting>
  <conditionalFormatting sqref="I255">
    <cfRule type="expression" dxfId="873" priority="933">
      <formula>AND(H255=0,(I255&gt;0))</formula>
    </cfRule>
    <cfRule type="expression" dxfId="872" priority="934">
      <formula>((I255-H255)/H255)&gt;0.05</formula>
    </cfRule>
  </conditionalFormatting>
  <conditionalFormatting sqref="O255:Q255">
    <cfRule type="expression" dxfId="871" priority="931">
      <formula>AND(L255=0,(O255&gt;0))</formula>
    </cfRule>
    <cfRule type="expression" dxfId="870" priority="932">
      <formula>((O255-L255)/L255)&gt;0.05</formula>
    </cfRule>
  </conditionalFormatting>
  <conditionalFormatting sqref="I256:I264">
    <cfRule type="expression" dxfId="869" priority="929">
      <formula>AND(H256=0,(I256&gt;0))</formula>
    </cfRule>
    <cfRule type="expression" dxfId="868" priority="930">
      <formula>((I256-H256)/H256)&gt;0.05</formula>
    </cfRule>
  </conditionalFormatting>
  <conditionalFormatting sqref="O256:Q264">
    <cfRule type="expression" dxfId="867" priority="927">
      <formula>AND(L256=0,(O256&gt;0))</formula>
    </cfRule>
    <cfRule type="expression" dxfId="866" priority="928">
      <formula>((O256-L256)/L256)&gt;0.05</formula>
    </cfRule>
  </conditionalFormatting>
  <conditionalFormatting sqref="I265:I269">
    <cfRule type="expression" dxfId="865" priority="925">
      <formula>AND(H265=0,(I265&gt;0))</formula>
    </cfRule>
    <cfRule type="expression" dxfId="864" priority="926">
      <formula>((I265-H265)/H265)&gt;0.05</formula>
    </cfRule>
  </conditionalFormatting>
  <conditionalFormatting sqref="O265:Q269">
    <cfRule type="expression" dxfId="863" priority="923">
      <formula>AND(L265=0,(O265&gt;0))</formula>
    </cfRule>
    <cfRule type="expression" dxfId="862" priority="924">
      <formula>((O265-L265)/L265)&gt;0.05</formula>
    </cfRule>
  </conditionalFormatting>
  <conditionalFormatting sqref="K255">
    <cfRule type="expression" dxfId="861" priority="921">
      <formula>AND(J255=0,(K255&gt;0))</formula>
    </cfRule>
    <cfRule type="expression" dxfId="860" priority="922">
      <formula>((K255-J255)/J255)&gt;0.05</formula>
    </cfRule>
  </conditionalFormatting>
  <conditionalFormatting sqref="K256:K264">
    <cfRule type="expression" dxfId="859" priority="919">
      <formula>AND(J256=0,(K256&gt;0))</formula>
    </cfRule>
    <cfRule type="expression" dxfId="858" priority="920">
      <formula>((K256-J256)/J256)&gt;0.05</formula>
    </cfRule>
  </conditionalFormatting>
  <conditionalFormatting sqref="K265:K269">
    <cfRule type="expression" dxfId="857" priority="917">
      <formula>AND(J265=0,(K265&gt;0))</formula>
    </cfRule>
    <cfRule type="expression" dxfId="856" priority="918">
      <formula>((K265-J265)/J265)&gt;0.05</formula>
    </cfRule>
  </conditionalFormatting>
  <conditionalFormatting sqref="S255">
    <cfRule type="expression" dxfId="855" priority="915">
      <formula>AND(R255=0,(S255&gt;0))</formula>
    </cfRule>
    <cfRule type="expression" dxfId="854" priority="916">
      <formula>((S255-R255)/R255)&gt;0.05</formula>
    </cfRule>
  </conditionalFormatting>
  <conditionalFormatting sqref="S256:S264">
    <cfRule type="expression" dxfId="853" priority="913">
      <formula>AND(R256=0,(S256&gt;0))</formula>
    </cfRule>
    <cfRule type="expression" dxfId="852" priority="914">
      <formula>((S256-R256)/R256)&gt;0.05</formula>
    </cfRule>
  </conditionalFormatting>
  <conditionalFormatting sqref="S265:S269">
    <cfRule type="expression" dxfId="851" priority="911">
      <formula>AND(R265=0,(S265&gt;0))</formula>
    </cfRule>
    <cfRule type="expression" dxfId="850" priority="912">
      <formula>((S265-R265)/R265)&gt;0.05</formula>
    </cfRule>
  </conditionalFormatting>
  <conditionalFormatting sqref="W255">
    <cfRule type="expression" dxfId="849" priority="909">
      <formula>AND(V255=0,(W255&gt;0))</formula>
    </cfRule>
    <cfRule type="expression" dxfId="848" priority="910">
      <formula>((W255-V255)/V255)&gt;0.05</formula>
    </cfRule>
  </conditionalFormatting>
  <conditionalFormatting sqref="W256:W264">
    <cfRule type="expression" dxfId="847" priority="907">
      <formula>AND(V256=0,(W256&gt;0))</formula>
    </cfRule>
    <cfRule type="expression" dxfId="846" priority="908">
      <formula>((W256-V256)/V256)&gt;0.05</formula>
    </cfRule>
  </conditionalFormatting>
  <conditionalFormatting sqref="W265:W269">
    <cfRule type="expression" dxfId="845" priority="905">
      <formula>AND(V265=0,(W265&gt;0))</formula>
    </cfRule>
    <cfRule type="expression" dxfId="844" priority="906">
      <formula>((W265-V265)/V265)&gt;0.05</formula>
    </cfRule>
  </conditionalFormatting>
  <conditionalFormatting sqref="Y255">
    <cfRule type="expression" dxfId="843" priority="903">
      <formula>AND(X255=0,(Y255&gt;0))</formula>
    </cfRule>
    <cfRule type="expression" dxfId="842" priority="904">
      <formula>((Y255-X255)/X255)&gt;0.05</formula>
    </cfRule>
  </conditionalFormatting>
  <conditionalFormatting sqref="Y256:Y264">
    <cfRule type="expression" dxfId="841" priority="901">
      <formula>AND(X256=0,(Y256&gt;0))</formula>
    </cfRule>
    <cfRule type="expression" dxfId="840" priority="902">
      <formula>((Y256-X256)/X256)&gt;0.05</formula>
    </cfRule>
  </conditionalFormatting>
  <conditionalFormatting sqref="Y265:Y269">
    <cfRule type="expression" dxfId="839" priority="899">
      <formula>AND(X265=0,(Y265&gt;0))</formula>
    </cfRule>
    <cfRule type="expression" dxfId="838" priority="900">
      <formula>((Y265-X265)/X265)&gt;0.05</formula>
    </cfRule>
  </conditionalFormatting>
  <conditionalFormatting sqref="AG255">
    <cfRule type="expression" dxfId="837" priority="897">
      <formula>AND(AF255=0,(AG255&gt;0))</formula>
    </cfRule>
    <cfRule type="expression" dxfId="836" priority="898">
      <formula>((AG255-AF255)/AF255)&gt;0.05</formula>
    </cfRule>
  </conditionalFormatting>
  <conditionalFormatting sqref="AG256:AG264">
    <cfRule type="expression" dxfId="835" priority="895">
      <formula>AND(AF256=0,(AG256&gt;0))</formula>
    </cfRule>
    <cfRule type="expression" dxfId="834" priority="896">
      <formula>((AG256-AF256)/AF256)&gt;0.05</formula>
    </cfRule>
  </conditionalFormatting>
  <conditionalFormatting sqref="AG265:AG269">
    <cfRule type="expression" dxfId="833" priority="893">
      <formula>AND(AF265=0,(AG265&gt;0))</formula>
    </cfRule>
    <cfRule type="expression" dxfId="832" priority="894">
      <formula>((AG265-AF265)/AF265)&gt;0.05</formula>
    </cfRule>
  </conditionalFormatting>
  <conditionalFormatting sqref="AC255:AE255">
    <cfRule type="expression" dxfId="831" priority="891">
      <formula>AND(Z255=0,(AC255&gt;0))</formula>
    </cfRule>
    <cfRule type="expression" dxfId="830" priority="892">
      <formula>((AC255-Z255)/Z255)&gt;0.05</formula>
    </cfRule>
  </conditionalFormatting>
  <conditionalFormatting sqref="AC256:AE264">
    <cfRule type="expression" dxfId="829" priority="889">
      <formula>AND(Z256=0,(AC256&gt;0))</formula>
    </cfRule>
    <cfRule type="expression" dxfId="828" priority="890">
      <formula>((AC256-Z256)/Z256)&gt;0.05</formula>
    </cfRule>
  </conditionalFormatting>
  <conditionalFormatting sqref="AC265:AE269">
    <cfRule type="expression" dxfId="827" priority="887">
      <formula>AND(Z265=0,(AC265&gt;0))</formula>
    </cfRule>
    <cfRule type="expression" dxfId="826" priority="888">
      <formula>((AC265-Z265)/Z265)&gt;0.05</formula>
    </cfRule>
  </conditionalFormatting>
  <conditionalFormatting sqref="O63">
    <cfRule type="expression" dxfId="825" priority="841">
      <formula>AND(L63=0,(O63&gt;0))</formula>
    </cfRule>
    <cfRule type="expression" dxfId="824" priority="842">
      <formula>((O63-L63)/L63)&gt;0.05</formula>
    </cfRule>
  </conditionalFormatting>
  <conditionalFormatting sqref="P77">
    <cfRule type="expression" dxfId="823" priority="837">
      <formula>AND(M77=0,(P77&gt;0))</formula>
    </cfRule>
    <cfRule type="expression" dxfId="822" priority="838">
      <formula>((P77-M77)/M77)&gt;0.05</formula>
    </cfRule>
  </conditionalFormatting>
  <conditionalFormatting sqref="I47">
    <cfRule type="expression" dxfId="821" priority="885">
      <formula>AND(H47=0,(I47&gt;0))</formula>
    </cfRule>
    <cfRule type="expression" dxfId="820" priority="886">
      <formula>((I47-H47)/H47)&gt;0.05</formula>
    </cfRule>
  </conditionalFormatting>
  <conditionalFormatting sqref="O47">
    <cfRule type="expression" dxfId="819" priority="883">
      <formula>AND(L47=0,(O47&gt;0))</formula>
    </cfRule>
    <cfRule type="expression" dxfId="818" priority="884">
      <formula>((O47-L47)/L47)&gt;0.05</formula>
    </cfRule>
  </conditionalFormatting>
  <conditionalFormatting sqref="P47">
    <cfRule type="expression" dxfId="817" priority="881">
      <formula>AND(M47=0,(P47&gt;0))</formula>
    </cfRule>
    <cfRule type="expression" dxfId="816" priority="882">
      <formula>((P47-M47)/M47)&gt;0.05</formula>
    </cfRule>
  </conditionalFormatting>
  <conditionalFormatting sqref="Q47">
    <cfRule type="expression" dxfId="815" priority="879">
      <formula>AND(N47=0,(Q47&gt;0))</formula>
    </cfRule>
    <cfRule type="expression" dxfId="814" priority="880">
      <formula>((Q47-N47)/N47)&gt;0.05</formula>
    </cfRule>
  </conditionalFormatting>
  <conditionalFormatting sqref="I58:I62 I48:I56 I64:I71">
    <cfRule type="expression" dxfId="813" priority="877">
      <formula>AND(H48=0,(I48&gt;0))</formula>
    </cfRule>
    <cfRule type="expression" dxfId="812" priority="878">
      <formula>((I48-H48)/H48)&gt;0.05</formula>
    </cfRule>
  </conditionalFormatting>
  <conditionalFormatting sqref="O58:O62 O48:O56 O64:O71">
    <cfRule type="expression" dxfId="811" priority="875">
      <formula>AND(L48=0,(O48&gt;0))</formula>
    </cfRule>
    <cfRule type="expression" dxfId="810" priority="876">
      <formula>((O48-L48)/L48)&gt;0.05</formula>
    </cfRule>
  </conditionalFormatting>
  <conditionalFormatting sqref="P58:P71 P48:P56">
    <cfRule type="expression" dxfId="809" priority="873">
      <formula>AND(M48=0,(P48&gt;0))</formula>
    </cfRule>
    <cfRule type="expression" dxfId="808" priority="874">
      <formula>((P48-M48)/M48)&gt;0.05</formula>
    </cfRule>
  </conditionalFormatting>
  <conditionalFormatting sqref="Q48:Q79">
    <cfRule type="expression" dxfId="807" priority="871">
      <formula>AND(N48=0,(Q48&gt;0))</formula>
    </cfRule>
    <cfRule type="expression" dxfId="806" priority="872">
      <formula>((Q48-N48)/N48)&gt;0.05</formula>
    </cfRule>
  </conditionalFormatting>
  <conditionalFormatting sqref="I57">
    <cfRule type="expression" dxfId="805" priority="869">
      <formula>AND(H57=0,(I57&gt;0))</formula>
    </cfRule>
    <cfRule type="expression" dxfId="804" priority="870">
      <formula>((I57-H57)/H57)&gt;0.05</formula>
    </cfRule>
  </conditionalFormatting>
  <conditionalFormatting sqref="O57">
    <cfRule type="expression" dxfId="803" priority="867">
      <formula>AND(L57=0,(O57&gt;0))</formula>
    </cfRule>
    <cfRule type="expression" dxfId="802" priority="868">
      <formula>((O57-L57)/L57)&gt;0.05</formula>
    </cfRule>
  </conditionalFormatting>
  <conditionalFormatting sqref="P57">
    <cfRule type="expression" dxfId="801" priority="865">
      <formula>AND(M57=0,(P57&gt;0))</formula>
    </cfRule>
    <cfRule type="expression" dxfId="800" priority="866">
      <formula>((P57-M57)/M57)&gt;0.05</formula>
    </cfRule>
  </conditionalFormatting>
  <conditionalFormatting sqref="Q57">
    <cfRule type="expression" dxfId="799" priority="863">
      <formula>AND(N57=0,(Q57&gt;0))</formula>
    </cfRule>
    <cfRule type="expression" dxfId="798" priority="864">
      <formula>((Q57-N57)/N57)&gt;0.05</formula>
    </cfRule>
  </conditionalFormatting>
  <conditionalFormatting sqref="I72">
    <cfRule type="expression" dxfId="797" priority="861">
      <formula>AND(H72=0,(I72&gt;0))</formula>
    </cfRule>
    <cfRule type="expression" dxfId="796" priority="862">
      <formula>((I72-H72)/H72)&gt;0.05</formula>
    </cfRule>
  </conditionalFormatting>
  <conditionalFormatting sqref="O72">
    <cfRule type="expression" dxfId="795" priority="859">
      <formula>AND(L72=0,(O72&gt;0))</formula>
    </cfRule>
    <cfRule type="expression" dxfId="794" priority="860">
      <formula>((O72-L72)/L72)&gt;0.05</formula>
    </cfRule>
  </conditionalFormatting>
  <conditionalFormatting sqref="P72">
    <cfRule type="expression" dxfId="793" priority="857">
      <formula>AND(M72=0,(P72&gt;0))</formula>
    </cfRule>
    <cfRule type="expression" dxfId="792" priority="858">
      <formula>((P72-M72)/M72)&gt;0.05</formula>
    </cfRule>
  </conditionalFormatting>
  <conditionalFormatting sqref="Q72">
    <cfRule type="expression" dxfId="791" priority="855">
      <formula>AND(N72=0,(Q72&gt;0))</formula>
    </cfRule>
    <cfRule type="expression" dxfId="790" priority="856">
      <formula>((Q72-N72)/N72)&gt;0.05</formula>
    </cfRule>
  </conditionalFormatting>
  <conditionalFormatting sqref="I73:I76 I78:I79">
    <cfRule type="expression" dxfId="789" priority="853">
      <formula>AND(H73=0,(I73&gt;0))</formula>
    </cfRule>
    <cfRule type="expression" dxfId="788" priority="854">
      <formula>((I73-H73)/H73)&gt;0.05</formula>
    </cfRule>
  </conditionalFormatting>
  <conditionalFormatting sqref="O73:O76 O78:O79">
    <cfRule type="expression" dxfId="787" priority="851">
      <formula>AND(L73=0,(O73&gt;0))</formula>
    </cfRule>
    <cfRule type="expression" dxfId="786" priority="852">
      <formula>((O73-L73)/L73)&gt;0.05</formula>
    </cfRule>
  </conditionalFormatting>
  <conditionalFormatting sqref="P73:P76 P78:P79">
    <cfRule type="expression" dxfId="785" priority="849">
      <formula>AND(M73=0,(P73&gt;0))</formula>
    </cfRule>
    <cfRule type="expression" dxfId="784" priority="850">
      <formula>((P73-M73)/M73)&gt;0.05</formula>
    </cfRule>
  </conditionalFormatting>
  <conditionalFormatting sqref="Q73:Q79">
    <cfRule type="expression" dxfId="783" priority="847">
      <formula>AND(N73=0,(Q73&gt;0))</formula>
    </cfRule>
    <cfRule type="expression" dxfId="782" priority="848">
      <formula>((Q73-N73)/N73)&gt;0.05</formula>
    </cfRule>
  </conditionalFormatting>
  <conditionalFormatting sqref="I63">
    <cfRule type="expression" dxfId="781" priority="845">
      <formula>AND(H63=0,(I63&gt;0))</formula>
    </cfRule>
    <cfRule type="expression" dxfId="780" priority="846">
      <formula>((I63-H63)/H63)&gt;0.05</formula>
    </cfRule>
  </conditionalFormatting>
  <conditionalFormatting sqref="I77">
    <cfRule type="expression" dxfId="779" priority="843">
      <formula>AND(H77=0,(I77&gt;0))</formula>
    </cfRule>
    <cfRule type="expression" dxfId="778" priority="844">
      <formula>((I77-H77)/H77)&gt;0.05</formula>
    </cfRule>
  </conditionalFormatting>
  <conditionalFormatting sqref="O77">
    <cfRule type="expression" dxfId="777" priority="839">
      <formula>AND(L77=0,(O77&gt;0))</formula>
    </cfRule>
    <cfRule type="expression" dxfId="776" priority="840">
      <formula>((O77-L77)/L77)&gt;0.05</formula>
    </cfRule>
  </conditionalFormatting>
  <conditionalFormatting sqref="K47">
    <cfRule type="expression" dxfId="775" priority="835">
      <formula>AND(J47=0,(K47&gt;0))</formula>
    </cfRule>
    <cfRule type="expression" dxfId="774" priority="836">
      <formula>((K47-J47)/J47)&gt;0.05</formula>
    </cfRule>
  </conditionalFormatting>
  <conditionalFormatting sqref="K58:K62 K48:K56 K64:K71">
    <cfRule type="expression" dxfId="773" priority="833">
      <formula>AND(J48=0,(K48&gt;0))</formula>
    </cfRule>
    <cfRule type="expression" dxfId="772" priority="834">
      <formula>((K48-J48)/J48)&gt;0.05</formula>
    </cfRule>
  </conditionalFormatting>
  <conditionalFormatting sqref="K57">
    <cfRule type="expression" dxfId="771" priority="831">
      <formula>AND(J57=0,(K57&gt;0))</formula>
    </cfRule>
    <cfRule type="expression" dxfId="770" priority="832">
      <formula>((K57-J57)/J57)&gt;0.05</formula>
    </cfRule>
  </conditionalFormatting>
  <conditionalFormatting sqref="K72">
    <cfRule type="expression" dxfId="769" priority="829">
      <formula>AND(J72=0,(K72&gt;0))</formula>
    </cfRule>
    <cfRule type="expression" dxfId="768" priority="830">
      <formula>((K72-J72)/J72)&gt;0.05</formula>
    </cfRule>
  </conditionalFormatting>
  <conditionalFormatting sqref="K73:K76 K78:K79">
    <cfRule type="expression" dxfId="767" priority="827">
      <formula>AND(J73=0,(K73&gt;0))</formula>
    </cfRule>
    <cfRule type="expression" dxfId="766" priority="828">
      <formula>((K73-J73)/J73)&gt;0.05</formula>
    </cfRule>
  </conditionalFormatting>
  <conditionalFormatting sqref="K63">
    <cfRule type="expression" dxfId="765" priority="825">
      <formula>AND(J63=0,(K63&gt;0))</formula>
    </cfRule>
    <cfRule type="expression" dxfId="764" priority="826">
      <formula>((K63-J63)/J63)&gt;0.05</formula>
    </cfRule>
  </conditionalFormatting>
  <conditionalFormatting sqref="K77">
    <cfRule type="expression" dxfId="763" priority="823">
      <formula>AND(J77=0,(K77&gt;0))</formula>
    </cfRule>
    <cfRule type="expression" dxfId="762" priority="824">
      <formula>((K77-J77)/J77)&gt;0.05</formula>
    </cfRule>
  </conditionalFormatting>
  <conditionalFormatting sqref="S47">
    <cfRule type="expression" dxfId="761" priority="821">
      <formula>AND(R47=0,(S47&gt;0))</formula>
    </cfRule>
    <cfRule type="expression" dxfId="760" priority="822">
      <formula>((S47-R47)/R47)&gt;0.05</formula>
    </cfRule>
  </conditionalFormatting>
  <conditionalFormatting sqref="S58:S62 S48:S56 S64:S71">
    <cfRule type="expression" dxfId="759" priority="819">
      <formula>AND(R48=0,(S48&gt;0))</formula>
    </cfRule>
    <cfRule type="expression" dxfId="758" priority="820">
      <formula>((S48-R48)/R48)&gt;0.05</formula>
    </cfRule>
  </conditionalFormatting>
  <conditionalFormatting sqref="S57">
    <cfRule type="expression" dxfId="757" priority="817">
      <formula>AND(R57=0,(S57&gt;0))</formula>
    </cfRule>
    <cfRule type="expression" dxfId="756" priority="818">
      <formula>((S57-R57)/R57)&gt;0.05</formula>
    </cfRule>
  </conditionalFormatting>
  <conditionalFormatting sqref="S72">
    <cfRule type="expression" dxfId="755" priority="815">
      <formula>AND(R72=0,(S72&gt;0))</formula>
    </cfRule>
    <cfRule type="expression" dxfId="754" priority="816">
      <formula>((S72-R72)/R72)&gt;0.05</formula>
    </cfRule>
  </conditionalFormatting>
  <conditionalFormatting sqref="S73:S76 S78:S79">
    <cfRule type="expression" dxfId="753" priority="813">
      <formula>AND(R73=0,(S73&gt;0))</formula>
    </cfRule>
    <cfRule type="expression" dxfId="752" priority="814">
      <formula>((S73-R73)/R73)&gt;0.05</formula>
    </cfRule>
  </conditionalFormatting>
  <conditionalFormatting sqref="S63">
    <cfRule type="expression" dxfId="751" priority="811">
      <formula>AND(R63=0,(S63&gt;0))</formula>
    </cfRule>
    <cfRule type="expression" dxfId="750" priority="812">
      <formula>((S63-R63)/R63)&gt;0.05</formula>
    </cfRule>
  </conditionalFormatting>
  <conditionalFormatting sqref="S77">
    <cfRule type="expression" dxfId="749" priority="809">
      <formula>AND(R77=0,(S77&gt;0))</formula>
    </cfRule>
    <cfRule type="expression" dxfId="748" priority="810">
      <formula>((S77-R77)/R77)&gt;0.05</formula>
    </cfRule>
  </conditionalFormatting>
  <conditionalFormatting sqref="W47">
    <cfRule type="expression" dxfId="747" priority="807">
      <formula>AND(V47=0,(W47&gt;0))</formula>
    </cfRule>
    <cfRule type="expression" dxfId="746" priority="808">
      <formula>((W47-V47)/V47)&gt;0.05</formula>
    </cfRule>
  </conditionalFormatting>
  <conditionalFormatting sqref="W58:W62 W48:W56 W64:W71">
    <cfRule type="expression" dxfId="745" priority="805">
      <formula>AND(V48=0,(W48&gt;0))</formula>
    </cfRule>
    <cfRule type="expression" dxfId="744" priority="806">
      <formula>((W48-V48)/V48)&gt;0.05</formula>
    </cfRule>
  </conditionalFormatting>
  <conditionalFormatting sqref="W57">
    <cfRule type="expression" dxfId="743" priority="803">
      <formula>AND(V57=0,(W57&gt;0))</formula>
    </cfRule>
    <cfRule type="expression" dxfId="742" priority="804">
      <formula>((W57-V57)/V57)&gt;0.05</formula>
    </cfRule>
  </conditionalFormatting>
  <conditionalFormatting sqref="W72">
    <cfRule type="expression" dxfId="741" priority="801">
      <formula>AND(V72=0,(W72&gt;0))</formula>
    </cfRule>
    <cfRule type="expression" dxfId="740" priority="802">
      <formula>((W72-V72)/V72)&gt;0.05</formula>
    </cfRule>
  </conditionalFormatting>
  <conditionalFormatting sqref="W73:W76 W78:W79">
    <cfRule type="expression" dxfId="739" priority="799">
      <formula>AND(V73=0,(W73&gt;0))</formula>
    </cfRule>
    <cfRule type="expression" dxfId="738" priority="800">
      <formula>((W73-V73)/V73)&gt;0.05</formula>
    </cfRule>
  </conditionalFormatting>
  <conditionalFormatting sqref="W63">
    <cfRule type="expression" dxfId="737" priority="797">
      <formula>AND(V63=0,(W63&gt;0))</formula>
    </cfRule>
    <cfRule type="expression" dxfId="736" priority="798">
      <formula>((W63-V63)/V63)&gt;0.05</formula>
    </cfRule>
  </conditionalFormatting>
  <conditionalFormatting sqref="W77">
    <cfRule type="expression" dxfId="735" priority="795">
      <formula>AND(V77=0,(W77&gt;0))</formula>
    </cfRule>
    <cfRule type="expression" dxfId="734" priority="796">
      <formula>((W77-V77)/V77)&gt;0.05</formula>
    </cfRule>
  </conditionalFormatting>
  <conditionalFormatting sqref="Y47">
    <cfRule type="expression" dxfId="733" priority="793">
      <formula>AND(X47=0,(Y47&gt;0))</formula>
    </cfRule>
    <cfRule type="expression" dxfId="732" priority="794">
      <formula>((Y47-X47)/X47)&gt;0.05</formula>
    </cfRule>
  </conditionalFormatting>
  <conditionalFormatting sqref="Y58:Y62 Y48:Y56 Y64:Y71">
    <cfRule type="expression" dxfId="731" priority="791">
      <formula>AND(X48=0,(Y48&gt;0))</formula>
    </cfRule>
    <cfRule type="expression" dxfId="730" priority="792">
      <formula>((Y48-X48)/X48)&gt;0.05</formula>
    </cfRule>
  </conditionalFormatting>
  <conditionalFormatting sqref="Y57">
    <cfRule type="expression" dxfId="729" priority="789">
      <formula>AND(X57=0,(Y57&gt;0))</formula>
    </cfRule>
    <cfRule type="expression" dxfId="728" priority="790">
      <formula>((Y57-X57)/X57)&gt;0.05</formula>
    </cfRule>
  </conditionalFormatting>
  <conditionalFormatting sqref="Y72">
    <cfRule type="expression" dxfId="727" priority="787">
      <formula>AND(X72=0,(Y72&gt;0))</formula>
    </cfRule>
    <cfRule type="expression" dxfId="726" priority="788">
      <formula>((Y72-X72)/X72)&gt;0.05</formula>
    </cfRule>
  </conditionalFormatting>
  <conditionalFormatting sqref="Y73:Y76 Y78:Y79">
    <cfRule type="expression" dxfId="725" priority="785">
      <formula>AND(X73=0,(Y73&gt;0))</formula>
    </cfRule>
    <cfRule type="expression" dxfId="724" priority="786">
      <formula>((Y73-X73)/X73)&gt;0.05</formula>
    </cfRule>
  </conditionalFormatting>
  <conditionalFormatting sqref="Y63">
    <cfRule type="expression" dxfId="723" priority="783">
      <formula>AND(X63=0,(Y63&gt;0))</formula>
    </cfRule>
    <cfRule type="expression" dxfId="722" priority="784">
      <formula>((Y63-X63)/X63)&gt;0.05</formula>
    </cfRule>
  </conditionalFormatting>
  <conditionalFormatting sqref="Y77">
    <cfRule type="expression" dxfId="721" priority="781">
      <formula>AND(X77=0,(Y77&gt;0))</formula>
    </cfRule>
    <cfRule type="expression" dxfId="720" priority="782">
      <formula>((Y77-X77)/X77)&gt;0.05</formula>
    </cfRule>
  </conditionalFormatting>
  <conditionalFormatting sqref="AG47">
    <cfRule type="expression" dxfId="719" priority="779">
      <formula>AND(AF47=0,(AG47&gt;0))</formula>
    </cfRule>
    <cfRule type="expression" dxfId="718" priority="780">
      <formula>((AG47-AF47)/AF47)&gt;0.05</formula>
    </cfRule>
  </conditionalFormatting>
  <conditionalFormatting sqref="AG58:AG62 AG48:AG56 AG64:AG71">
    <cfRule type="expression" dxfId="717" priority="777">
      <formula>AND(AF48=0,(AG48&gt;0))</formula>
    </cfRule>
    <cfRule type="expression" dxfId="716" priority="778">
      <formula>((AG48-AF48)/AF48)&gt;0.05</formula>
    </cfRule>
  </conditionalFormatting>
  <conditionalFormatting sqref="AG57">
    <cfRule type="expression" dxfId="715" priority="775">
      <formula>AND(AF57=0,(AG57&gt;0))</formula>
    </cfRule>
    <cfRule type="expression" dxfId="714" priority="776">
      <formula>((AG57-AF57)/AF57)&gt;0.05</formula>
    </cfRule>
  </conditionalFormatting>
  <conditionalFormatting sqref="AG72">
    <cfRule type="expression" dxfId="713" priority="773">
      <formula>AND(AF72=0,(AG72&gt;0))</formula>
    </cfRule>
    <cfRule type="expression" dxfId="712" priority="774">
      <formula>((AG72-AF72)/AF72)&gt;0.05</formula>
    </cfRule>
  </conditionalFormatting>
  <conditionalFormatting sqref="AG73:AG76 AG78:AG79">
    <cfRule type="expression" dxfId="711" priority="771">
      <formula>AND(AF73=0,(AG73&gt;0))</formula>
    </cfRule>
    <cfRule type="expression" dxfId="710" priority="772">
      <formula>((AG73-AF73)/AF73)&gt;0.05</formula>
    </cfRule>
  </conditionalFormatting>
  <conditionalFormatting sqref="AG63">
    <cfRule type="expression" dxfId="709" priority="769">
      <formula>AND(AF63=0,(AG63&gt;0))</formula>
    </cfRule>
    <cfRule type="expression" dxfId="708" priority="770">
      <formula>((AG63-AF63)/AF63)&gt;0.05</formula>
    </cfRule>
  </conditionalFormatting>
  <conditionalFormatting sqref="AG77">
    <cfRule type="expression" dxfId="707" priority="767">
      <formula>AND(AF77=0,(AG77&gt;0))</formula>
    </cfRule>
    <cfRule type="expression" dxfId="706" priority="768">
      <formula>((AG77-AF77)/AF77)&gt;0.05</formula>
    </cfRule>
  </conditionalFormatting>
  <conditionalFormatting sqref="AC63">
    <cfRule type="expression" dxfId="705" priority="735">
      <formula>AND(Z63=0,(AC63&gt;0))</formula>
    </cfRule>
    <cfRule type="expression" dxfId="704" priority="736">
      <formula>((AC63-Z63)/Z63)&gt;0.05</formula>
    </cfRule>
  </conditionalFormatting>
  <conditionalFormatting sqref="AD77">
    <cfRule type="expression" dxfId="703" priority="731">
      <formula>AND(AA77=0,(AD77&gt;0))</formula>
    </cfRule>
    <cfRule type="expression" dxfId="702" priority="732">
      <formula>((AD77-AA77)/AA77)&gt;0.05</formula>
    </cfRule>
  </conditionalFormatting>
  <conditionalFormatting sqref="AC47">
    <cfRule type="expression" dxfId="701" priority="765">
      <formula>AND(Z47=0,(AC47&gt;0))</formula>
    </cfRule>
    <cfRule type="expression" dxfId="700" priority="766">
      <formula>((AC47-Z47)/Z47)&gt;0.05</formula>
    </cfRule>
  </conditionalFormatting>
  <conditionalFormatting sqref="AD47">
    <cfRule type="expression" dxfId="699" priority="763">
      <formula>AND(AA47=0,(AD47&gt;0))</formula>
    </cfRule>
    <cfRule type="expression" dxfId="698" priority="764">
      <formula>((AD47-AA47)/AA47)&gt;0.05</formula>
    </cfRule>
  </conditionalFormatting>
  <conditionalFormatting sqref="AE47">
    <cfRule type="expression" dxfId="697" priority="761">
      <formula>AND(AB47=0,(AE47&gt;0))</formula>
    </cfRule>
    <cfRule type="expression" dxfId="696" priority="762">
      <formula>((AE47-AB47)/AB47)&gt;0.05</formula>
    </cfRule>
  </conditionalFormatting>
  <conditionalFormatting sqref="AC58:AC62 AC48:AC56 AC64:AC71">
    <cfRule type="expression" dxfId="695" priority="759">
      <formula>AND(Z48=0,(AC48&gt;0))</formula>
    </cfRule>
    <cfRule type="expression" dxfId="694" priority="760">
      <formula>((AC48-Z48)/Z48)&gt;0.05</formula>
    </cfRule>
  </conditionalFormatting>
  <conditionalFormatting sqref="AD58:AD71 AD48:AD56">
    <cfRule type="expression" dxfId="693" priority="757">
      <formula>AND(AA48=0,(AD48&gt;0))</formula>
    </cfRule>
    <cfRule type="expression" dxfId="692" priority="758">
      <formula>((AD48-AA48)/AA48)&gt;0.05</formula>
    </cfRule>
  </conditionalFormatting>
  <conditionalFormatting sqref="AE48:AE79">
    <cfRule type="expression" dxfId="691" priority="755">
      <formula>AND(AB48=0,(AE48&gt;0))</formula>
    </cfRule>
    <cfRule type="expression" dxfId="690" priority="756">
      <formula>((AE48-AB48)/AB48)&gt;0.05</formula>
    </cfRule>
  </conditionalFormatting>
  <conditionalFormatting sqref="AC57">
    <cfRule type="expression" dxfId="689" priority="753">
      <formula>AND(Z57=0,(AC57&gt;0))</formula>
    </cfRule>
    <cfRule type="expression" dxfId="688" priority="754">
      <formula>((AC57-Z57)/Z57)&gt;0.05</formula>
    </cfRule>
  </conditionalFormatting>
  <conditionalFormatting sqref="AD57">
    <cfRule type="expression" dxfId="687" priority="751">
      <formula>AND(AA57=0,(AD57&gt;0))</formula>
    </cfRule>
    <cfRule type="expression" dxfId="686" priority="752">
      <formula>((AD57-AA57)/AA57)&gt;0.05</formula>
    </cfRule>
  </conditionalFormatting>
  <conditionalFormatting sqref="AE57">
    <cfRule type="expression" dxfId="685" priority="749">
      <formula>AND(AB57=0,(AE57&gt;0))</formula>
    </cfRule>
    <cfRule type="expression" dxfId="684" priority="750">
      <formula>((AE57-AB57)/AB57)&gt;0.05</formula>
    </cfRule>
  </conditionalFormatting>
  <conditionalFormatting sqref="AC72">
    <cfRule type="expression" dxfId="683" priority="747">
      <formula>AND(Z72=0,(AC72&gt;0))</formula>
    </cfRule>
    <cfRule type="expression" dxfId="682" priority="748">
      <formula>((AC72-Z72)/Z72)&gt;0.05</formula>
    </cfRule>
  </conditionalFormatting>
  <conditionalFormatting sqref="AD72">
    <cfRule type="expression" dxfId="681" priority="745">
      <formula>AND(AA72=0,(AD72&gt;0))</formula>
    </cfRule>
    <cfRule type="expression" dxfId="680" priority="746">
      <formula>((AD72-AA72)/AA72)&gt;0.05</formula>
    </cfRule>
  </conditionalFormatting>
  <conditionalFormatting sqref="AE72">
    <cfRule type="expression" dxfId="679" priority="743">
      <formula>AND(AB72=0,(AE72&gt;0))</formula>
    </cfRule>
    <cfRule type="expression" dxfId="678" priority="744">
      <formula>((AE72-AB72)/AB72)&gt;0.05</formula>
    </cfRule>
  </conditionalFormatting>
  <conditionalFormatting sqref="AC73:AC76 AC78:AC79">
    <cfRule type="expression" dxfId="677" priority="741">
      <formula>AND(Z73=0,(AC73&gt;0))</formula>
    </cfRule>
    <cfRule type="expression" dxfId="676" priority="742">
      <formula>((AC73-Z73)/Z73)&gt;0.05</formula>
    </cfRule>
  </conditionalFormatting>
  <conditionalFormatting sqref="AD73:AD76 AD78:AD79">
    <cfRule type="expression" dxfId="675" priority="739">
      <formula>AND(AA73=0,(AD73&gt;0))</formula>
    </cfRule>
    <cfRule type="expression" dxfId="674" priority="740">
      <formula>((AD73-AA73)/AA73)&gt;0.05</formula>
    </cfRule>
  </conditionalFormatting>
  <conditionalFormatting sqref="AE73:AE79">
    <cfRule type="expression" dxfId="673" priority="737">
      <formula>AND(AB73=0,(AE73&gt;0))</formula>
    </cfRule>
    <cfRule type="expression" dxfId="672" priority="738">
      <formula>((AE73-AB73)/AB73)&gt;0.05</formula>
    </cfRule>
  </conditionalFormatting>
  <conditionalFormatting sqref="AC77">
    <cfRule type="expression" dxfId="671" priority="733">
      <formula>AND(Z77=0,(AC77&gt;0))</formula>
    </cfRule>
    <cfRule type="expression" dxfId="670" priority="734">
      <formula>((AC77-Z77)/Z77)&gt;0.05</formula>
    </cfRule>
  </conditionalFormatting>
  <conditionalFormatting sqref="I124:I154 K124:K154 S124:S154 W124:W154 Y124:Y154 AG124:AG154">
    <cfRule type="expression" dxfId="669" priority="729">
      <formula>AND(H124=0,(I124&gt;0))</formula>
    </cfRule>
    <cfRule type="expression" dxfId="668" priority="730">
      <formula>((I124-H124)/H124)&gt;0.05</formula>
    </cfRule>
  </conditionalFormatting>
  <conditionalFormatting sqref="O124:Q154 AC124:AE154">
    <cfRule type="expression" dxfId="667" priority="727">
      <formula>AND(L124=0,(O124&gt;0))</formula>
    </cfRule>
    <cfRule type="expression" dxfId="666" priority="728">
      <formula>((O124-L124)/L124)&gt;0.05</formula>
    </cfRule>
  </conditionalFormatting>
  <conditionalFormatting sqref="I427:I435">
    <cfRule type="expression" dxfId="665" priority="725">
      <formula>AND(H427=0,(I427&gt;0))</formula>
    </cfRule>
    <cfRule type="expression" dxfId="664" priority="726">
      <formula>((I427-H427)/H427)&gt;0.05</formula>
    </cfRule>
  </conditionalFormatting>
  <conditionalFormatting sqref="O427:Q435">
    <cfRule type="expression" dxfId="663" priority="723">
      <formula>AND(L427=0,(O427&gt;0))</formula>
    </cfRule>
    <cfRule type="expression" dxfId="662" priority="724">
      <formula>((O427-L427)/L427)&gt;0.05</formula>
    </cfRule>
  </conditionalFormatting>
  <conditionalFormatting sqref="I409:I426">
    <cfRule type="expression" dxfId="661" priority="721">
      <formula>AND(H409=0,(I409&gt;0))</formula>
    </cfRule>
    <cfRule type="expression" dxfId="660" priority="722">
      <formula>((I409-H409)/H409)&gt;0.05</formula>
    </cfRule>
  </conditionalFormatting>
  <conditionalFormatting sqref="O410:Q426">
    <cfRule type="expression" dxfId="659" priority="719">
      <formula>AND(L410=0,(O410&gt;0))</formula>
    </cfRule>
    <cfRule type="expression" dxfId="658" priority="720">
      <formula>((O410-L410)/L410)&gt;0.05</formula>
    </cfRule>
  </conditionalFormatting>
  <conditionalFormatting sqref="K427:K435">
    <cfRule type="expression" dxfId="657" priority="717">
      <formula>AND(J427=0,(K427&gt;0))</formula>
    </cfRule>
    <cfRule type="expression" dxfId="656" priority="718">
      <formula>((K427-J427)/J427)&gt;0.05</formula>
    </cfRule>
  </conditionalFormatting>
  <conditionalFormatting sqref="K409:K426">
    <cfRule type="expression" dxfId="655" priority="715">
      <formula>AND(J409=0,(K409&gt;0))</formula>
    </cfRule>
    <cfRule type="expression" dxfId="654" priority="716">
      <formula>((K409-J409)/J409)&gt;0.05</formula>
    </cfRule>
  </conditionalFormatting>
  <conditionalFormatting sqref="S427:S435">
    <cfRule type="expression" dxfId="653" priority="713">
      <formula>AND(R427=0,(S427&gt;0))</formula>
    </cfRule>
    <cfRule type="expression" dxfId="652" priority="714">
      <formula>((S427-R427)/R427)&gt;0.05</formula>
    </cfRule>
  </conditionalFormatting>
  <conditionalFormatting sqref="S411:S426">
    <cfRule type="expression" dxfId="651" priority="711">
      <formula>AND(R411=0,(S411&gt;0))</formula>
    </cfRule>
    <cfRule type="expression" dxfId="650" priority="712">
      <formula>((S411-R411)/R411)&gt;0.05</formula>
    </cfRule>
  </conditionalFormatting>
  <conditionalFormatting sqref="W427:W435 W387:W407">
    <cfRule type="expression" dxfId="649" priority="709">
      <formula>AND(V387=0,(W387&gt;0))</formula>
    </cfRule>
    <cfRule type="expression" dxfId="648" priority="710">
      <formula>((W387-V387)/V387)&gt;0.05</formula>
    </cfRule>
  </conditionalFormatting>
  <conditionalFormatting sqref="W408">
    <cfRule type="expression" dxfId="647" priority="707">
      <formula>AND(V408=0,(W408&gt;0))</formula>
    </cfRule>
    <cfRule type="expression" dxfId="646" priority="708">
      <formula>((W408-V408)/V408)&gt;0.05</formula>
    </cfRule>
  </conditionalFormatting>
  <conditionalFormatting sqref="W409:W426">
    <cfRule type="expression" dxfId="645" priority="705">
      <formula>AND(V409=0,(W409&gt;0))</formula>
    </cfRule>
    <cfRule type="expression" dxfId="644" priority="706">
      <formula>((W409-V409)/V409)&gt;0.05</formula>
    </cfRule>
  </conditionalFormatting>
  <conditionalFormatting sqref="Y427:Y435 Y387:Y407">
    <cfRule type="expression" dxfId="643" priority="703">
      <formula>AND(X387=0,(Y387&gt;0))</formula>
    </cfRule>
    <cfRule type="expression" dxfId="642" priority="704">
      <formula>((Y387-X387)/X387)&gt;0.05</formula>
    </cfRule>
  </conditionalFormatting>
  <conditionalFormatting sqref="Y408">
    <cfRule type="expression" dxfId="641" priority="701">
      <formula>AND(X408=0,(Y408&gt;0))</formula>
    </cfRule>
    <cfRule type="expression" dxfId="640" priority="702">
      <formula>((Y408-X408)/X408)&gt;0.05</formula>
    </cfRule>
  </conditionalFormatting>
  <conditionalFormatting sqref="Y409:Y426">
    <cfRule type="expression" dxfId="639" priority="699">
      <formula>AND(X409=0,(Y409&gt;0))</formula>
    </cfRule>
    <cfRule type="expression" dxfId="638" priority="700">
      <formula>((Y409-X409)/X409)&gt;0.05</formula>
    </cfRule>
  </conditionalFormatting>
  <conditionalFormatting sqref="AG427:AG435 AG387:AG407">
    <cfRule type="expression" dxfId="637" priority="697">
      <formula>AND(AF387=0,(AG387&gt;0))</formula>
    </cfRule>
    <cfRule type="expression" dxfId="636" priority="698">
      <formula>((AG387-AF387)/AF387)&gt;0.05</formula>
    </cfRule>
  </conditionalFormatting>
  <conditionalFormatting sqref="AG408">
    <cfRule type="expression" dxfId="635" priority="695">
      <formula>AND(AF408=0,(AG408&gt;0))</formula>
    </cfRule>
    <cfRule type="expression" dxfId="634" priority="696">
      <formula>((AG408-AF408)/AF408)&gt;0.05</formula>
    </cfRule>
  </conditionalFormatting>
  <conditionalFormatting sqref="AG409:AG426">
    <cfRule type="expression" dxfId="633" priority="693">
      <formula>AND(AF409=0,(AG409&gt;0))</formula>
    </cfRule>
    <cfRule type="expression" dxfId="632" priority="694">
      <formula>((AG409-AF409)/AF409)&gt;0.05</formula>
    </cfRule>
  </conditionalFormatting>
  <conditionalFormatting sqref="AC427:AE435 AC387:AE407">
    <cfRule type="expression" dxfId="631" priority="691">
      <formula>AND(Z387=0,(AC387&gt;0))</formula>
    </cfRule>
    <cfRule type="expression" dxfId="630" priority="692">
      <formula>((AC387-Z387)/Z387)&gt;0.05</formula>
    </cfRule>
  </conditionalFormatting>
  <conditionalFormatting sqref="AC408:AE408">
    <cfRule type="expression" dxfId="629" priority="689">
      <formula>AND(Z408=0,(AC408&gt;0))</formula>
    </cfRule>
    <cfRule type="expression" dxfId="628" priority="690">
      <formula>((AC408-Z408)/Z408)&gt;0.05</formula>
    </cfRule>
  </conditionalFormatting>
  <conditionalFormatting sqref="AC409:AE426">
    <cfRule type="expression" dxfId="627" priority="687">
      <formula>AND(Z409=0,(AC409&gt;0))</formula>
    </cfRule>
    <cfRule type="expression" dxfId="626" priority="688">
      <formula>((AC409-Z409)/Z409)&gt;0.05</formula>
    </cfRule>
  </conditionalFormatting>
  <conditionalFormatting sqref="I406:I408">
    <cfRule type="expression" dxfId="625" priority="685">
      <formula>AND(H406=0,(I406&gt;0))</formula>
    </cfRule>
    <cfRule type="expression" dxfId="624" priority="686">
      <formula>((I406-H406)/H406)&gt;0.05</formula>
    </cfRule>
  </conditionalFormatting>
  <conditionalFormatting sqref="I388:I405">
    <cfRule type="expression" dxfId="623" priority="683">
      <formula>AND(H388=0,(I388&gt;0))</formula>
    </cfRule>
    <cfRule type="expression" dxfId="622" priority="684">
      <formula>((I388-H388)/H388)&gt;0.05</formula>
    </cfRule>
  </conditionalFormatting>
  <conditionalFormatting sqref="K405:K407">
    <cfRule type="expression" dxfId="621" priority="681">
      <formula>AND(J405=0,(K405&gt;0))</formula>
    </cfRule>
    <cfRule type="expression" dxfId="620" priority="682">
      <formula>((K405-J405)/J405)&gt;0.05</formula>
    </cfRule>
  </conditionalFormatting>
  <conditionalFormatting sqref="K387:K404 K408">
    <cfRule type="expression" dxfId="619" priority="679">
      <formula>AND(J387=0,(K387&gt;0))</formula>
    </cfRule>
    <cfRule type="expression" dxfId="618" priority="680">
      <formula>((K387-J387)/J387)&gt;0.05</formula>
    </cfRule>
  </conditionalFormatting>
  <conditionalFormatting sqref="I387">
    <cfRule type="expression" dxfId="617" priority="677">
      <formula>AND(H387=0,(I387&gt;0))</formula>
    </cfRule>
    <cfRule type="expression" dxfId="616" priority="678">
      <formula>((I387-H387)/H387)&gt;0.05</formula>
    </cfRule>
  </conditionalFormatting>
  <conditionalFormatting sqref="O403:Q409">
    <cfRule type="expression" dxfId="615" priority="675">
      <formula>AND(L403=0,(O403&gt;0))</formula>
    </cfRule>
    <cfRule type="expression" dxfId="614" priority="676">
      <formula>((O403-L403)/L403)&gt;0.05</formula>
    </cfRule>
  </conditionalFormatting>
  <conditionalFormatting sqref="O387:Q402">
    <cfRule type="expression" dxfId="613" priority="673">
      <formula>AND(L387=0,(O387&gt;0))</formula>
    </cfRule>
    <cfRule type="expression" dxfId="612" priority="674">
      <formula>((O387-L387)/L387)&gt;0.05</formula>
    </cfRule>
  </conditionalFormatting>
  <conditionalFormatting sqref="S387:S410">
    <cfRule type="expression" dxfId="611" priority="671">
      <formula>AND(R387=0,(S387&gt;0))</formula>
    </cfRule>
    <cfRule type="expression" dxfId="610" priority="672">
      <formula>((S387-R387)/R387)&gt;0.05</formula>
    </cfRule>
  </conditionalFormatting>
  <conditionalFormatting sqref="I178:I202 K178:K202 S178:S202 W178:W202 Y178:Y202 AG178:AG202">
    <cfRule type="expression" dxfId="609" priority="669">
      <formula>AND(H178=0,(I178&gt;0))</formula>
    </cfRule>
    <cfRule type="expression" dxfId="608" priority="670">
      <formula>((I178-H178)/H178)&gt;0.05</formula>
    </cfRule>
  </conditionalFormatting>
  <conditionalFormatting sqref="O178:Q202 AC178:AE202">
    <cfRule type="expression" dxfId="607" priority="667">
      <formula>AND(L178=0,(O178&gt;0))</formula>
    </cfRule>
    <cfRule type="expression" dxfId="606" priority="668">
      <formula>((O178-L178)/L178)&gt;0.05</formula>
    </cfRule>
  </conditionalFormatting>
  <conditionalFormatting sqref="I597">
    <cfRule type="expression" dxfId="605" priority="613">
      <formula>AND(H597=0,(I597&gt;0))</formula>
    </cfRule>
    <cfRule type="expression" dxfId="604" priority="614">
      <formula>((I597-H597)/H597)&gt;0.05</formula>
    </cfRule>
  </conditionalFormatting>
  <conditionalFormatting sqref="O597:Q597">
    <cfRule type="expression" dxfId="603" priority="611">
      <formula>AND(L597=0,(O597&gt;0))</formula>
    </cfRule>
    <cfRule type="expression" dxfId="602" priority="612">
      <formula>((O597-L597)/L597)&gt;0.05</formula>
    </cfRule>
  </conditionalFormatting>
  <conditionalFormatting sqref="K597">
    <cfRule type="expression" dxfId="601" priority="609">
      <formula>AND(J597=0,(K597&gt;0))</formula>
    </cfRule>
    <cfRule type="expression" dxfId="600" priority="610">
      <formula>((K597-J597)/J597)&gt;0.05</formula>
    </cfRule>
  </conditionalFormatting>
  <conditionalFormatting sqref="S597">
    <cfRule type="expression" dxfId="599" priority="607">
      <formula>AND(R597=0,(S597&gt;0))</formula>
    </cfRule>
    <cfRule type="expression" dxfId="598" priority="608">
      <formula>((S597-R597)/R597)&gt;0.05</formula>
    </cfRule>
  </conditionalFormatting>
  <conditionalFormatting sqref="W597">
    <cfRule type="expression" dxfId="597" priority="605">
      <formula>AND(V597=0,(W597&gt;0))</formula>
    </cfRule>
    <cfRule type="expression" dxfId="596" priority="606">
      <formula>((W597-V597)/V597)&gt;0.05</formula>
    </cfRule>
  </conditionalFormatting>
  <conditionalFormatting sqref="Y597">
    <cfRule type="expression" dxfId="595" priority="603">
      <formula>AND(X597=0,(Y597&gt;0))</formula>
    </cfRule>
    <cfRule type="expression" dxfId="594" priority="604">
      <formula>((Y597-X597)/X597)&gt;0.05</formula>
    </cfRule>
  </conditionalFormatting>
  <conditionalFormatting sqref="AG597">
    <cfRule type="expression" dxfId="593" priority="601">
      <formula>AND(AF597=0,(AG597&gt;0))</formula>
    </cfRule>
    <cfRule type="expression" dxfId="592" priority="602">
      <formula>((AG597-AF597)/AF597)&gt;0.05</formula>
    </cfRule>
  </conditionalFormatting>
  <conditionalFormatting sqref="AC597:AE597">
    <cfRule type="expression" dxfId="591" priority="599">
      <formula>AND(Z597=0,(AC597&gt;0))</formula>
    </cfRule>
    <cfRule type="expression" dxfId="590" priority="600">
      <formula>((AC597-Z597)/Z597)&gt;0.05</formula>
    </cfRule>
  </conditionalFormatting>
  <conditionalFormatting sqref="AG161">
    <cfRule type="expression" dxfId="589" priority="589">
      <formula>AND(AF161=0,(AG161&gt;0))</formula>
    </cfRule>
    <cfRule type="expression" dxfId="588" priority="590">
      <formula>((AG161-AF161)/AF161)&gt;0.05</formula>
    </cfRule>
  </conditionalFormatting>
  <conditionalFormatting sqref="I21:I22">
    <cfRule type="expression" dxfId="587" priority="587">
      <formula>AND(H21=0,(I21&gt;0))</formula>
    </cfRule>
    <cfRule type="expression" dxfId="586" priority="588">
      <formula>((I21-H21)/H21)&gt;0.05</formula>
    </cfRule>
  </conditionalFormatting>
  <conditionalFormatting sqref="P21:Q22">
    <cfRule type="expression" dxfId="585" priority="585">
      <formula>AND(M21=0,(P21&gt;0))</formula>
    </cfRule>
    <cfRule type="expression" dxfId="584" priority="586">
      <formula>((P21-M21)/M21)&gt;0.05</formula>
    </cfRule>
  </conditionalFormatting>
  <conditionalFormatting sqref="I33:I46 I23:I31">
    <cfRule type="expression" dxfId="583" priority="583">
      <formula>AND(H23=0,(I23&gt;0))</formula>
    </cfRule>
    <cfRule type="expression" dxfId="582" priority="584">
      <formula>((I23-H23)/H23)&gt;0.05</formula>
    </cfRule>
  </conditionalFormatting>
  <conditionalFormatting sqref="P33:P46 P23:P31">
    <cfRule type="expression" dxfId="581" priority="581">
      <formula>AND(M23=0,(P23&gt;0))</formula>
    </cfRule>
    <cfRule type="expression" dxfId="580" priority="582">
      <formula>((P23-M23)/M23)&gt;0.05</formula>
    </cfRule>
  </conditionalFormatting>
  <conditionalFormatting sqref="Q33:Q46 Q23:Q31">
    <cfRule type="expression" dxfId="579" priority="579">
      <formula>AND(N23=0,(Q23&gt;0))</formula>
    </cfRule>
    <cfRule type="expression" dxfId="578" priority="580">
      <formula>((Q23-N23)/N23)&gt;0.05</formula>
    </cfRule>
  </conditionalFormatting>
  <conditionalFormatting sqref="I32">
    <cfRule type="expression" dxfId="577" priority="577">
      <formula>AND(H32=0,(I32&gt;0))</formula>
    </cfRule>
    <cfRule type="expression" dxfId="576" priority="578">
      <formula>((I32-H32)/H32)&gt;0.05</formula>
    </cfRule>
  </conditionalFormatting>
  <conditionalFormatting sqref="P32">
    <cfRule type="expression" dxfId="575" priority="575">
      <formula>AND(M32=0,(P32&gt;0))</formula>
    </cfRule>
    <cfRule type="expression" dxfId="574" priority="576">
      <formula>((P32-M32)/M32)&gt;0.05</formula>
    </cfRule>
  </conditionalFormatting>
  <conditionalFormatting sqref="Q32">
    <cfRule type="expression" dxfId="573" priority="573">
      <formula>AND(N32=0,(Q32&gt;0))</formula>
    </cfRule>
    <cfRule type="expression" dxfId="572" priority="574">
      <formula>((Q32-N32)/N32)&gt;0.05</formula>
    </cfRule>
  </conditionalFormatting>
  <conditionalFormatting sqref="I7:I8 I12:I20">
    <cfRule type="expression" dxfId="571" priority="569">
      <formula>AND(H7=0,(I7&gt;0))</formula>
    </cfRule>
    <cfRule type="expression" dxfId="570" priority="570">
      <formula>((I7-H7)/H7)&gt;0.05</formula>
    </cfRule>
  </conditionalFormatting>
  <conditionalFormatting sqref="O7:Q8 O12:Q20 P10:Q11">
    <cfRule type="expression" dxfId="569" priority="567">
      <formula>AND(L7=0,(O7&gt;0))</formula>
    </cfRule>
    <cfRule type="expression" dxfId="568" priority="568">
      <formula>((O7-L7)/L7)&gt;0.05</formula>
    </cfRule>
  </conditionalFormatting>
  <conditionalFormatting sqref="I9">
    <cfRule type="expression" dxfId="567" priority="565">
      <formula>AND(H9=0,(I9&gt;0))</formula>
    </cfRule>
    <cfRule type="expression" dxfId="566" priority="566">
      <formula>((I9-H9)/H9)&gt;0.05</formula>
    </cfRule>
  </conditionalFormatting>
  <conditionalFormatting sqref="O9:Q9">
    <cfRule type="expression" dxfId="565" priority="563">
      <formula>AND(L9=0,(O9&gt;0))</formula>
    </cfRule>
    <cfRule type="expression" dxfId="564" priority="564">
      <formula>((O9-L9)/L9)&gt;0.05</formula>
    </cfRule>
  </conditionalFormatting>
  <conditionalFormatting sqref="O11">
    <cfRule type="expression" dxfId="563" priority="561">
      <formula>AND(L10=0,(O11&gt;0))</formula>
    </cfRule>
    <cfRule type="expression" dxfId="562" priority="562">
      <formula>((O11-L10)/L10)&gt;0.05</formula>
    </cfRule>
  </conditionalFormatting>
  <conditionalFormatting sqref="I11">
    <cfRule type="expression" dxfId="561" priority="571">
      <formula>AND(H10=0,(I11&gt;0))</formula>
    </cfRule>
    <cfRule type="expression" dxfId="560" priority="572">
      <formula>((I11-H10)/H10)&gt;0.05</formula>
    </cfRule>
  </conditionalFormatting>
  <conditionalFormatting sqref="I10">
    <cfRule type="expression" dxfId="559" priority="559">
      <formula>AND(H10=0,(I10&gt;0))</formula>
    </cfRule>
    <cfRule type="expression" dxfId="558" priority="560">
      <formula>((I10-H10)/H10)&gt;0.05</formula>
    </cfRule>
  </conditionalFormatting>
  <conditionalFormatting sqref="O10">
    <cfRule type="expression" dxfId="557" priority="557">
      <formula>AND(L10=0,(O10&gt;0))</formula>
    </cfRule>
    <cfRule type="expression" dxfId="556" priority="558">
      <formula>((O10-L10)/L10)&gt;0.05</formula>
    </cfRule>
  </conditionalFormatting>
  <conditionalFormatting sqref="K21:K22">
    <cfRule type="expression" dxfId="555" priority="555">
      <formula>AND(J21=0,(K21&gt;0))</formula>
    </cfRule>
    <cfRule type="expression" dxfId="554" priority="556">
      <formula>((K21-J21)/J21)&gt;0.05</formula>
    </cfRule>
  </conditionalFormatting>
  <conditionalFormatting sqref="K33:K46 K23:K31">
    <cfRule type="expression" dxfId="553" priority="553">
      <formula>AND(J23=0,(K23&gt;0))</formula>
    </cfRule>
    <cfRule type="expression" dxfId="552" priority="554">
      <formula>((K23-J23)/J23)&gt;0.05</formula>
    </cfRule>
  </conditionalFormatting>
  <conditionalFormatting sqref="K32">
    <cfRule type="expression" dxfId="551" priority="551">
      <formula>AND(J32=0,(K32&gt;0))</formula>
    </cfRule>
    <cfRule type="expression" dxfId="550" priority="552">
      <formula>((K32-J32)/J32)&gt;0.05</formula>
    </cfRule>
  </conditionalFormatting>
  <conditionalFormatting sqref="K7:K8 K12:K20">
    <cfRule type="expression" dxfId="549" priority="547">
      <formula>AND(J7=0,(K7&gt;0))</formula>
    </cfRule>
    <cfRule type="expression" dxfId="548" priority="548">
      <formula>((K7-J7)/J7)&gt;0.05</formula>
    </cfRule>
  </conditionalFormatting>
  <conditionalFormatting sqref="K9">
    <cfRule type="expression" dxfId="547" priority="545">
      <formula>AND(J9=0,(K9&gt;0))</formula>
    </cfRule>
    <cfRule type="expression" dxfId="546" priority="546">
      <formula>((K9-J9)/J9)&gt;0.05</formula>
    </cfRule>
  </conditionalFormatting>
  <conditionalFormatting sqref="K11">
    <cfRule type="expression" dxfId="545" priority="549">
      <formula>AND(J10=0,(K11&gt;0))</formula>
    </cfRule>
    <cfRule type="expression" dxfId="544" priority="550">
      <formula>((K11-J10)/J10)&gt;0.05</formula>
    </cfRule>
  </conditionalFormatting>
  <conditionalFormatting sqref="K10">
    <cfRule type="expression" dxfId="543" priority="543">
      <formula>AND(J10=0,(K10&gt;0))</formula>
    </cfRule>
    <cfRule type="expression" dxfId="542" priority="544">
      <formula>((K10-J10)/J10)&gt;0.05</formula>
    </cfRule>
  </conditionalFormatting>
  <conditionalFormatting sqref="S21:S22">
    <cfRule type="expression" dxfId="541" priority="541">
      <formula>AND(R21=0,(S21&gt;0))</formula>
    </cfRule>
    <cfRule type="expression" dxfId="540" priority="542">
      <formula>((S21-R21)/R21)&gt;0.05</formula>
    </cfRule>
  </conditionalFormatting>
  <conditionalFormatting sqref="S33:S46 S23:S31">
    <cfRule type="expression" dxfId="539" priority="539">
      <formula>AND(R23=0,(S23&gt;0))</formula>
    </cfRule>
    <cfRule type="expression" dxfId="538" priority="540">
      <formula>((S23-R23)/R23)&gt;0.05</formula>
    </cfRule>
  </conditionalFormatting>
  <conditionalFormatting sqref="S32">
    <cfRule type="expression" dxfId="537" priority="537">
      <formula>AND(R32=0,(S32&gt;0))</formula>
    </cfRule>
    <cfRule type="expression" dxfId="536" priority="538">
      <formula>((S32-R32)/R32)&gt;0.05</formula>
    </cfRule>
  </conditionalFormatting>
  <conditionalFormatting sqref="S7:S8 S12:S20">
    <cfRule type="expression" dxfId="535" priority="533">
      <formula>AND(R7=0,(S7&gt;0))</formula>
    </cfRule>
    <cfRule type="expression" dxfId="534" priority="534">
      <formula>((S7-R7)/R7)&gt;0.05</formula>
    </cfRule>
  </conditionalFormatting>
  <conditionalFormatting sqref="S9">
    <cfRule type="expression" dxfId="533" priority="531">
      <formula>AND(R9=0,(S9&gt;0))</formula>
    </cfRule>
    <cfRule type="expression" dxfId="532" priority="532">
      <formula>((S9-R9)/R9)&gt;0.05</formula>
    </cfRule>
  </conditionalFormatting>
  <conditionalFormatting sqref="S11">
    <cfRule type="expression" dxfId="531" priority="535">
      <formula>AND(R10=0,(S11&gt;0))</formula>
    </cfRule>
    <cfRule type="expression" dxfId="530" priority="536">
      <formula>((S11-R10)/R10)&gt;0.05</formula>
    </cfRule>
  </conditionalFormatting>
  <conditionalFormatting sqref="S10">
    <cfRule type="expression" dxfId="529" priority="529">
      <formula>AND(R10=0,(S10&gt;0))</formula>
    </cfRule>
    <cfRule type="expression" dxfId="528" priority="530">
      <formula>((S10-R10)/R10)&gt;0.05</formula>
    </cfRule>
  </conditionalFormatting>
  <conditionalFormatting sqref="W21:W22">
    <cfRule type="expression" dxfId="527" priority="527">
      <formula>AND(V21=0,(W21&gt;0))</formula>
    </cfRule>
    <cfRule type="expression" dxfId="526" priority="528">
      <formula>((W21-V21)/V21)&gt;0.05</formula>
    </cfRule>
  </conditionalFormatting>
  <conditionalFormatting sqref="W33:W46 W23:W31">
    <cfRule type="expression" dxfId="525" priority="525">
      <formula>AND(V23=0,(W23&gt;0))</formula>
    </cfRule>
    <cfRule type="expression" dxfId="524" priority="526">
      <formula>((W23-V23)/V23)&gt;0.05</formula>
    </cfRule>
  </conditionalFormatting>
  <conditionalFormatting sqref="W32">
    <cfRule type="expression" dxfId="523" priority="523">
      <formula>AND(V32=0,(W32&gt;0))</formula>
    </cfRule>
    <cfRule type="expression" dxfId="522" priority="524">
      <formula>((W32-V32)/V32)&gt;0.05</formula>
    </cfRule>
  </conditionalFormatting>
  <conditionalFormatting sqref="W7:W8 W12:W20">
    <cfRule type="expression" dxfId="521" priority="519">
      <formula>AND(V7=0,(W7&gt;0))</formula>
    </cfRule>
    <cfRule type="expression" dxfId="520" priority="520">
      <formula>((W7-V7)/V7)&gt;0.05</formula>
    </cfRule>
  </conditionalFormatting>
  <conditionalFormatting sqref="W9">
    <cfRule type="expression" dxfId="519" priority="517">
      <formula>AND(V9=0,(W9&gt;0))</formula>
    </cfRule>
    <cfRule type="expression" dxfId="518" priority="518">
      <formula>((W9-V9)/V9)&gt;0.05</formula>
    </cfRule>
  </conditionalFormatting>
  <conditionalFormatting sqref="W11">
    <cfRule type="expression" dxfId="517" priority="521">
      <formula>AND(V10=0,(W11&gt;0))</formula>
    </cfRule>
    <cfRule type="expression" dxfId="516" priority="522">
      <formula>((W11-V10)/V10)&gt;0.05</formula>
    </cfRule>
  </conditionalFormatting>
  <conditionalFormatting sqref="W10">
    <cfRule type="expression" dxfId="515" priority="515">
      <formula>AND(V10=0,(W10&gt;0))</formula>
    </cfRule>
    <cfRule type="expression" dxfId="514" priority="516">
      <formula>((W10-V10)/V10)&gt;0.05</formula>
    </cfRule>
  </conditionalFormatting>
  <conditionalFormatting sqref="Y21:Y22">
    <cfRule type="expression" dxfId="513" priority="513">
      <formula>AND(X21=0,(Y21&gt;0))</formula>
    </cfRule>
    <cfRule type="expression" dxfId="512" priority="514">
      <formula>((Y21-X21)/X21)&gt;0.05</formula>
    </cfRule>
  </conditionalFormatting>
  <conditionalFormatting sqref="Y33:Y46 Y23:Y31">
    <cfRule type="expression" dxfId="511" priority="511">
      <formula>AND(X23=0,(Y23&gt;0))</formula>
    </cfRule>
    <cfRule type="expression" dxfId="510" priority="512">
      <formula>((Y23-X23)/X23)&gt;0.05</formula>
    </cfRule>
  </conditionalFormatting>
  <conditionalFormatting sqref="Y32">
    <cfRule type="expression" dxfId="509" priority="509">
      <formula>AND(X32=0,(Y32&gt;0))</formula>
    </cfRule>
    <cfRule type="expression" dxfId="508" priority="510">
      <formula>((Y32-X32)/X32)&gt;0.05</formula>
    </cfRule>
  </conditionalFormatting>
  <conditionalFormatting sqref="Y7:Y8 Y12:Y20">
    <cfRule type="expression" dxfId="507" priority="505">
      <formula>AND(X7=0,(Y7&gt;0))</formula>
    </cfRule>
    <cfRule type="expression" dxfId="506" priority="506">
      <formula>((Y7-X7)/X7)&gt;0.05</formula>
    </cfRule>
  </conditionalFormatting>
  <conditionalFormatting sqref="Y9">
    <cfRule type="expression" dxfId="505" priority="503">
      <formula>AND(X9=0,(Y9&gt;0))</formula>
    </cfRule>
    <cfRule type="expression" dxfId="504" priority="504">
      <formula>((Y9-X9)/X9)&gt;0.05</formula>
    </cfRule>
  </conditionalFormatting>
  <conditionalFormatting sqref="Y11">
    <cfRule type="expression" dxfId="503" priority="507">
      <formula>AND(X10=0,(Y11&gt;0))</formula>
    </cfRule>
    <cfRule type="expression" dxfId="502" priority="508">
      <formula>((Y11-X10)/X10)&gt;0.05</formula>
    </cfRule>
  </conditionalFormatting>
  <conditionalFormatting sqref="Y10">
    <cfRule type="expression" dxfId="501" priority="501">
      <formula>AND(X10=0,(Y10&gt;0))</formula>
    </cfRule>
    <cfRule type="expression" dxfId="500" priority="502">
      <formula>((Y10-X10)/X10)&gt;0.05</formula>
    </cfRule>
  </conditionalFormatting>
  <conditionalFormatting sqref="AG21:AG22">
    <cfRule type="expression" dxfId="499" priority="499">
      <formula>AND(AF21=0,(AG21&gt;0))</formula>
    </cfRule>
    <cfRule type="expression" dxfId="498" priority="500">
      <formula>((AG21-AF21)/AF21)&gt;0.05</formula>
    </cfRule>
  </conditionalFormatting>
  <conditionalFormatting sqref="AG33:AG46 AG23:AG31">
    <cfRule type="expression" dxfId="497" priority="497">
      <formula>AND(AF23=0,(AG23&gt;0))</formula>
    </cfRule>
    <cfRule type="expression" dxfId="496" priority="498">
      <formula>((AG23-AF23)/AF23)&gt;0.05</formula>
    </cfRule>
  </conditionalFormatting>
  <conditionalFormatting sqref="AG32">
    <cfRule type="expression" dxfId="495" priority="495">
      <formula>AND(AF32=0,(AG32&gt;0))</formula>
    </cfRule>
    <cfRule type="expression" dxfId="494" priority="496">
      <formula>((AG32-AF32)/AF32)&gt;0.05</formula>
    </cfRule>
  </conditionalFormatting>
  <conditionalFormatting sqref="AG7:AG8 AG12:AG20">
    <cfRule type="expression" dxfId="493" priority="491">
      <formula>AND(AF7=0,(AG7&gt;0))</formula>
    </cfRule>
    <cfRule type="expression" dxfId="492" priority="492">
      <formula>((AG7-AF7)/AF7)&gt;0.05</formula>
    </cfRule>
  </conditionalFormatting>
  <conditionalFormatting sqref="AG9">
    <cfRule type="expression" dxfId="491" priority="489">
      <formula>AND(AF9=0,(AG9&gt;0))</formula>
    </cfRule>
    <cfRule type="expression" dxfId="490" priority="490">
      <formula>((AG9-AF9)/AF9)&gt;0.05</formula>
    </cfRule>
  </conditionalFormatting>
  <conditionalFormatting sqref="AG11">
    <cfRule type="expression" dxfId="489" priority="493">
      <formula>AND(AF10=0,(AG11&gt;0))</formula>
    </cfRule>
    <cfRule type="expression" dxfId="488" priority="494">
      <formula>((AG11-AF10)/AF10)&gt;0.05</formula>
    </cfRule>
  </conditionalFormatting>
  <conditionalFormatting sqref="AG10">
    <cfRule type="expression" dxfId="487" priority="487">
      <formula>AND(AF10=0,(AG10&gt;0))</formula>
    </cfRule>
    <cfRule type="expression" dxfId="486" priority="488">
      <formula>((AG10-AF10)/AF10)&gt;0.05</formula>
    </cfRule>
  </conditionalFormatting>
  <conditionalFormatting sqref="AD21:AE22">
    <cfRule type="expression" dxfId="485" priority="485">
      <formula>AND(AA21=0,(AD21&gt;0))</formula>
    </cfRule>
    <cfRule type="expression" dxfId="484" priority="486">
      <formula>((AD21-AA21)/AA21)&gt;0.05</formula>
    </cfRule>
  </conditionalFormatting>
  <conditionalFormatting sqref="AD33:AD46 AD23:AD31">
    <cfRule type="expression" dxfId="483" priority="483">
      <formula>AND(AA23=0,(AD23&gt;0))</formula>
    </cfRule>
    <cfRule type="expression" dxfId="482" priority="484">
      <formula>((AD23-AA23)/AA23)&gt;0.05</formula>
    </cfRule>
  </conditionalFormatting>
  <conditionalFormatting sqref="AE33:AE46 AE23:AE31">
    <cfRule type="expression" dxfId="481" priority="481">
      <formula>AND(AB23=0,(AE23&gt;0))</formula>
    </cfRule>
    <cfRule type="expression" dxfId="480" priority="482">
      <formula>((AE23-AB23)/AB23)&gt;0.05</formula>
    </cfRule>
  </conditionalFormatting>
  <conditionalFormatting sqref="AD32">
    <cfRule type="expression" dxfId="479" priority="479">
      <formula>AND(AA32=0,(AD32&gt;0))</formula>
    </cfRule>
    <cfRule type="expression" dxfId="478" priority="480">
      <formula>((AD32-AA32)/AA32)&gt;0.05</formula>
    </cfRule>
  </conditionalFormatting>
  <conditionalFormatting sqref="AE32">
    <cfRule type="expression" dxfId="477" priority="477">
      <formula>AND(AB32=0,(AE32&gt;0))</formula>
    </cfRule>
    <cfRule type="expression" dxfId="476" priority="478">
      <formula>((AE32-AB32)/AB32)&gt;0.05</formula>
    </cfRule>
  </conditionalFormatting>
  <conditionalFormatting sqref="AC7:AE8 AC12:AE20 AD10:AE11">
    <cfRule type="expression" dxfId="475" priority="475">
      <formula>AND(Z7=0,(AC7&gt;0))</formula>
    </cfRule>
    <cfRule type="expression" dxfId="474" priority="476">
      <formula>((AC7-Z7)/Z7)&gt;0.05</formula>
    </cfRule>
  </conditionalFormatting>
  <conditionalFormatting sqref="AC9:AE9">
    <cfRule type="expression" dxfId="473" priority="473">
      <formula>AND(Z9=0,(AC9&gt;0))</formula>
    </cfRule>
    <cfRule type="expression" dxfId="472" priority="474">
      <formula>((AC9-Z9)/Z9)&gt;0.05</formula>
    </cfRule>
  </conditionalFormatting>
  <conditionalFormatting sqref="AC11">
    <cfRule type="expression" dxfId="471" priority="471">
      <formula>AND(Z10=0,(AC11&gt;0))</formula>
    </cfRule>
    <cfRule type="expression" dxfId="470" priority="472">
      <formula>((AC11-Z10)/Z10)&gt;0.05</formula>
    </cfRule>
  </conditionalFormatting>
  <conditionalFormatting sqref="AC10">
    <cfRule type="expression" dxfId="469" priority="469">
      <formula>AND(Z10=0,(AC10&gt;0))</formula>
    </cfRule>
    <cfRule type="expression" dxfId="468" priority="470">
      <formula>((AC10-Z10)/Z10)&gt;0.05</formula>
    </cfRule>
  </conditionalFormatting>
  <conditionalFormatting sqref="O85:Q95">
    <cfRule type="expression" dxfId="467" priority="465">
      <formula>AND(L85=0,(O85&gt;0))</formula>
    </cfRule>
    <cfRule type="expression" dxfId="466" priority="466">
      <formula>((O85-L85)/L85)&gt;0.05</formula>
    </cfRule>
  </conditionalFormatting>
  <conditionalFormatting sqref="I85:I95">
    <cfRule type="expression" dxfId="465" priority="467">
      <formula>AND(H85=0,(I85&gt;0))</formula>
    </cfRule>
    <cfRule type="expression" dxfId="464" priority="468">
      <formula>((I85-H85)/H85)&gt;0.05</formula>
    </cfRule>
  </conditionalFormatting>
  <conditionalFormatting sqref="K85:K95">
    <cfRule type="expression" dxfId="463" priority="463">
      <formula>AND(J85=0,(K85&gt;0))</formula>
    </cfRule>
    <cfRule type="expression" dxfId="462" priority="464">
      <formula>((K85-J85)/J85)&gt;0.05</formula>
    </cfRule>
  </conditionalFormatting>
  <conditionalFormatting sqref="S85:S95">
    <cfRule type="expression" dxfId="461" priority="461">
      <formula>AND(R85=0,(S85&gt;0))</formula>
    </cfRule>
    <cfRule type="expression" dxfId="460" priority="462">
      <formula>((S85-R85)/R85)&gt;0.05</formula>
    </cfRule>
  </conditionalFormatting>
  <conditionalFormatting sqref="W85:W95">
    <cfRule type="expression" dxfId="459" priority="459">
      <formula>AND(V85=0,(W85&gt;0))</formula>
    </cfRule>
    <cfRule type="expression" dxfId="458" priority="460">
      <formula>((W85-V85)/V85)&gt;0.05</formula>
    </cfRule>
  </conditionalFormatting>
  <conditionalFormatting sqref="Y85:Y95">
    <cfRule type="expression" dxfId="457" priority="457">
      <formula>AND(X85=0,(Y85&gt;0))</formula>
    </cfRule>
    <cfRule type="expression" dxfId="456" priority="458">
      <formula>((Y85-X85)/X85)&gt;0.05</formula>
    </cfRule>
  </conditionalFormatting>
  <conditionalFormatting sqref="AG85:AG95">
    <cfRule type="expression" dxfId="455" priority="455">
      <formula>AND(AF85=0,(AG85&gt;0))</formula>
    </cfRule>
    <cfRule type="expression" dxfId="454" priority="456">
      <formula>((AG85-AF85)/AF85)&gt;0.05</formula>
    </cfRule>
  </conditionalFormatting>
  <conditionalFormatting sqref="AC85:AE95">
    <cfRule type="expression" dxfId="453" priority="453">
      <formula>AND(Z85=0,(AC85&gt;0))</formula>
    </cfRule>
    <cfRule type="expression" dxfId="452" priority="454">
      <formula>((AC85-Z85)/Z85)&gt;0.05</formula>
    </cfRule>
  </conditionalFormatting>
  <conditionalFormatting sqref="I96:I123 K96:K123 S96:S123 W96:W123 Y96:Y123 AG96:AG123">
    <cfRule type="expression" dxfId="451" priority="451">
      <formula>AND(H96=0,(I96&gt;0))</formula>
    </cfRule>
    <cfRule type="expression" dxfId="450" priority="452">
      <formula>((I96-H96)/H96)&gt;0.05</formula>
    </cfRule>
  </conditionalFormatting>
  <conditionalFormatting sqref="O96:Q123 AC96:AE123">
    <cfRule type="expression" dxfId="449" priority="449">
      <formula>AND(L96=0,(O96&gt;0))</formula>
    </cfRule>
    <cfRule type="expression" dxfId="448" priority="450">
      <formula>((O96-L96)/L96)&gt;0.05</formula>
    </cfRule>
  </conditionalFormatting>
  <conditionalFormatting sqref="I354 K354 S354 W354 Y354 AG354">
    <cfRule type="expression" dxfId="447" priority="447">
      <formula>AND(H354=0,(I354&gt;0))</formula>
    </cfRule>
    <cfRule type="expression" dxfId="446" priority="448">
      <formula>((I354-H354)/H354)&gt;0.05</formula>
    </cfRule>
  </conditionalFormatting>
  <conditionalFormatting sqref="O354:Q354 AC354:AE354">
    <cfRule type="expression" dxfId="445" priority="445">
      <formula>AND(L354=0,(O354&gt;0))</formula>
    </cfRule>
    <cfRule type="expression" dxfId="444" priority="446">
      <formula>((O354-L354)/L354)&gt;0.05</formula>
    </cfRule>
  </conditionalFormatting>
  <conditionalFormatting sqref="I328:I353">
    <cfRule type="expression" dxfId="443" priority="443">
      <formula>AND(H328=0,(I328&gt;0))</formula>
    </cfRule>
    <cfRule type="expression" dxfId="442" priority="444">
      <formula>((I328-H328)/H328)&gt;0.05</formula>
    </cfRule>
  </conditionalFormatting>
  <conditionalFormatting sqref="O328:Q353">
    <cfRule type="expression" dxfId="441" priority="441">
      <formula>AND(L328=0,(O328&gt;0))</formula>
    </cfRule>
    <cfRule type="expression" dxfId="440" priority="442">
      <formula>((O328-L328)/L328)&gt;0.05</formula>
    </cfRule>
  </conditionalFormatting>
  <conditionalFormatting sqref="K328:K353">
    <cfRule type="expression" dxfId="439" priority="439">
      <formula>AND(J328=0,(K328&gt;0))</formula>
    </cfRule>
    <cfRule type="expression" dxfId="438" priority="440">
      <formula>((K328-J328)/J328)&gt;0.05</formula>
    </cfRule>
  </conditionalFormatting>
  <conditionalFormatting sqref="S328:S353">
    <cfRule type="expression" dxfId="437" priority="437">
      <formula>AND(R328=0,(S328&gt;0))</formula>
    </cfRule>
    <cfRule type="expression" dxfId="436" priority="438">
      <formula>((S328-R328)/R328)&gt;0.05</formula>
    </cfRule>
  </conditionalFormatting>
  <conditionalFormatting sqref="W328:W353">
    <cfRule type="expression" dxfId="435" priority="435">
      <formula>AND(V328=0,(W328&gt;0))</formula>
    </cfRule>
    <cfRule type="expression" dxfId="434" priority="436">
      <formula>((W328-V328)/V328)&gt;0.05</formula>
    </cfRule>
  </conditionalFormatting>
  <conditionalFormatting sqref="Y328:Y353">
    <cfRule type="expression" dxfId="433" priority="433">
      <formula>AND(X328=0,(Y328&gt;0))</formula>
    </cfRule>
    <cfRule type="expression" dxfId="432" priority="434">
      <formula>((Y328-X328)/X328)&gt;0.05</formula>
    </cfRule>
  </conditionalFormatting>
  <conditionalFormatting sqref="AG328:AG353">
    <cfRule type="expression" dxfId="431" priority="431">
      <formula>AND(AF328=0,(AG328&gt;0))</formula>
    </cfRule>
    <cfRule type="expression" dxfId="430" priority="432">
      <formula>((AG328-AF328)/AF328)&gt;0.05</formula>
    </cfRule>
  </conditionalFormatting>
  <conditionalFormatting sqref="AC328:AE353">
    <cfRule type="expression" dxfId="429" priority="429">
      <formula>AND(Z328=0,(AC328&gt;0))</formula>
    </cfRule>
    <cfRule type="expression" dxfId="428" priority="430">
      <formula>((AC328-Z328)/Z328)&gt;0.05</formula>
    </cfRule>
  </conditionalFormatting>
  <conditionalFormatting sqref="I80 I83:I84">
    <cfRule type="expression" dxfId="427" priority="427">
      <formula>AND(H80=0,(I80&gt;0))</formula>
    </cfRule>
    <cfRule type="expression" dxfId="426" priority="428">
      <formula>((I80-H80)/H80)&gt;0.05</formula>
    </cfRule>
  </conditionalFormatting>
  <conditionalFormatting sqref="O80:Q80 O83:Q84">
    <cfRule type="expression" dxfId="425" priority="425">
      <formula>AND(L80=0,(O80&gt;0))</formula>
    </cfRule>
    <cfRule type="expression" dxfId="424" priority="426">
      <formula>((O80-L80)/L80)&gt;0.05</formula>
    </cfRule>
  </conditionalFormatting>
  <conditionalFormatting sqref="I82">
    <cfRule type="expression" dxfId="423" priority="423">
      <formula>AND(H82=0,(I82&gt;0))</formula>
    </cfRule>
    <cfRule type="expression" dxfId="422" priority="424">
      <formula>((I82-H82)/H82)&gt;0.05</formula>
    </cfRule>
  </conditionalFormatting>
  <conditionalFormatting sqref="O82">
    <cfRule type="expression" dxfId="421" priority="421">
      <formula>AND(L82=0,(O82&gt;0))</formula>
    </cfRule>
    <cfRule type="expression" dxfId="420" priority="422">
      <formula>((O82-L82)/L82)&gt;0.05</formula>
    </cfRule>
  </conditionalFormatting>
  <conditionalFormatting sqref="P82">
    <cfRule type="expression" dxfId="419" priority="419">
      <formula>AND(M82=0,(P82&gt;0))</formula>
    </cfRule>
    <cfRule type="expression" dxfId="418" priority="420">
      <formula>((P82-M82)/M82)&gt;0.05</formula>
    </cfRule>
  </conditionalFormatting>
  <conditionalFormatting sqref="Q82">
    <cfRule type="expression" dxfId="417" priority="417">
      <formula>AND(N82=0,(Q82&gt;0))</formula>
    </cfRule>
    <cfRule type="expression" dxfId="416" priority="418">
      <formula>((Q82-N82)/N82)&gt;0.05</formula>
    </cfRule>
  </conditionalFormatting>
  <conditionalFormatting sqref="K80 K83:K84">
    <cfRule type="expression" dxfId="415" priority="415">
      <formula>AND(J80=0,(K80&gt;0))</formula>
    </cfRule>
    <cfRule type="expression" dxfId="414" priority="416">
      <formula>((K80-J80)/J80)&gt;0.05</formula>
    </cfRule>
  </conditionalFormatting>
  <conditionalFormatting sqref="K82">
    <cfRule type="expression" dxfId="413" priority="413">
      <formula>AND(J82=0,(K82&gt;0))</formula>
    </cfRule>
    <cfRule type="expression" dxfId="412" priority="414">
      <formula>((K82-J82)/J82)&gt;0.05</formula>
    </cfRule>
  </conditionalFormatting>
  <conditionalFormatting sqref="S80 S83:S84">
    <cfRule type="expression" dxfId="411" priority="411">
      <formula>AND(R80=0,(S80&gt;0))</formula>
    </cfRule>
    <cfRule type="expression" dxfId="410" priority="412">
      <formula>((S80-R80)/R80)&gt;0.05</formula>
    </cfRule>
  </conditionalFormatting>
  <conditionalFormatting sqref="S82">
    <cfRule type="expression" dxfId="409" priority="409">
      <formula>AND(R82=0,(S82&gt;0))</formula>
    </cfRule>
    <cfRule type="expression" dxfId="408" priority="410">
      <formula>((S82-R82)/R82)&gt;0.05</formula>
    </cfRule>
  </conditionalFormatting>
  <conditionalFormatting sqref="W80 W83:W84">
    <cfRule type="expression" dxfId="407" priority="407">
      <formula>AND(V80=0,(W80&gt;0))</formula>
    </cfRule>
    <cfRule type="expression" dxfId="406" priority="408">
      <formula>((W80-V80)/V80)&gt;0.05</formula>
    </cfRule>
  </conditionalFormatting>
  <conditionalFormatting sqref="W82">
    <cfRule type="expression" dxfId="405" priority="405">
      <formula>AND(V82=0,(W82&gt;0))</formula>
    </cfRule>
    <cfRule type="expression" dxfId="404" priority="406">
      <formula>((W82-V82)/V82)&gt;0.05</formula>
    </cfRule>
  </conditionalFormatting>
  <conditionalFormatting sqref="Y80 Y83:Y84">
    <cfRule type="expression" dxfId="403" priority="403">
      <formula>AND(X80=0,(Y80&gt;0))</formula>
    </cfRule>
    <cfRule type="expression" dxfId="402" priority="404">
      <formula>((Y80-X80)/X80)&gt;0.05</formula>
    </cfRule>
  </conditionalFormatting>
  <conditionalFormatting sqref="Y82">
    <cfRule type="expression" dxfId="401" priority="401">
      <formula>AND(X82=0,(Y82&gt;0))</formula>
    </cfRule>
    <cfRule type="expression" dxfId="400" priority="402">
      <formula>((Y82-X82)/X82)&gt;0.05</formula>
    </cfRule>
  </conditionalFormatting>
  <conditionalFormatting sqref="AG80 AG83:AG84">
    <cfRule type="expression" dxfId="399" priority="399">
      <formula>AND(AF80=0,(AG80&gt;0))</formula>
    </cfRule>
    <cfRule type="expression" dxfId="398" priority="400">
      <formula>((AG80-AF80)/AF80)&gt;0.05</formula>
    </cfRule>
  </conditionalFormatting>
  <conditionalFormatting sqref="AG82">
    <cfRule type="expression" dxfId="397" priority="397">
      <formula>AND(AF82=0,(AG82&gt;0))</formula>
    </cfRule>
    <cfRule type="expression" dxfId="396" priority="398">
      <formula>((AG82-AF82)/AF82)&gt;0.05</formula>
    </cfRule>
  </conditionalFormatting>
  <conditionalFormatting sqref="AC80:AE80 AC83:AE84">
    <cfRule type="expression" dxfId="395" priority="395">
      <formula>AND(Z80=0,(AC80&gt;0))</formula>
    </cfRule>
    <cfRule type="expression" dxfId="394" priority="396">
      <formula>((AC80-Z80)/Z80)&gt;0.05</formula>
    </cfRule>
  </conditionalFormatting>
  <conditionalFormatting sqref="AC82">
    <cfRule type="expression" dxfId="393" priority="393">
      <formula>AND(Z82=0,(AC82&gt;0))</formula>
    </cfRule>
    <cfRule type="expression" dxfId="392" priority="394">
      <formula>((AC82-Z82)/Z82)&gt;0.05</formula>
    </cfRule>
  </conditionalFormatting>
  <conditionalFormatting sqref="AD82">
    <cfRule type="expression" dxfId="391" priority="391">
      <formula>AND(AA82=0,(AD82&gt;0))</formula>
    </cfRule>
    <cfRule type="expression" dxfId="390" priority="392">
      <formula>((AD82-AA82)/AA82)&gt;0.05</formula>
    </cfRule>
  </conditionalFormatting>
  <conditionalFormatting sqref="AE82">
    <cfRule type="expression" dxfId="389" priority="389">
      <formula>AND(AB82=0,(AE82&gt;0))</formula>
    </cfRule>
    <cfRule type="expression" dxfId="388" priority="390">
      <formula>((AE82-AB82)/AB82)&gt;0.05</formula>
    </cfRule>
  </conditionalFormatting>
  <conditionalFormatting sqref="I305:I327">
    <cfRule type="expression" dxfId="387" priority="387">
      <formula>AND(H305=0,(I305&gt;0))</formula>
    </cfRule>
    <cfRule type="expression" dxfId="386" priority="388">
      <formula>((I305-H305)/H305)&gt;0.05</formula>
    </cfRule>
  </conditionalFormatting>
  <conditionalFormatting sqref="O305:Q327">
    <cfRule type="expression" dxfId="385" priority="385">
      <formula>AND(L305=0,(O305&gt;0))</formula>
    </cfRule>
    <cfRule type="expression" dxfId="384" priority="386">
      <formula>((O305-L305)/L305)&gt;0.05</formula>
    </cfRule>
  </conditionalFormatting>
  <conditionalFormatting sqref="I270 I272:I303">
    <cfRule type="expression" dxfId="383" priority="383">
      <formula>AND(H270=0,(I270&gt;0))</formula>
    </cfRule>
    <cfRule type="expression" dxfId="382" priority="384">
      <formula>((I270-H270)/H270)&gt;0.05</formula>
    </cfRule>
  </conditionalFormatting>
  <conditionalFormatting sqref="O270:Q270 O272:Q303 P271">
    <cfRule type="expression" dxfId="381" priority="381">
      <formula>AND(L270=0,(O270&gt;0))</formula>
    </cfRule>
    <cfRule type="expression" dxfId="380" priority="382">
      <formula>((O270-L270)/L270)&gt;0.05</formula>
    </cfRule>
  </conditionalFormatting>
  <conditionalFormatting sqref="I271">
    <cfRule type="expression" dxfId="379" priority="379">
      <formula>AND(H271=0,(I271&gt;0))</formula>
    </cfRule>
    <cfRule type="expression" dxfId="378" priority="380">
      <formula>((I271-H271)/H271)&gt;0.05</formula>
    </cfRule>
  </conditionalFormatting>
  <conditionalFormatting sqref="O271">
    <cfRule type="expression" dxfId="377" priority="377">
      <formula>AND(L271=0,(O271&gt;0))</formula>
    </cfRule>
    <cfRule type="expression" dxfId="376" priority="378">
      <formula>((O271-L271)/L271)&gt;0.05</formula>
    </cfRule>
  </conditionalFormatting>
  <conditionalFormatting sqref="Q271">
    <cfRule type="expression" dxfId="375" priority="375">
      <formula>AND(N271=0,(Q271&gt;0))</formula>
    </cfRule>
    <cfRule type="expression" dxfId="374" priority="376">
      <formula>((Q271-N271)/N271)&gt;0.05</formula>
    </cfRule>
  </conditionalFormatting>
  <conditionalFormatting sqref="I304">
    <cfRule type="expression" dxfId="373" priority="373">
      <formula>AND(H304=0,(I304&gt;0))</formula>
    </cfRule>
    <cfRule type="expression" dxfId="372" priority="374">
      <formula>((I304-H304)/H304)&gt;0.05</formula>
    </cfRule>
  </conditionalFormatting>
  <conditionalFormatting sqref="O304:Q304">
    <cfRule type="expression" dxfId="371" priority="371">
      <formula>AND(L304=0,(O304&gt;0))</formula>
    </cfRule>
    <cfRule type="expression" dxfId="370" priority="372">
      <formula>((O304-L304)/L304)&gt;0.05</formula>
    </cfRule>
  </conditionalFormatting>
  <conditionalFormatting sqref="K305:K327">
    <cfRule type="expression" dxfId="369" priority="369">
      <formula>AND(J305=0,(K305&gt;0))</formula>
    </cfRule>
    <cfRule type="expression" dxfId="368" priority="370">
      <formula>((K305-J305)/J305)&gt;0.05</formula>
    </cfRule>
  </conditionalFormatting>
  <conditionalFormatting sqref="K270 K272:K303">
    <cfRule type="expression" dxfId="367" priority="367">
      <formula>AND(J270=0,(K270&gt;0))</formula>
    </cfRule>
    <cfRule type="expression" dxfId="366" priority="368">
      <formula>((K270-J270)/J270)&gt;0.05</formula>
    </cfRule>
  </conditionalFormatting>
  <conditionalFormatting sqref="K271">
    <cfRule type="expression" dxfId="365" priority="365">
      <formula>AND(J271=0,(K271&gt;0))</formula>
    </cfRule>
    <cfRule type="expression" dxfId="364" priority="366">
      <formula>((K271-J271)/J271)&gt;0.05</formula>
    </cfRule>
  </conditionalFormatting>
  <conditionalFormatting sqref="K304">
    <cfRule type="expression" dxfId="363" priority="363">
      <formula>AND(J304=0,(K304&gt;0))</formula>
    </cfRule>
    <cfRule type="expression" dxfId="362" priority="364">
      <formula>((K304-J304)/J304)&gt;0.05</formula>
    </cfRule>
  </conditionalFormatting>
  <conditionalFormatting sqref="S305:S327">
    <cfRule type="expression" dxfId="361" priority="361">
      <formula>AND(R305=0,(S305&gt;0))</formula>
    </cfRule>
    <cfRule type="expression" dxfId="360" priority="362">
      <formula>((S305-R305)/R305)&gt;0.05</formula>
    </cfRule>
  </conditionalFormatting>
  <conditionalFormatting sqref="S270 S272:S303">
    <cfRule type="expression" dxfId="359" priority="359">
      <formula>AND(R270=0,(S270&gt;0))</formula>
    </cfRule>
    <cfRule type="expression" dxfId="358" priority="360">
      <formula>((S270-R270)/R270)&gt;0.05</formula>
    </cfRule>
  </conditionalFormatting>
  <conditionalFormatting sqref="S271">
    <cfRule type="expression" dxfId="357" priority="357">
      <formula>AND(R271=0,(S271&gt;0))</formula>
    </cfRule>
    <cfRule type="expression" dxfId="356" priority="358">
      <formula>((S271-R271)/R271)&gt;0.05</formula>
    </cfRule>
  </conditionalFormatting>
  <conditionalFormatting sqref="S304">
    <cfRule type="expression" dxfId="355" priority="355">
      <formula>AND(R304=0,(S304&gt;0))</formula>
    </cfRule>
    <cfRule type="expression" dxfId="354" priority="356">
      <formula>((S304-R304)/R304)&gt;0.05</formula>
    </cfRule>
  </conditionalFormatting>
  <conditionalFormatting sqref="W305:W327">
    <cfRule type="expression" dxfId="353" priority="353">
      <formula>AND(V305=0,(W305&gt;0))</formula>
    </cfRule>
    <cfRule type="expression" dxfId="352" priority="354">
      <formula>((W305-V305)/V305)&gt;0.05</formula>
    </cfRule>
  </conditionalFormatting>
  <conditionalFormatting sqref="W270 W272:W303">
    <cfRule type="expression" dxfId="351" priority="351">
      <formula>AND(V270=0,(W270&gt;0))</formula>
    </cfRule>
    <cfRule type="expression" dxfId="350" priority="352">
      <formula>((W270-V270)/V270)&gt;0.05</formula>
    </cfRule>
  </conditionalFormatting>
  <conditionalFormatting sqref="W271">
    <cfRule type="expression" dxfId="349" priority="349">
      <formula>AND(V271=0,(W271&gt;0))</formula>
    </cfRule>
    <cfRule type="expression" dxfId="348" priority="350">
      <formula>((W271-V271)/V271)&gt;0.05</formula>
    </cfRule>
  </conditionalFormatting>
  <conditionalFormatting sqref="W304">
    <cfRule type="expression" dxfId="347" priority="347">
      <formula>AND(V304=0,(W304&gt;0))</formula>
    </cfRule>
    <cfRule type="expression" dxfId="346" priority="348">
      <formula>((W304-V304)/V304)&gt;0.05</formula>
    </cfRule>
  </conditionalFormatting>
  <conditionalFormatting sqref="Y305:Y327">
    <cfRule type="expression" dxfId="345" priority="345">
      <formula>AND(X305=0,(Y305&gt;0))</formula>
    </cfRule>
    <cfRule type="expression" dxfId="344" priority="346">
      <formula>((Y305-X305)/X305)&gt;0.05</formula>
    </cfRule>
  </conditionalFormatting>
  <conditionalFormatting sqref="Y270 Y272:Y303">
    <cfRule type="expression" dxfId="343" priority="343">
      <formula>AND(X270=0,(Y270&gt;0))</formula>
    </cfRule>
    <cfRule type="expression" dxfId="342" priority="344">
      <formula>((Y270-X270)/X270)&gt;0.05</formula>
    </cfRule>
  </conditionalFormatting>
  <conditionalFormatting sqref="Y271">
    <cfRule type="expression" dxfId="341" priority="341">
      <formula>AND(X271=0,(Y271&gt;0))</formula>
    </cfRule>
    <cfRule type="expression" dxfId="340" priority="342">
      <formula>((Y271-X271)/X271)&gt;0.05</formula>
    </cfRule>
  </conditionalFormatting>
  <conditionalFormatting sqref="Y304">
    <cfRule type="expression" dxfId="339" priority="339">
      <formula>AND(X304=0,(Y304&gt;0))</formula>
    </cfRule>
    <cfRule type="expression" dxfId="338" priority="340">
      <formula>((Y304-X304)/X304)&gt;0.05</formula>
    </cfRule>
  </conditionalFormatting>
  <conditionalFormatting sqref="AG305:AG327">
    <cfRule type="expression" dxfId="337" priority="337">
      <formula>AND(AF305=0,(AG305&gt;0))</formula>
    </cfRule>
    <cfRule type="expression" dxfId="336" priority="338">
      <formula>((AG305-AF305)/AF305)&gt;0.05</formula>
    </cfRule>
  </conditionalFormatting>
  <conditionalFormatting sqref="AG270 AG272:AG303">
    <cfRule type="expression" dxfId="335" priority="335">
      <formula>AND(AF270=0,(AG270&gt;0))</formula>
    </cfRule>
    <cfRule type="expression" dxfId="334" priority="336">
      <formula>((AG270-AF270)/AF270)&gt;0.05</formula>
    </cfRule>
  </conditionalFormatting>
  <conditionalFormatting sqref="AG271">
    <cfRule type="expression" dxfId="333" priority="333">
      <formula>AND(AF271=0,(AG271&gt;0))</formula>
    </cfRule>
    <cfRule type="expression" dxfId="332" priority="334">
      <formula>((AG271-AF271)/AF271)&gt;0.05</formula>
    </cfRule>
  </conditionalFormatting>
  <conditionalFormatting sqref="AG304">
    <cfRule type="expression" dxfId="331" priority="331">
      <formula>AND(AF304=0,(AG304&gt;0))</formula>
    </cfRule>
    <cfRule type="expression" dxfId="330" priority="332">
      <formula>((AG304-AF304)/AF304)&gt;0.05</formula>
    </cfRule>
  </conditionalFormatting>
  <conditionalFormatting sqref="AC305:AE327">
    <cfRule type="expression" dxfId="329" priority="329">
      <formula>AND(Z305=0,(AC305&gt;0))</formula>
    </cfRule>
    <cfRule type="expression" dxfId="328" priority="330">
      <formula>((AC305-Z305)/Z305)&gt;0.05</formula>
    </cfRule>
  </conditionalFormatting>
  <conditionalFormatting sqref="AC270:AE270 AC272:AE303 AD271">
    <cfRule type="expression" dxfId="327" priority="327">
      <formula>AND(Z270=0,(AC270&gt;0))</formula>
    </cfRule>
    <cfRule type="expression" dxfId="326" priority="328">
      <formula>((AC270-Z270)/Z270)&gt;0.05</formula>
    </cfRule>
  </conditionalFormatting>
  <conditionalFormatting sqref="AC271">
    <cfRule type="expression" dxfId="325" priority="325">
      <formula>AND(Z271=0,(AC271&gt;0))</formula>
    </cfRule>
    <cfRule type="expression" dxfId="324" priority="326">
      <formula>((AC271-Z271)/Z271)&gt;0.05</formula>
    </cfRule>
  </conditionalFormatting>
  <conditionalFormatting sqref="AE271">
    <cfRule type="expression" dxfId="323" priority="323">
      <formula>AND(AB271=0,(AE271&gt;0))</formula>
    </cfRule>
    <cfRule type="expression" dxfId="322" priority="324">
      <formula>((AE271-AB271)/AB271)&gt;0.05</formula>
    </cfRule>
  </conditionalFormatting>
  <conditionalFormatting sqref="AC304:AE304">
    <cfRule type="expression" dxfId="321" priority="321">
      <formula>AND(Z304=0,(AC304&gt;0))</formula>
    </cfRule>
    <cfRule type="expression" dxfId="320" priority="322">
      <formula>((AC304-Z304)/Z304)&gt;0.05</formula>
    </cfRule>
  </conditionalFormatting>
  <conditionalFormatting sqref="I240:I254">
    <cfRule type="expression" dxfId="319" priority="319">
      <formula>AND(H240=0,(I240&gt;0))</formula>
    </cfRule>
    <cfRule type="expression" dxfId="318" priority="320">
      <formula>((I240-H240)/H240)&gt;0.05</formula>
    </cfRule>
  </conditionalFormatting>
  <conditionalFormatting sqref="O240:Q254">
    <cfRule type="expression" dxfId="317" priority="317">
      <formula>AND(L240=0,(O240&gt;0))</formula>
    </cfRule>
    <cfRule type="expression" dxfId="316" priority="318">
      <formula>((O240-L240)/L240)&gt;0.05</formula>
    </cfRule>
  </conditionalFormatting>
  <conditionalFormatting sqref="K240:K254">
    <cfRule type="expression" dxfId="315" priority="315">
      <formula>AND(J240=0,(K240&gt;0))</formula>
    </cfRule>
    <cfRule type="expression" dxfId="314" priority="316">
      <formula>((K240-J240)/J240)&gt;0.05</formula>
    </cfRule>
  </conditionalFormatting>
  <conditionalFormatting sqref="S240:S254">
    <cfRule type="expression" dxfId="313" priority="313">
      <formula>AND(R240=0,(S240&gt;0))</formula>
    </cfRule>
    <cfRule type="expression" dxfId="312" priority="314">
      <formula>((S240-R240)/R240)&gt;0.05</formula>
    </cfRule>
  </conditionalFormatting>
  <conditionalFormatting sqref="W240:W254">
    <cfRule type="expression" dxfId="311" priority="311">
      <formula>AND(V240=0,(W240&gt;0))</formula>
    </cfRule>
    <cfRule type="expression" dxfId="310" priority="312">
      <formula>((W240-V240)/V240)&gt;0.05</formula>
    </cfRule>
  </conditionalFormatting>
  <conditionalFormatting sqref="Y240:Y254">
    <cfRule type="expression" dxfId="309" priority="309">
      <formula>AND(X240=0,(Y240&gt;0))</formula>
    </cfRule>
    <cfRule type="expression" dxfId="308" priority="310">
      <formula>((Y240-X240)/X240)&gt;0.05</formula>
    </cfRule>
  </conditionalFormatting>
  <conditionalFormatting sqref="AG240:AG254">
    <cfRule type="expression" dxfId="307" priority="307">
      <formula>AND(AF240=0,(AG240&gt;0))</formula>
    </cfRule>
    <cfRule type="expression" dxfId="306" priority="308">
      <formula>((AG240-AF240)/AF240)&gt;0.05</formula>
    </cfRule>
  </conditionalFormatting>
  <conditionalFormatting sqref="AC240:AE254">
    <cfRule type="expression" dxfId="305" priority="305">
      <formula>AND(Z240=0,(AC240&gt;0))</formula>
    </cfRule>
    <cfRule type="expression" dxfId="304" priority="306">
      <formula>((AC240-Z240)/Z240)&gt;0.05</formula>
    </cfRule>
  </conditionalFormatting>
  <conditionalFormatting sqref="I367:I386">
    <cfRule type="expression" dxfId="303" priority="303">
      <formula>AND(H367=0,(I367&gt;0))</formula>
    </cfRule>
    <cfRule type="expression" dxfId="302" priority="304">
      <formula>((I367-H367)/H367)&gt;0.05</formula>
    </cfRule>
  </conditionalFormatting>
  <conditionalFormatting sqref="O367:Q386">
    <cfRule type="expression" dxfId="301" priority="301">
      <formula>AND(L367=0,(O367&gt;0))</formula>
    </cfRule>
    <cfRule type="expression" dxfId="300" priority="302">
      <formula>((O367-L367)/L367)&gt;0.05</formula>
    </cfRule>
  </conditionalFormatting>
  <conditionalFormatting sqref="I355:I366">
    <cfRule type="expression" dxfId="299" priority="299">
      <formula>AND(H355=0,(I355&gt;0))</formula>
    </cfRule>
    <cfRule type="expression" dxfId="298" priority="300">
      <formula>((I355-H355)/H355)&gt;0.05</formula>
    </cfRule>
  </conditionalFormatting>
  <conditionalFormatting sqref="O355:Q366">
    <cfRule type="expression" dxfId="297" priority="297">
      <formula>AND(L355=0,(O355&gt;0))</formula>
    </cfRule>
    <cfRule type="expression" dxfId="296" priority="298">
      <formula>((O355-L355)/L355)&gt;0.05</formula>
    </cfRule>
  </conditionalFormatting>
  <conditionalFormatting sqref="K367:K386">
    <cfRule type="expression" dxfId="295" priority="295">
      <formula>AND(J367=0,(K367&gt;0))</formula>
    </cfRule>
    <cfRule type="expression" dxfId="294" priority="296">
      <formula>((K367-J367)/J367)&gt;0.05</formula>
    </cfRule>
  </conditionalFormatting>
  <conditionalFormatting sqref="K355:K366">
    <cfRule type="expression" dxfId="293" priority="293">
      <formula>AND(J355=0,(K355&gt;0))</formula>
    </cfRule>
    <cfRule type="expression" dxfId="292" priority="294">
      <formula>((K355-J355)/J355)&gt;0.05</formula>
    </cfRule>
  </conditionalFormatting>
  <conditionalFormatting sqref="S367:S386">
    <cfRule type="expression" dxfId="291" priority="291">
      <formula>AND(R367=0,(S367&gt;0))</formula>
    </cfRule>
    <cfRule type="expression" dxfId="290" priority="292">
      <formula>((S367-R367)/R367)&gt;0.05</formula>
    </cfRule>
  </conditionalFormatting>
  <conditionalFormatting sqref="S355:S366">
    <cfRule type="expression" dxfId="289" priority="289">
      <formula>AND(R355=0,(S355&gt;0))</formula>
    </cfRule>
    <cfRule type="expression" dxfId="288" priority="290">
      <formula>((S355-R355)/R355)&gt;0.05</formula>
    </cfRule>
  </conditionalFormatting>
  <conditionalFormatting sqref="W367:W386">
    <cfRule type="expression" dxfId="287" priority="287">
      <formula>AND(V367=0,(W367&gt;0))</formula>
    </cfRule>
    <cfRule type="expression" dxfId="286" priority="288">
      <formula>((W367-V367)/V367)&gt;0.05</formula>
    </cfRule>
  </conditionalFormatting>
  <conditionalFormatting sqref="W355:W366">
    <cfRule type="expression" dxfId="285" priority="285">
      <formula>AND(V355=0,(W355&gt;0))</formula>
    </cfRule>
    <cfRule type="expression" dxfId="284" priority="286">
      <formula>((W355-V355)/V355)&gt;0.05</formula>
    </cfRule>
  </conditionalFormatting>
  <conditionalFormatting sqref="Y367:Y386">
    <cfRule type="expression" dxfId="283" priority="283">
      <formula>AND(X367=0,(Y367&gt;0))</formula>
    </cfRule>
    <cfRule type="expression" dxfId="282" priority="284">
      <formula>((Y367-X367)/X367)&gt;0.05</formula>
    </cfRule>
  </conditionalFormatting>
  <conditionalFormatting sqref="Y355:Y366">
    <cfRule type="expression" dxfId="281" priority="281">
      <formula>AND(X355=0,(Y355&gt;0))</formula>
    </cfRule>
    <cfRule type="expression" dxfId="280" priority="282">
      <formula>((Y355-X355)/X355)&gt;0.05</formula>
    </cfRule>
  </conditionalFormatting>
  <conditionalFormatting sqref="AG367:AG386">
    <cfRule type="expression" dxfId="279" priority="279">
      <formula>AND(AF367=0,(AG367&gt;0))</formula>
    </cfRule>
    <cfRule type="expression" dxfId="278" priority="280">
      <formula>((AG367-AF367)/AF367)&gt;0.05</formula>
    </cfRule>
  </conditionalFormatting>
  <conditionalFormatting sqref="AG355:AG366">
    <cfRule type="expression" dxfId="277" priority="277">
      <formula>AND(AF355=0,(AG355&gt;0))</formula>
    </cfRule>
    <cfRule type="expression" dxfId="276" priority="278">
      <formula>((AG355-AF355)/AF355)&gt;0.05</formula>
    </cfRule>
  </conditionalFormatting>
  <conditionalFormatting sqref="AC367:AE386">
    <cfRule type="expression" dxfId="275" priority="275">
      <formula>AND(Z367=0,(AC367&gt;0))</formula>
    </cfRule>
    <cfRule type="expression" dxfId="274" priority="276">
      <formula>((AC367-Z367)/Z367)&gt;0.05</formula>
    </cfRule>
  </conditionalFormatting>
  <conditionalFormatting sqref="AC355:AE366">
    <cfRule type="expression" dxfId="273" priority="273">
      <formula>AND(Z355=0,(AC355&gt;0))</formula>
    </cfRule>
    <cfRule type="expression" dxfId="272" priority="274">
      <formula>((AC355-Z355)/Z355)&gt;0.05</formula>
    </cfRule>
  </conditionalFormatting>
  <conditionalFormatting sqref="S466:S475">
    <cfRule type="expression" dxfId="271" priority="271">
      <formula>AND(R466=0,(S466&gt;0))</formula>
    </cfRule>
    <cfRule type="expression" dxfId="270" priority="272">
      <formula>((S466-R466)/R466)&gt;0.05</formula>
    </cfRule>
  </conditionalFormatting>
  <conditionalFormatting sqref="S436 S519:S541">
    <cfRule type="expression" dxfId="269" priority="269">
      <formula>AND(R436=0,(S436&gt;0))</formula>
    </cfRule>
    <cfRule type="expression" dxfId="268" priority="270">
      <formula>((S436-R436)/R436)&gt;0.05</formula>
    </cfRule>
  </conditionalFormatting>
  <conditionalFormatting sqref="S437:S442 S444:S465">
    <cfRule type="expression" dxfId="267" priority="267">
      <formula>AND(R437=0,(S437&gt;0))</formula>
    </cfRule>
    <cfRule type="expression" dxfId="266" priority="268">
      <formula>((S437-R437)/R437)&gt;0.05</formula>
    </cfRule>
  </conditionalFormatting>
  <conditionalFormatting sqref="S443">
    <cfRule type="expression" dxfId="265" priority="265">
      <formula>AND(R443=0,(S443&gt;0))</formula>
    </cfRule>
    <cfRule type="expression" dxfId="264" priority="266">
      <formula>((S443-R443)/R443)&gt;0.05</formula>
    </cfRule>
  </conditionalFormatting>
  <conditionalFormatting sqref="S476">
    <cfRule type="expression" dxfId="263" priority="263">
      <formula>AND(R476=0,(S476&gt;0))</formula>
    </cfRule>
    <cfRule type="expression" dxfId="262" priority="264">
      <formula>((S476-R476)/R476)&gt;0.05</formula>
    </cfRule>
  </conditionalFormatting>
  <conditionalFormatting sqref="S477:S486">
    <cfRule type="expression" dxfId="261" priority="261">
      <formula>AND(R477=0,(S477&gt;0))</formula>
    </cfRule>
    <cfRule type="expression" dxfId="260" priority="262">
      <formula>((S477-R477)/R477)&gt;0.05</formula>
    </cfRule>
  </conditionalFormatting>
  <conditionalFormatting sqref="S487:S513">
    <cfRule type="expression" dxfId="259" priority="259">
      <formula>AND(R487=0,(S487&gt;0))</formula>
    </cfRule>
    <cfRule type="expression" dxfId="258" priority="260">
      <formula>((S487-R487)/R487)&gt;0.05</formula>
    </cfRule>
  </conditionalFormatting>
  <conditionalFormatting sqref="S514:S518">
    <cfRule type="expression" dxfId="257" priority="257">
      <formula>AND(R514=0,(S514&gt;0))</formula>
    </cfRule>
    <cfRule type="expression" dxfId="256" priority="258">
      <formula>((S514-R514)/R514)&gt;0.05</formula>
    </cfRule>
  </conditionalFormatting>
  <conditionalFormatting sqref="AG466:AG475">
    <cfRule type="expression" dxfId="255" priority="255">
      <formula>AND(AF466=0,(AG466&gt;0))</formula>
    </cfRule>
    <cfRule type="expression" dxfId="254" priority="256">
      <formula>((AG466-AF466)/AF466)&gt;0.05</formula>
    </cfRule>
  </conditionalFormatting>
  <conditionalFormatting sqref="AG436 AG519:AG541">
    <cfRule type="expression" dxfId="253" priority="253">
      <formula>AND(AF436=0,(AG436&gt;0))</formula>
    </cfRule>
    <cfRule type="expression" dxfId="252" priority="254">
      <formula>((AG436-AF436)/AF436)&gt;0.05</formula>
    </cfRule>
  </conditionalFormatting>
  <conditionalFormatting sqref="AG437:AG442 AG444:AG465">
    <cfRule type="expression" dxfId="251" priority="251">
      <formula>AND(AF437=0,(AG437&gt;0))</formula>
    </cfRule>
    <cfRule type="expression" dxfId="250" priority="252">
      <formula>((AG437-AF437)/AF437)&gt;0.05</formula>
    </cfRule>
  </conditionalFormatting>
  <conditionalFormatting sqref="AG443">
    <cfRule type="expression" dxfId="249" priority="249">
      <formula>AND(AF443=0,(AG443&gt;0))</formula>
    </cfRule>
    <cfRule type="expression" dxfId="248" priority="250">
      <formula>((AG443-AF443)/AF443)&gt;0.05</formula>
    </cfRule>
  </conditionalFormatting>
  <conditionalFormatting sqref="AG476">
    <cfRule type="expression" dxfId="247" priority="247">
      <formula>AND(AF476=0,(AG476&gt;0))</formula>
    </cfRule>
    <cfRule type="expression" dxfId="246" priority="248">
      <formula>((AG476-AF476)/AF476)&gt;0.05</formula>
    </cfRule>
  </conditionalFormatting>
  <conditionalFormatting sqref="AG477:AG486">
    <cfRule type="expression" dxfId="245" priority="245">
      <formula>AND(AF477=0,(AG477&gt;0))</formula>
    </cfRule>
    <cfRule type="expression" dxfId="244" priority="246">
      <formula>((AG477-AF477)/AF477)&gt;0.05</formula>
    </cfRule>
  </conditionalFormatting>
  <conditionalFormatting sqref="AG487:AG513">
    <cfRule type="expression" dxfId="243" priority="243">
      <formula>AND(AF487=0,(AG487&gt;0))</formula>
    </cfRule>
    <cfRule type="expression" dxfId="242" priority="244">
      <formula>((AG487-AF487)/AF487)&gt;0.05</formula>
    </cfRule>
  </conditionalFormatting>
  <conditionalFormatting sqref="AG514:AG518">
    <cfRule type="expression" dxfId="241" priority="241">
      <formula>AND(AF514=0,(AG514&gt;0))</formula>
    </cfRule>
    <cfRule type="expression" dxfId="240" priority="242">
      <formula>((AG514-AF514)/AF514)&gt;0.05</formula>
    </cfRule>
  </conditionalFormatting>
  <conditionalFormatting sqref="I466:I475">
    <cfRule type="expression" dxfId="239" priority="239">
      <formula>AND(H466=0,(I466&gt;0))</formula>
    </cfRule>
    <cfRule type="expression" dxfId="238" priority="240">
      <formula>((I466-H466)/H466)&gt;0.05</formula>
    </cfRule>
  </conditionalFormatting>
  <conditionalFormatting sqref="I436 I519:I541">
    <cfRule type="expression" dxfId="237" priority="237">
      <formula>AND(H436=0,(I436&gt;0))</formula>
    </cfRule>
    <cfRule type="expression" dxfId="236" priority="238">
      <formula>((I436-H436)/H436)&gt;0.05</formula>
    </cfRule>
  </conditionalFormatting>
  <conditionalFormatting sqref="I437:I442 I444:I465">
    <cfRule type="expression" dxfId="235" priority="235">
      <formula>AND(H437=0,(I437&gt;0))</formula>
    </cfRule>
    <cfRule type="expression" dxfId="234" priority="236">
      <formula>((I437-H437)/H437)&gt;0.05</formula>
    </cfRule>
  </conditionalFormatting>
  <conditionalFormatting sqref="I443">
    <cfRule type="expression" dxfId="233" priority="233">
      <formula>AND(H443=0,(I443&gt;0))</formula>
    </cfRule>
    <cfRule type="expression" dxfId="232" priority="234">
      <formula>((I443-H443)/H443)&gt;0.05</formula>
    </cfRule>
  </conditionalFormatting>
  <conditionalFormatting sqref="I476">
    <cfRule type="expression" dxfId="231" priority="231">
      <formula>AND(H476=0,(I476&gt;0))</formula>
    </cfRule>
    <cfRule type="expression" dxfId="230" priority="232">
      <formula>((I476-H476)/H476)&gt;0.05</formula>
    </cfRule>
  </conditionalFormatting>
  <conditionalFormatting sqref="I477:I486">
    <cfRule type="expression" dxfId="229" priority="229">
      <formula>AND(H477=0,(I477&gt;0))</formula>
    </cfRule>
    <cfRule type="expression" dxfId="228" priority="230">
      <formula>((I477-H477)/H477)&gt;0.05</formula>
    </cfRule>
  </conditionalFormatting>
  <conditionalFormatting sqref="I487:I513">
    <cfRule type="expression" dxfId="227" priority="227">
      <formula>AND(H487=0,(I487&gt;0))</formula>
    </cfRule>
    <cfRule type="expression" dxfId="226" priority="228">
      <formula>((I487-H487)/H487)&gt;0.05</formula>
    </cfRule>
  </conditionalFormatting>
  <conditionalFormatting sqref="I514:I518">
    <cfRule type="expression" dxfId="225" priority="225">
      <formula>AND(H514=0,(I514&gt;0))</formula>
    </cfRule>
    <cfRule type="expression" dxfId="224" priority="226">
      <formula>((I514-H514)/H514)&gt;0.05</formula>
    </cfRule>
  </conditionalFormatting>
  <conditionalFormatting sqref="K466:K475">
    <cfRule type="expression" dxfId="223" priority="223">
      <formula>AND(J466=0,(K466&gt;0))</formula>
    </cfRule>
    <cfRule type="expression" dxfId="222" priority="224">
      <formula>((K466-J466)/J466)&gt;0.05</formula>
    </cfRule>
  </conditionalFormatting>
  <conditionalFormatting sqref="K436 K519:K541">
    <cfRule type="expression" dxfId="221" priority="221">
      <formula>AND(J436=0,(K436&gt;0))</formula>
    </cfRule>
    <cfRule type="expression" dxfId="220" priority="222">
      <formula>((K436-J436)/J436)&gt;0.05</formula>
    </cfRule>
  </conditionalFormatting>
  <conditionalFormatting sqref="K437:K442 K444:K465">
    <cfRule type="expression" dxfId="219" priority="219">
      <formula>AND(J437=0,(K437&gt;0))</formula>
    </cfRule>
    <cfRule type="expression" dxfId="218" priority="220">
      <formula>((K437-J437)/J437)&gt;0.05</formula>
    </cfRule>
  </conditionalFormatting>
  <conditionalFormatting sqref="K443">
    <cfRule type="expression" dxfId="217" priority="217">
      <formula>AND(J443=0,(K443&gt;0))</formula>
    </cfRule>
    <cfRule type="expression" dxfId="216" priority="218">
      <formula>((K443-J443)/J443)&gt;0.05</formula>
    </cfRule>
  </conditionalFormatting>
  <conditionalFormatting sqref="K476">
    <cfRule type="expression" dxfId="215" priority="215">
      <formula>AND(J476=0,(K476&gt;0))</formula>
    </cfRule>
    <cfRule type="expression" dxfId="214" priority="216">
      <formula>((K476-J476)/J476)&gt;0.05</formula>
    </cfRule>
  </conditionalFormatting>
  <conditionalFormatting sqref="K477:K486">
    <cfRule type="expression" dxfId="213" priority="213">
      <formula>AND(J477=0,(K477&gt;0))</formula>
    </cfRule>
    <cfRule type="expression" dxfId="212" priority="214">
      <formula>((K477-J477)/J477)&gt;0.05</formula>
    </cfRule>
  </conditionalFormatting>
  <conditionalFormatting sqref="K487:K513">
    <cfRule type="expression" dxfId="211" priority="211">
      <formula>AND(J487=0,(K487&gt;0))</formula>
    </cfRule>
    <cfRule type="expression" dxfId="210" priority="212">
      <formula>((K487-J487)/J487)&gt;0.05</formula>
    </cfRule>
  </conditionalFormatting>
  <conditionalFormatting sqref="K514:K518">
    <cfRule type="expression" dxfId="209" priority="209">
      <formula>AND(J514=0,(K514&gt;0))</formula>
    </cfRule>
    <cfRule type="expression" dxfId="208" priority="210">
      <formula>((K514-J514)/J514)&gt;0.05</formula>
    </cfRule>
  </conditionalFormatting>
  <conditionalFormatting sqref="O466:Q475">
    <cfRule type="expression" dxfId="207" priority="207">
      <formula>AND(L466=0,(O466&gt;0))</formula>
    </cfRule>
    <cfRule type="expression" dxfId="206" priority="208">
      <formula>((O466-L466)/L466)&gt;0.05</formula>
    </cfRule>
  </conditionalFormatting>
  <conditionalFormatting sqref="O436 O519:O541">
    <cfRule type="expression" dxfId="205" priority="205">
      <formula>AND(L436=0,(O436&gt;0))</formula>
    </cfRule>
    <cfRule type="expression" dxfId="204" priority="206">
      <formula>((O436-L436)/L436)&gt;0.05</formula>
    </cfRule>
  </conditionalFormatting>
  <conditionalFormatting sqref="O437:O442 O444:O465">
    <cfRule type="expression" dxfId="203" priority="203">
      <formula>AND(L437=0,(O437&gt;0))</formula>
    </cfRule>
    <cfRule type="expression" dxfId="202" priority="204">
      <formula>((O437-L437)/L437)&gt;0.05</formula>
    </cfRule>
  </conditionalFormatting>
  <conditionalFormatting sqref="O443">
    <cfRule type="expression" dxfId="201" priority="201">
      <formula>AND(L443=0,(O443&gt;0))</formula>
    </cfRule>
    <cfRule type="expression" dxfId="200" priority="202">
      <formula>((O443-L443)/L443)&gt;0.05</formula>
    </cfRule>
  </conditionalFormatting>
  <conditionalFormatting sqref="O476">
    <cfRule type="expression" dxfId="199" priority="199">
      <formula>AND(L476=0,(O476&gt;0))</formula>
    </cfRule>
    <cfRule type="expression" dxfId="198" priority="200">
      <formula>((O476-L476)/L476)&gt;0.05</formula>
    </cfRule>
  </conditionalFormatting>
  <conditionalFormatting sqref="O477:O486">
    <cfRule type="expression" dxfId="197" priority="197">
      <formula>AND(L477=0,(O477&gt;0))</formula>
    </cfRule>
    <cfRule type="expression" dxfId="196" priority="198">
      <formula>((O477-L477)/L477)&gt;0.05</formula>
    </cfRule>
  </conditionalFormatting>
  <conditionalFormatting sqref="O487:O513">
    <cfRule type="expression" dxfId="195" priority="195">
      <formula>AND(L487=0,(O487&gt;0))</formula>
    </cfRule>
    <cfRule type="expression" dxfId="194" priority="196">
      <formula>((O487-L487)/L487)&gt;0.05</formula>
    </cfRule>
  </conditionalFormatting>
  <conditionalFormatting sqref="O514:O518">
    <cfRule type="expression" dxfId="193" priority="193">
      <formula>AND(L514=0,(O514&gt;0))</formula>
    </cfRule>
    <cfRule type="expression" dxfId="192" priority="194">
      <formula>((O514-L514)/L514)&gt;0.05</formula>
    </cfRule>
  </conditionalFormatting>
  <conditionalFormatting sqref="P436 P519:P541">
    <cfRule type="expression" dxfId="191" priority="191">
      <formula>AND(M436=0,(P436&gt;0))</formula>
    </cfRule>
    <cfRule type="expression" dxfId="190" priority="192">
      <formula>((P436-M436)/M436)&gt;0.05</formula>
    </cfRule>
  </conditionalFormatting>
  <conditionalFormatting sqref="P437:P465">
    <cfRule type="expression" dxfId="189" priority="189">
      <formula>AND(M437=0,(P437&gt;0))</formula>
    </cfRule>
    <cfRule type="expression" dxfId="188" priority="190">
      <formula>((P437-M437)/M437)&gt;0.05</formula>
    </cfRule>
  </conditionalFormatting>
  <conditionalFormatting sqref="P476">
    <cfRule type="expression" dxfId="187" priority="187">
      <formula>AND(M476=0,(P476&gt;0))</formula>
    </cfRule>
    <cfRule type="expression" dxfId="186" priority="188">
      <formula>((P476-M476)/M476)&gt;0.05</formula>
    </cfRule>
  </conditionalFormatting>
  <conditionalFormatting sqref="P477:P486">
    <cfRule type="expression" dxfId="185" priority="185">
      <formula>AND(M477=0,(P477&gt;0))</formula>
    </cfRule>
    <cfRule type="expression" dxfId="184" priority="186">
      <formula>((P477-M477)/M477)&gt;0.05</formula>
    </cfRule>
  </conditionalFormatting>
  <conditionalFormatting sqref="P487:P513">
    <cfRule type="expression" dxfId="183" priority="183">
      <formula>AND(M487=0,(P487&gt;0))</formula>
    </cfRule>
    <cfRule type="expression" dxfId="182" priority="184">
      <formula>((P487-M487)/M487)&gt;0.05</formula>
    </cfRule>
  </conditionalFormatting>
  <conditionalFormatting sqref="P514:P518">
    <cfRule type="expression" dxfId="181" priority="181">
      <formula>AND(M514=0,(P514&gt;0))</formula>
    </cfRule>
    <cfRule type="expression" dxfId="180" priority="182">
      <formula>((P514-M514)/M514)&gt;0.05</formula>
    </cfRule>
  </conditionalFormatting>
  <conditionalFormatting sqref="Q436 Q519:Q541">
    <cfRule type="expression" dxfId="179" priority="179">
      <formula>AND(N436=0,(Q436&gt;0))</formula>
    </cfRule>
    <cfRule type="expression" dxfId="178" priority="180">
      <formula>((Q436-N436)/N436)&gt;0.05</formula>
    </cfRule>
  </conditionalFormatting>
  <conditionalFormatting sqref="Q437:Q442 Q444:Q465">
    <cfRule type="expression" dxfId="177" priority="177">
      <formula>AND(N437=0,(Q437&gt;0))</formula>
    </cfRule>
    <cfRule type="expression" dxfId="176" priority="178">
      <formula>((Q437-N437)/N437)&gt;0.05</formula>
    </cfRule>
  </conditionalFormatting>
  <conditionalFormatting sqref="Q443">
    <cfRule type="expression" dxfId="175" priority="175">
      <formula>AND(N443=0,(Q443&gt;0))</formula>
    </cfRule>
    <cfRule type="expression" dxfId="174" priority="176">
      <formula>((Q443-N443)/N443)&gt;0.05</formula>
    </cfRule>
  </conditionalFormatting>
  <conditionalFormatting sqref="Q476">
    <cfRule type="expression" dxfId="173" priority="173">
      <formula>AND(N476=0,(Q476&gt;0))</formula>
    </cfRule>
    <cfRule type="expression" dxfId="172" priority="174">
      <formula>((Q476-N476)/N476)&gt;0.05</formula>
    </cfRule>
  </conditionalFormatting>
  <conditionalFormatting sqref="Q477:Q486">
    <cfRule type="expression" dxfId="171" priority="171">
      <formula>AND(N477=0,(Q477&gt;0))</formula>
    </cfRule>
    <cfRule type="expression" dxfId="170" priority="172">
      <formula>((Q477-N477)/N477)&gt;0.05</formula>
    </cfRule>
  </conditionalFormatting>
  <conditionalFormatting sqref="Q487:Q513">
    <cfRule type="expression" dxfId="169" priority="169">
      <formula>AND(N487=0,(Q487&gt;0))</formula>
    </cfRule>
    <cfRule type="expression" dxfId="168" priority="170">
      <formula>((Q487-N487)/N487)&gt;0.05</formula>
    </cfRule>
  </conditionalFormatting>
  <conditionalFormatting sqref="Q514:Q518">
    <cfRule type="expression" dxfId="167" priority="167">
      <formula>AND(N514=0,(Q514&gt;0))</formula>
    </cfRule>
    <cfRule type="expression" dxfId="166" priority="168">
      <formula>((Q514-N514)/N514)&gt;0.05</formula>
    </cfRule>
  </conditionalFormatting>
  <conditionalFormatting sqref="W466:W475">
    <cfRule type="expression" dxfId="165" priority="165">
      <formula>AND(V466=0,(W466&gt;0))</formula>
    </cfRule>
    <cfRule type="expression" dxfId="164" priority="166">
      <formula>((W466-V466)/V466)&gt;0.05</formula>
    </cfRule>
  </conditionalFormatting>
  <conditionalFormatting sqref="W436 W519:W541">
    <cfRule type="expression" dxfId="163" priority="163">
      <formula>AND(V436=0,(W436&gt;0))</formula>
    </cfRule>
    <cfRule type="expression" dxfId="162" priority="164">
      <formula>((W436-V436)/V436)&gt;0.05</formula>
    </cfRule>
  </conditionalFormatting>
  <conditionalFormatting sqref="W437:W442 W444:W465">
    <cfRule type="expression" dxfId="161" priority="161">
      <formula>AND(V437=0,(W437&gt;0))</formula>
    </cfRule>
    <cfRule type="expression" dxfId="160" priority="162">
      <formula>((W437-V437)/V437)&gt;0.05</formula>
    </cfRule>
  </conditionalFormatting>
  <conditionalFormatting sqref="W443">
    <cfRule type="expression" dxfId="159" priority="159">
      <formula>AND(V443=0,(W443&gt;0))</formula>
    </cfRule>
    <cfRule type="expression" dxfId="158" priority="160">
      <formula>((W443-V443)/V443)&gt;0.05</formula>
    </cfRule>
  </conditionalFormatting>
  <conditionalFormatting sqref="W476">
    <cfRule type="expression" dxfId="157" priority="157">
      <formula>AND(V476=0,(W476&gt;0))</formula>
    </cfRule>
    <cfRule type="expression" dxfId="156" priority="158">
      <formula>((W476-V476)/V476)&gt;0.05</formula>
    </cfRule>
  </conditionalFormatting>
  <conditionalFormatting sqref="W477:W486">
    <cfRule type="expression" dxfId="155" priority="155">
      <formula>AND(V477=0,(W477&gt;0))</formula>
    </cfRule>
    <cfRule type="expression" dxfId="154" priority="156">
      <formula>((W477-V477)/V477)&gt;0.05</formula>
    </cfRule>
  </conditionalFormatting>
  <conditionalFormatting sqref="W487:W513">
    <cfRule type="expression" dxfId="153" priority="153">
      <formula>AND(V487=0,(W487&gt;0))</formula>
    </cfRule>
    <cfRule type="expression" dxfId="152" priority="154">
      <formula>((W487-V487)/V487)&gt;0.05</formula>
    </cfRule>
  </conditionalFormatting>
  <conditionalFormatting sqref="W514:W518">
    <cfRule type="expression" dxfId="151" priority="151">
      <formula>AND(V514=0,(W514&gt;0))</formula>
    </cfRule>
    <cfRule type="expression" dxfId="150" priority="152">
      <formula>((W514-V514)/V514)&gt;0.05</formula>
    </cfRule>
  </conditionalFormatting>
  <conditionalFormatting sqref="Y466:Y475">
    <cfRule type="expression" dxfId="149" priority="149">
      <formula>AND(X466=0,(Y466&gt;0))</formula>
    </cfRule>
    <cfRule type="expression" dxfId="148" priority="150">
      <formula>((Y466-X466)/X466)&gt;0.05</formula>
    </cfRule>
  </conditionalFormatting>
  <conditionalFormatting sqref="Y436 Y519:Y541">
    <cfRule type="expression" dxfId="147" priority="147">
      <formula>AND(X436=0,(Y436&gt;0))</formula>
    </cfRule>
    <cfRule type="expression" dxfId="146" priority="148">
      <formula>((Y436-X436)/X436)&gt;0.05</formula>
    </cfRule>
  </conditionalFormatting>
  <conditionalFormatting sqref="Y437:Y442 Y444:Y465">
    <cfRule type="expression" dxfId="145" priority="145">
      <formula>AND(X437=0,(Y437&gt;0))</formula>
    </cfRule>
    <cfRule type="expression" dxfId="144" priority="146">
      <formula>((Y437-X437)/X437)&gt;0.05</formula>
    </cfRule>
  </conditionalFormatting>
  <conditionalFormatting sqref="Y443">
    <cfRule type="expression" dxfId="143" priority="143">
      <formula>AND(X443=0,(Y443&gt;0))</formula>
    </cfRule>
    <cfRule type="expression" dxfId="142" priority="144">
      <formula>((Y443-X443)/X443)&gt;0.05</formula>
    </cfRule>
  </conditionalFormatting>
  <conditionalFormatting sqref="Y476">
    <cfRule type="expression" dxfId="141" priority="141">
      <formula>AND(X476=0,(Y476&gt;0))</formula>
    </cfRule>
    <cfRule type="expression" dxfId="140" priority="142">
      <formula>((Y476-X476)/X476)&gt;0.05</formula>
    </cfRule>
  </conditionalFormatting>
  <conditionalFormatting sqref="Y477:Y486">
    <cfRule type="expression" dxfId="139" priority="139">
      <formula>AND(X477=0,(Y477&gt;0))</formula>
    </cfRule>
    <cfRule type="expression" dxfId="138" priority="140">
      <formula>((Y477-X477)/X477)&gt;0.05</formula>
    </cfRule>
  </conditionalFormatting>
  <conditionalFormatting sqref="Y487:Y513">
    <cfRule type="expression" dxfId="137" priority="137">
      <formula>AND(X487=0,(Y487&gt;0))</formula>
    </cfRule>
    <cfRule type="expression" dxfId="136" priority="138">
      <formula>((Y487-X487)/X487)&gt;0.05</formula>
    </cfRule>
  </conditionalFormatting>
  <conditionalFormatting sqref="Y514:Y518">
    <cfRule type="expression" dxfId="135" priority="135">
      <formula>AND(X514=0,(Y514&gt;0))</formula>
    </cfRule>
    <cfRule type="expression" dxfId="134" priority="136">
      <formula>((Y514-X514)/X514)&gt;0.05</formula>
    </cfRule>
  </conditionalFormatting>
  <conditionalFormatting sqref="AC466:AE475">
    <cfRule type="expression" dxfId="133" priority="133">
      <formula>AND(Z466=0,(AC466&gt;0))</formula>
    </cfRule>
    <cfRule type="expression" dxfId="132" priority="134">
      <formula>((AC466-Z466)/Z466)&gt;0.05</formula>
    </cfRule>
  </conditionalFormatting>
  <conditionalFormatting sqref="AC436 AC519:AC541">
    <cfRule type="expression" dxfId="131" priority="131">
      <formula>AND(Z436=0,(AC436&gt;0))</formula>
    </cfRule>
    <cfRule type="expression" dxfId="130" priority="132">
      <formula>((AC436-Z436)/Z436)&gt;0.05</formula>
    </cfRule>
  </conditionalFormatting>
  <conditionalFormatting sqref="AC437:AC442 AC444:AC465">
    <cfRule type="expression" dxfId="129" priority="129">
      <formula>AND(Z437=0,(AC437&gt;0))</formula>
    </cfRule>
    <cfRule type="expression" dxfId="128" priority="130">
      <formula>((AC437-Z437)/Z437)&gt;0.05</formula>
    </cfRule>
  </conditionalFormatting>
  <conditionalFormatting sqref="AC443">
    <cfRule type="expression" dxfId="127" priority="127">
      <formula>AND(Z443=0,(AC443&gt;0))</formula>
    </cfRule>
    <cfRule type="expression" dxfId="126" priority="128">
      <formula>((AC443-Z443)/Z443)&gt;0.05</formula>
    </cfRule>
  </conditionalFormatting>
  <conditionalFormatting sqref="AC476">
    <cfRule type="expression" dxfId="125" priority="125">
      <formula>AND(Z476=0,(AC476&gt;0))</formula>
    </cfRule>
    <cfRule type="expression" dxfId="124" priority="126">
      <formula>((AC476-Z476)/Z476)&gt;0.05</formula>
    </cfRule>
  </conditionalFormatting>
  <conditionalFormatting sqref="AC477:AC486">
    <cfRule type="expression" dxfId="123" priority="123">
      <formula>AND(Z477=0,(AC477&gt;0))</formula>
    </cfRule>
    <cfRule type="expression" dxfId="122" priority="124">
      <formula>((AC477-Z477)/Z477)&gt;0.05</formula>
    </cfRule>
  </conditionalFormatting>
  <conditionalFormatting sqref="AC487:AC513">
    <cfRule type="expression" dxfId="121" priority="121">
      <formula>AND(Z487=0,(AC487&gt;0))</formula>
    </cfRule>
    <cfRule type="expression" dxfId="120" priority="122">
      <formula>((AC487-Z487)/Z487)&gt;0.05</formula>
    </cfRule>
  </conditionalFormatting>
  <conditionalFormatting sqref="AC514:AC518">
    <cfRule type="expression" dxfId="119" priority="119">
      <formula>AND(Z514=0,(AC514&gt;0))</formula>
    </cfRule>
    <cfRule type="expression" dxfId="118" priority="120">
      <formula>((AC514-Z514)/Z514)&gt;0.05</formula>
    </cfRule>
  </conditionalFormatting>
  <conditionalFormatting sqref="AD436 AD519:AD541">
    <cfRule type="expression" dxfId="117" priority="117">
      <formula>AND(AA436=0,(AD436&gt;0))</formula>
    </cfRule>
    <cfRule type="expression" dxfId="116" priority="118">
      <formula>((AD436-AA436)/AA436)&gt;0.05</formula>
    </cfRule>
  </conditionalFormatting>
  <conditionalFormatting sqref="AD437:AD465">
    <cfRule type="expression" dxfId="115" priority="115">
      <formula>AND(AA437=0,(AD437&gt;0))</formula>
    </cfRule>
    <cfRule type="expression" dxfId="114" priority="116">
      <formula>((AD437-AA437)/AA437)&gt;0.05</formula>
    </cfRule>
  </conditionalFormatting>
  <conditionalFormatting sqref="AD476">
    <cfRule type="expression" dxfId="113" priority="113">
      <formula>AND(AA476=0,(AD476&gt;0))</formula>
    </cfRule>
    <cfRule type="expression" dxfId="112" priority="114">
      <formula>((AD476-AA476)/AA476)&gt;0.05</formula>
    </cfRule>
  </conditionalFormatting>
  <conditionalFormatting sqref="AD477:AD486">
    <cfRule type="expression" dxfId="111" priority="111">
      <formula>AND(AA477=0,(AD477&gt;0))</formula>
    </cfRule>
    <cfRule type="expression" dxfId="110" priority="112">
      <formula>((AD477-AA477)/AA477)&gt;0.05</formula>
    </cfRule>
  </conditionalFormatting>
  <conditionalFormatting sqref="AD487:AD513">
    <cfRule type="expression" dxfId="109" priority="109">
      <formula>AND(AA487=0,(AD487&gt;0))</formula>
    </cfRule>
    <cfRule type="expression" dxfId="108" priority="110">
      <formula>((AD487-AA487)/AA487)&gt;0.05</formula>
    </cfRule>
  </conditionalFormatting>
  <conditionalFormatting sqref="AD514:AD518">
    <cfRule type="expression" dxfId="107" priority="107">
      <formula>AND(AA514=0,(AD514&gt;0))</formula>
    </cfRule>
    <cfRule type="expression" dxfId="106" priority="108">
      <formula>((AD514-AA514)/AA514)&gt;0.05</formula>
    </cfRule>
  </conditionalFormatting>
  <conditionalFormatting sqref="AE436 AE519:AE541">
    <cfRule type="expression" dxfId="105" priority="105">
      <formula>AND(AB436=0,(AE436&gt;0))</formula>
    </cfRule>
    <cfRule type="expression" dxfId="104" priority="106">
      <formula>((AE436-AB436)/AB436)&gt;0.05</formula>
    </cfRule>
  </conditionalFormatting>
  <conditionalFormatting sqref="AE437:AE442 AE444:AE465">
    <cfRule type="expression" dxfId="103" priority="103">
      <formula>AND(AB437=0,(AE437&gt;0))</formula>
    </cfRule>
    <cfRule type="expression" dxfId="102" priority="104">
      <formula>((AE437-AB437)/AB437)&gt;0.05</formula>
    </cfRule>
  </conditionalFormatting>
  <conditionalFormatting sqref="AE443">
    <cfRule type="expression" dxfId="101" priority="101">
      <formula>AND(AB443=0,(AE443&gt;0))</formula>
    </cfRule>
    <cfRule type="expression" dxfId="100" priority="102">
      <formula>((AE443-AB443)/AB443)&gt;0.05</formula>
    </cfRule>
  </conditionalFormatting>
  <conditionalFormatting sqref="AE476">
    <cfRule type="expression" dxfId="99" priority="99">
      <formula>AND(AB476=0,(AE476&gt;0))</formula>
    </cfRule>
    <cfRule type="expression" dxfId="98" priority="100">
      <formula>((AE476-AB476)/AB476)&gt;0.05</formula>
    </cfRule>
  </conditionalFormatting>
  <conditionalFormatting sqref="AE477:AE486">
    <cfRule type="expression" dxfId="97" priority="97">
      <formula>AND(AB477=0,(AE477&gt;0))</formula>
    </cfRule>
    <cfRule type="expression" dxfId="96" priority="98">
      <formula>((AE477-AB477)/AB477)&gt;0.05</formula>
    </cfRule>
  </conditionalFormatting>
  <conditionalFormatting sqref="AE487:AE513">
    <cfRule type="expression" dxfId="95" priority="95">
      <formula>AND(AB487=0,(AE487&gt;0))</formula>
    </cfRule>
    <cfRule type="expression" dxfId="94" priority="96">
      <formula>((AE487-AB487)/AB487)&gt;0.05</formula>
    </cfRule>
  </conditionalFormatting>
  <conditionalFormatting sqref="AE514:AE518">
    <cfRule type="expression" dxfId="93" priority="93">
      <formula>AND(AB514=0,(AE514&gt;0))</formula>
    </cfRule>
    <cfRule type="expression" dxfId="92" priority="94">
      <formula>((AE514-AB514)/AB514)&gt;0.05</formula>
    </cfRule>
  </conditionalFormatting>
  <conditionalFormatting sqref="S542">
    <cfRule type="expression" dxfId="91" priority="91">
      <formula>AND(R542=0,(S542&gt;0))</formula>
    </cfRule>
    <cfRule type="expression" dxfId="90" priority="92">
      <formula>((S542-R542)/R542)&gt;0.05</formula>
    </cfRule>
  </conditionalFormatting>
  <conditionalFormatting sqref="AG542">
    <cfRule type="expression" dxfId="89" priority="89">
      <formula>AND(AF542=0,(AG542&gt;0))</formula>
    </cfRule>
    <cfRule type="expression" dxfId="88" priority="90">
      <formula>((AG542-AF542)/AF542)&gt;0.05</formula>
    </cfRule>
  </conditionalFormatting>
  <conditionalFormatting sqref="I542">
    <cfRule type="expression" dxfId="87" priority="87">
      <formula>AND(H542=0,(I542&gt;0))</formula>
    </cfRule>
    <cfRule type="expression" dxfId="86" priority="88">
      <formula>((I542-H542)/H542)&gt;0.05</formula>
    </cfRule>
  </conditionalFormatting>
  <conditionalFormatting sqref="K542">
    <cfRule type="expression" dxfId="85" priority="85">
      <formula>AND(J542=0,(K542&gt;0))</formula>
    </cfRule>
    <cfRule type="expression" dxfId="84" priority="86">
      <formula>((K542-J542)/J542)&gt;0.05</formula>
    </cfRule>
  </conditionalFormatting>
  <conditionalFormatting sqref="O542">
    <cfRule type="expression" dxfId="83" priority="83">
      <formula>AND(L542=0,(O542&gt;0))</formula>
    </cfRule>
    <cfRule type="expression" dxfId="82" priority="84">
      <formula>((O542-L542)/L542)&gt;0.05</formula>
    </cfRule>
  </conditionalFormatting>
  <conditionalFormatting sqref="P542">
    <cfRule type="expression" dxfId="81" priority="81">
      <formula>AND(M542=0,(P542&gt;0))</formula>
    </cfRule>
    <cfRule type="expression" dxfId="80" priority="82">
      <formula>((P542-M542)/M542)&gt;0.05</formula>
    </cfRule>
  </conditionalFormatting>
  <conditionalFormatting sqref="Q542">
    <cfRule type="expression" dxfId="79" priority="79">
      <formula>AND(N542=0,(Q542&gt;0))</formula>
    </cfRule>
    <cfRule type="expression" dxfId="78" priority="80">
      <formula>((Q542-N542)/N542)&gt;0.05</formula>
    </cfRule>
  </conditionalFormatting>
  <conditionalFormatting sqref="W542">
    <cfRule type="expression" dxfId="77" priority="77">
      <formula>AND(V542=0,(W542&gt;0))</formula>
    </cfRule>
    <cfRule type="expression" dxfId="76" priority="78">
      <formula>((W542-V542)/V542)&gt;0.05</formula>
    </cfRule>
  </conditionalFormatting>
  <conditionalFormatting sqref="Y542">
    <cfRule type="expression" dxfId="75" priority="75">
      <formula>AND(X542=0,(Y542&gt;0))</formula>
    </cfRule>
    <cfRule type="expression" dxfId="74" priority="76">
      <formula>((Y542-X542)/X542)&gt;0.05</formula>
    </cfRule>
  </conditionalFormatting>
  <conditionalFormatting sqref="AC542">
    <cfRule type="expression" dxfId="73" priority="73">
      <formula>AND(Z542=0,(AC542&gt;0))</formula>
    </cfRule>
    <cfRule type="expression" dxfId="72" priority="74">
      <formula>((AC542-Z542)/Z542)&gt;0.05</formula>
    </cfRule>
  </conditionalFormatting>
  <conditionalFormatting sqref="AD542">
    <cfRule type="expression" dxfId="71" priority="71">
      <formula>AND(AA542=0,(AD542&gt;0))</formula>
    </cfRule>
    <cfRule type="expression" dxfId="70" priority="72">
      <formula>((AD542-AA542)/AA542)&gt;0.05</formula>
    </cfRule>
  </conditionalFormatting>
  <conditionalFormatting sqref="AE542">
    <cfRule type="expression" dxfId="69" priority="69">
      <formula>AND(AB542=0,(AE542&gt;0))</formula>
    </cfRule>
    <cfRule type="expression" dxfId="68" priority="70">
      <formula>((AE542-AB542)/AB542)&gt;0.05</formula>
    </cfRule>
  </conditionalFormatting>
  <conditionalFormatting sqref="I543:I580">
    <cfRule type="expression" dxfId="67" priority="67">
      <formula>AND(H543=0,(I543&gt;0))</formula>
    </cfRule>
    <cfRule type="expression" dxfId="66" priority="68">
      <formula>((I543-H543)/H543)&gt;0.05</formula>
    </cfRule>
  </conditionalFormatting>
  <conditionalFormatting sqref="O543:Q580">
    <cfRule type="expression" dxfId="65" priority="65">
      <formula>AND(L543=0,(O543&gt;0))</formula>
    </cfRule>
    <cfRule type="expression" dxfId="64" priority="66">
      <formula>((O543-L543)/L543)&gt;0.05</formula>
    </cfRule>
  </conditionalFormatting>
  <conditionalFormatting sqref="K543:K580">
    <cfRule type="expression" dxfId="63" priority="63">
      <formula>AND(J543=0,(K543&gt;0))</formula>
    </cfRule>
    <cfRule type="expression" dxfId="62" priority="64">
      <formula>((K543-J543)/J543)&gt;0.05</formula>
    </cfRule>
  </conditionalFormatting>
  <conditionalFormatting sqref="S543:S580">
    <cfRule type="expression" dxfId="61" priority="61">
      <formula>AND(R543=0,(S543&gt;0))</formula>
    </cfRule>
    <cfRule type="expression" dxfId="60" priority="62">
      <formula>((S543-R543)/R543)&gt;0.05</formula>
    </cfRule>
  </conditionalFormatting>
  <conditionalFormatting sqref="W543:W580">
    <cfRule type="expression" dxfId="59" priority="59">
      <formula>AND(V543=0,(W543&gt;0))</formula>
    </cfRule>
    <cfRule type="expression" dxfId="58" priority="60">
      <formula>((W543-V543)/V543)&gt;0.05</formula>
    </cfRule>
  </conditionalFormatting>
  <conditionalFormatting sqref="Y543:Y580">
    <cfRule type="expression" dxfId="57" priority="57">
      <formula>AND(X543=0,(Y543&gt;0))</formula>
    </cfRule>
    <cfRule type="expression" dxfId="56" priority="58">
      <formula>((Y543-X543)/X543)&gt;0.05</formula>
    </cfRule>
  </conditionalFormatting>
  <conditionalFormatting sqref="AG543:AG580">
    <cfRule type="expression" dxfId="55" priority="55">
      <formula>AND(AF543=0,(AG543&gt;0))</formula>
    </cfRule>
    <cfRule type="expression" dxfId="54" priority="56">
      <formula>((AG543-AF543)/AF543)&gt;0.05</formula>
    </cfRule>
  </conditionalFormatting>
  <conditionalFormatting sqref="AC543:AE580">
    <cfRule type="expression" dxfId="53" priority="53">
      <formula>AND(Z543=0,(AC543&gt;0))</formula>
    </cfRule>
    <cfRule type="expression" dxfId="52" priority="54">
      <formula>((AC543-Z543)/Z543)&gt;0.05</formula>
    </cfRule>
  </conditionalFormatting>
  <conditionalFormatting sqref="I239">
    <cfRule type="expression" dxfId="51" priority="51">
      <formula>AND(H239=0,(I239&gt;0))</formula>
    </cfRule>
    <cfRule type="expression" dxfId="50" priority="52">
      <formula>((I239-H239)/H239)&gt;0.05</formula>
    </cfRule>
  </conditionalFormatting>
  <conditionalFormatting sqref="O239">
    <cfRule type="expression" dxfId="49" priority="49">
      <formula>AND(L239=0,(O239&gt;0))</formula>
    </cfRule>
    <cfRule type="expression" dxfId="48" priority="50">
      <formula>((O239-L239)/L239)&gt;0.05</formula>
    </cfRule>
  </conditionalFormatting>
  <conditionalFormatting sqref="I232:I238">
    <cfRule type="expression" dxfId="47" priority="47">
      <formula>AND(H232=0,(I232&gt;0))</formula>
    </cfRule>
    <cfRule type="expression" dxfId="46" priority="48">
      <formula>((I232-H232)/H232)&gt;0.05</formula>
    </cfRule>
  </conditionalFormatting>
  <conditionalFormatting sqref="O232:Q238 Q239">
    <cfRule type="expression" dxfId="45" priority="45">
      <formula>AND(L232=0,(O232&gt;0))</formula>
    </cfRule>
    <cfRule type="expression" dxfId="44" priority="46">
      <formula>((O232-L232)/L232)&gt;0.05</formula>
    </cfRule>
  </conditionalFormatting>
  <conditionalFormatting sqref="P239">
    <cfRule type="expression" dxfId="43" priority="43">
      <formula>AND(M239=0,(P239&gt;0))</formula>
    </cfRule>
    <cfRule type="expression" dxfId="42" priority="44">
      <formula>((P239-M239)/M239)&gt;0.05</formula>
    </cfRule>
  </conditionalFormatting>
  <conditionalFormatting sqref="K239">
    <cfRule type="expression" dxfId="41" priority="41">
      <formula>AND(J239=0,(K239&gt;0))</formula>
    </cfRule>
    <cfRule type="expression" dxfId="40" priority="42">
      <formula>((K239-J239)/J239)&gt;0.05</formula>
    </cfRule>
  </conditionalFormatting>
  <conditionalFormatting sqref="K232:K238">
    <cfRule type="expression" dxfId="39" priority="39">
      <formula>AND(J232=0,(K232&gt;0))</formula>
    </cfRule>
    <cfRule type="expression" dxfId="38" priority="40">
      <formula>((K232-J232)/J232)&gt;0.05</formula>
    </cfRule>
  </conditionalFormatting>
  <conditionalFormatting sqref="S239">
    <cfRule type="expression" dxfId="37" priority="37">
      <formula>AND(R239=0,(S239&gt;0))</formula>
    </cfRule>
    <cfRule type="expression" dxfId="36" priority="38">
      <formula>((S239-R239)/R239)&gt;0.05</formula>
    </cfRule>
  </conditionalFormatting>
  <conditionalFormatting sqref="S232:S238">
    <cfRule type="expression" dxfId="35" priority="35">
      <formula>AND(R232=0,(S232&gt;0))</formula>
    </cfRule>
    <cfRule type="expression" dxfId="34" priority="36">
      <formula>((S232-R232)/R232)&gt;0.05</formula>
    </cfRule>
  </conditionalFormatting>
  <conditionalFormatting sqref="W239">
    <cfRule type="expression" dxfId="33" priority="33">
      <formula>AND(V239=0,(W239&gt;0))</formula>
    </cfRule>
    <cfRule type="expression" dxfId="32" priority="34">
      <formula>((W239-V239)/V239)&gt;0.05</formula>
    </cfRule>
  </conditionalFormatting>
  <conditionalFormatting sqref="W232:W238">
    <cfRule type="expression" dxfId="31" priority="31">
      <formula>AND(V232=0,(W232&gt;0))</formula>
    </cfRule>
    <cfRule type="expression" dxfId="30" priority="32">
      <formula>((W232-V232)/V232)&gt;0.05</formula>
    </cfRule>
  </conditionalFormatting>
  <conditionalFormatting sqref="Y239">
    <cfRule type="expression" dxfId="29" priority="29">
      <formula>AND(X239=0,(Y239&gt;0))</formula>
    </cfRule>
    <cfRule type="expression" dxfId="28" priority="30">
      <formula>((Y239-X239)/X239)&gt;0.05</formula>
    </cfRule>
  </conditionalFormatting>
  <conditionalFormatting sqref="Y232:Y238">
    <cfRule type="expression" dxfId="27" priority="27">
      <formula>AND(X232=0,(Y232&gt;0))</formula>
    </cfRule>
    <cfRule type="expression" dxfId="26" priority="28">
      <formula>((Y232-X232)/X232)&gt;0.05</formula>
    </cfRule>
  </conditionalFormatting>
  <conditionalFormatting sqref="AG239">
    <cfRule type="expression" dxfId="25" priority="25">
      <formula>AND(AF239=0,(AG239&gt;0))</formula>
    </cfRule>
    <cfRule type="expression" dxfId="24" priority="26">
      <formula>((AG239-AF239)/AF239)&gt;0.05</formula>
    </cfRule>
  </conditionalFormatting>
  <conditionalFormatting sqref="AG232:AG238">
    <cfRule type="expression" dxfId="23" priority="23">
      <formula>AND(AF232=0,(AG232&gt;0))</formula>
    </cfRule>
    <cfRule type="expression" dxfId="22" priority="24">
      <formula>((AG232-AF232)/AF232)&gt;0.05</formula>
    </cfRule>
  </conditionalFormatting>
  <conditionalFormatting sqref="AC239">
    <cfRule type="expression" dxfId="21" priority="21">
      <formula>AND(Z239=0,(AC239&gt;0))</formula>
    </cfRule>
    <cfRule type="expression" dxfId="20" priority="22">
      <formula>((AC239-Z239)/Z239)&gt;0.05</formula>
    </cfRule>
  </conditionalFormatting>
  <conditionalFormatting sqref="AC232:AE238 AE239">
    <cfRule type="expression" dxfId="19" priority="19">
      <formula>AND(Z232=0,(AC232&gt;0))</formula>
    </cfRule>
    <cfRule type="expression" dxfId="18" priority="20">
      <formula>((AC232-Z232)/Z232)&gt;0.05</formula>
    </cfRule>
  </conditionalFormatting>
  <conditionalFormatting sqref="AD239">
    <cfRule type="expression" dxfId="17" priority="17">
      <formula>AND(AA239=0,(AD239&gt;0))</formula>
    </cfRule>
    <cfRule type="expression" dxfId="16" priority="18">
      <formula>((AD239-AA239)/AA239)&gt;0.05</formula>
    </cfRule>
  </conditionalFormatting>
  <conditionalFormatting sqref="I81">
    <cfRule type="expression" dxfId="15" priority="15">
      <formula>AND(H81=0,(I81&gt;0))</formula>
    </cfRule>
    <cfRule type="expression" dxfId="14" priority="16">
      <formula>((I81-H81)/H81)&gt;0.05</formula>
    </cfRule>
  </conditionalFormatting>
  <conditionalFormatting sqref="O81:Q81">
    <cfRule type="expression" dxfId="13" priority="13">
      <formula>AND(L81=0,(O81&gt;0))</formula>
    </cfRule>
    <cfRule type="expression" dxfId="12" priority="14">
      <formula>((O81-L81)/L81)&gt;0.05</formula>
    </cfRule>
  </conditionalFormatting>
  <conditionalFormatting sqref="K81">
    <cfRule type="expression" dxfId="11" priority="11">
      <formula>AND(J81=0,(K81&gt;0))</formula>
    </cfRule>
    <cfRule type="expression" dxfId="10" priority="12">
      <formula>((K81-J81)/J81)&gt;0.05</formula>
    </cfRule>
  </conditionalFormatting>
  <conditionalFormatting sqref="S81">
    <cfRule type="expression" dxfId="9" priority="9">
      <formula>AND(R81=0,(S81&gt;0))</formula>
    </cfRule>
    <cfRule type="expression" dxfId="8" priority="10">
      <formula>((S81-R81)/R81)&gt;0.05</formula>
    </cfRule>
  </conditionalFormatting>
  <conditionalFormatting sqref="W81">
    <cfRule type="expression" dxfId="7" priority="7">
      <formula>AND(V81=0,(W81&gt;0))</formula>
    </cfRule>
    <cfRule type="expression" dxfId="6" priority="8">
      <formula>((W81-V81)/V81)&gt;0.05</formula>
    </cfRule>
  </conditionalFormatting>
  <conditionalFormatting sqref="Y81">
    <cfRule type="expression" dxfId="5" priority="5">
      <formula>AND(X81=0,(Y81&gt;0))</formula>
    </cfRule>
    <cfRule type="expression" dxfId="4" priority="6">
      <formula>((Y81-X81)/X81)&gt;0.05</formula>
    </cfRule>
  </conditionalFormatting>
  <conditionalFormatting sqref="AG81">
    <cfRule type="expression" dxfId="3" priority="3">
      <formula>AND(AF81=0,(AG81&gt;0))</formula>
    </cfRule>
    <cfRule type="expression" dxfId="2" priority="4">
      <formula>((AG81-AF81)/AF81)&gt;0.05</formula>
    </cfRule>
  </conditionalFormatting>
  <conditionalFormatting sqref="AC81:AE81">
    <cfRule type="expression" dxfId="1" priority="1">
      <formula>AND(Z81=0,(AC81&gt;0))</formula>
    </cfRule>
    <cfRule type="expression" dxfId="0" priority="2">
      <formula>((AC81-Z81)/Z81)&gt;0.05</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W725"/>
  <sheetViews>
    <sheetView workbookViewId="0">
      <selection sqref="A1:XFD1048576"/>
    </sheetView>
  </sheetViews>
  <sheetFormatPr defaultRowHeight="15"/>
  <cols>
    <col min="1" max="1" width="6" style="148" customWidth="1"/>
    <col min="2" max="2" width="21.7109375" style="148" customWidth="1"/>
    <col min="3" max="3" width="12.85546875" style="148" customWidth="1"/>
    <col min="4" max="9" width="12.85546875" style="156" customWidth="1"/>
    <col min="10" max="10" width="16" style="156" customWidth="1"/>
    <col min="11" max="14" width="11.140625" style="156" customWidth="1"/>
    <col min="15" max="15" width="14.28515625" style="156" customWidth="1"/>
    <col min="16" max="17" width="11.28515625" style="156" customWidth="1"/>
    <col min="18" max="18" width="14.5703125" style="156" customWidth="1"/>
    <col min="19" max="21" width="11.42578125" style="156" customWidth="1"/>
    <col min="22" max="22" width="9.140625" style="148" customWidth="1"/>
    <col min="23" max="16384" width="9.140625" style="148"/>
  </cols>
  <sheetData>
    <row r="3" spans="1:22">
      <c r="A3" s="246"/>
      <c r="B3" s="158"/>
      <c r="C3" s="246"/>
      <c r="D3" s="271"/>
      <c r="E3" s="271"/>
      <c r="F3" s="159"/>
      <c r="G3" s="159"/>
      <c r="H3" s="159"/>
      <c r="I3" s="159"/>
      <c r="J3" s="247"/>
      <c r="K3" s="247"/>
      <c r="L3" s="247"/>
      <c r="M3" s="247"/>
      <c r="N3" s="247"/>
      <c r="O3" s="247"/>
      <c r="P3" s="247"/>
      <c r="Q3" s="247"/>
      <c r="R3" s="247"/>
      <c r="S3" s="302"/>
      <c r="T3" s="302"/>
      <c r="U3" s="247"/>
      <c r="V3" s="380"/>
    </row>
    <row r="4" spans="1:22">
      <c r="A4" s="160"/>
      <c r="B4" s="161"/>
      <c r="C4" s="160"/>
      <c r="D4" s="162"/>
      <c r="E4" s="161"/>
      <c r="F4" s="161"/>
      <c r="G4" s="161"/>
      <c r="H4" s="161"/>
      <c r="I4" s="161"/>
      <c r="J4" s="246"/>
      <c r="K4" s="309"/>
      <c r="L4" s="162"/>
      <c r="M4" s="161"/>
      <c r="N4" s="161"/>
      <c r="O4" s="246"/>
      <c r="P4" s="246"/>
      <c r="Q4" s="249"/>
      <c r="R4" s="246"/>
      <c r="S4" s="300"/>
      <c r="T4" s="300"/>
      <c r="U4" s="378"/>
      <c r="V4" s="380"/>
    </row>
    <row r="5" spans="1:22">
      <c r="A5" s="246"/>
      <c r="B5" s="246"/>
      <c r="C5" s="246"/>
      <c r="D5" s="251"/>
      <c r="E5" s="251"/>
      <c r="F5" s="251"/>
      <c r="G5" s="251"/>
      <c r="H5" s="251"/>
      <c r="I5" s="251"/>
      <c r="J5" s="164"/>
      <c r="K5" s="163"/>
      <c r="L5" s="251"/>
      <c r="M5" s="251"/>
      <c r="N5" s="251"/>
      <c r="O5" s="164"/>
      <c r="P5" s="306"/>
      <c r="R5" s="164"/>
      <c r="S5" s="301"/>
      <c r="T5" s="301"/>
      <c r="U5" s="379"/>
      <c r="V5" s="380"/>
    </row>
    <row r="6" spans="1:22">
      <c r="A6" s="296"/>
      <c r="B6" s="246"/>
      <c r="C6" s="297"/>
      <c r="D6" s="298"/>
      <c r="E6" s="298"/>
      <c r="F6" s="298"/>
      <c r="G6" s="298"/>
      <c r="H6" s="298"/>
      <c r="I6" s="298"/>
      <c r="J6" s="307"/>
      <c r="K6" s="307"/>
      <c r="L6" s="298"/>
      <c r="M6" s="298"/>
      <c r="N6" s="298"/>
      <c r="O6" s="307"/>
      <c r="P6" s="165"/>
      <c r="Q6" s="298"/>
      <c r="R6" s="307"/>
      <c r="S6" s="307"/>
      <c r="T6" s="307"/>
      <c r="U6" s="307"/>
      <c r="V6" s="380"/>
    </row>
    <row r="7" spans="1:22">
      <c r="A7" s="166"/>
      <c r="B7" s="167"/>
      <c r="C7" s="168"/>
      <c r="D7" s="169"/>
      <c r="E7" s="169"/>
      <c r="F7" s="169"/>
      <c r="G7" s="169"/>
      <c r="H7" s="169"/>
      <c r="I7" s="169"/>
      <c r="J7" s="170"/>
      <c r="K7" s="170"/>
      <c r="L7" s="169"/>
      <c r="M7" s="169"/>
      <c r="N7" s="169"/>
      <c r="O7" s="170"/>
      <c r="P7" s="170"/>
      <c r="Q7" s="169"/>
      <c r="R7" s="170"/>
      <c r="S7" s="170"/>
      <c r="T7" s="170"/>
      <c r="U7" s="170"/>
      <c r="V7" s="380"/>
    </row>
    <row r="8" spans="1:22">
      <c r="A8" s="166"/>
      <c r="B8" s="199"/>
      <c r="C8" s="200"/>
      <c r="D8" s="201"/>
      <c r="E8" s="201"/>
      <c r="F8" s="201"/>
      <c r="G8" s="201"/>
      <c r="H8" s="656"/>
      <c r="I8" s="201"/>
      <c r="J8" s="202"/>
      <c r="K8" s="202"/>
      <c r="L8" s="201"/>
      <c r="M8" s="201"/>
      <c r="N8" s="201"/>
      <c r="O8" s="202"/>
      <c r="P8" s="657"/>
      <c r="Q8" s="201"/>
      <c r="R8" s="202"/>
      <c r="S8" s="202"/>
      <c r="T8" s="202"/>
      <c r="U8" s="202"/>
      <c r="V8" s="380"/>
    </row>
    <row r="9" spans="1:22">
      <c r="A9" s="166"/>
      <c r="B9" s="246"/>
      <c r="C9" s="297"/>
      <c r="D9" s="298"/>
      <c r="E9" s="298"/>
      <c r="F9" s="298"/>
      <c r="G9" s="298"/>
      <c r="H9" s="298"/>
      <c r="I9" s="298"/>
      <c r="J9" s="307"/>
      <c r="K9" s="307"/>
      <c r="L9" s="298"/>
      <c r="M9" s="298"/>
      <c r="N9" s="298"/>
      <c r="O9" s="307"/>
      <c r="P9" s="165"/>
      <c r="Q9" s="298"/>
      <c r="R9" s="307"/>
      <c r="S9" s="307"/>
      <c r="T9" s="307"/>
      <c r="U9" s="307"/>
      <c r="V9" s="380"/>
    </row>
    <row r="10" spans="1:22">
      <c r="A10" s="166"/>
      <c r="B10" s="167"/>
      <c r="C10" s="168"/>
      <c r="D10" s="169"/>
      <c r="E10" s="169"/>
      <c r="F10" s="169"/>
      <c r="G10" s="169"/>
      <c r="H10" s="169"/>
      <c r="I10" s="169"/>
      <c r="J10" s="170"/>
      <c r="K10" s="170"/>
      <c r="L10" s="169"/>
      <c r="M10" s="169"/>
      <c r="N10" s="169"/>
      <c r="O10" s="170"/>
      <c r="P10" s="170"/>
      <c r="Q10" s="169"/>
      <c r="R10" s="170"/>
      <c r="S10" s="170"/>
      <c r="T10" s="170"/>
      <c r="U10" s="170"/>
      <c r="V10" s="380"/>
    </row>
    <row r="11" spans="1:22">
      <c r="A11" s="166"/>
      <c r="B11" s="199"/>
      <c r="C11" s="200"/>
      <c r="D11" s="201"/>
      <c r="E11" s="201"/>
      <c r="F11" s="201"/>
      <c r="G11" s="201"/>
      <c r="H11" s="201"/>
      <c r="I11" s="201"/>
      <c r="J11" s="202"/>
      <c r="K11" s="202"/>
      <c r="L11" s="201"/>
      <c r="M11" s="201"/>
      <c r="N11" s="201"/>
      <c r="O11" s="202"/>
      <c r="P11" s="657"/>
      <c r="Q11" s="201"/>
      <c r="R11" s="202"/>
      <c r="S11" s="202"/>
      <c r="T11" s="202"/>
      <c r="U11" s="202"/>
      <c r="V11" s="380"/>
    </row>
    <row r="12" spans="1:22">
      <c r="A12" s="166"/>
      <c r="B12" s="246"/>
      <c r="C12" s="297"/>
      <c r="D12" s="298"/>
      <c r="E12" s="298"/>
      <c r="F12" s="298"/>
      <c r="G12" s="298"/>
      <c r="H12" s="298"/>
      <c r="I12" s="298"/>
      <c r="J12" s="307"/>
      <c r="K12" s="307"/>
      <c r="L12" s="298"/>
      <c r="M12" s="298"/>
      <c r="N12" s="298"/>
      <c r="O12" s="307"/>
      <c r="P12" s="165"/>
      <c r="Q12" s="298"/>
      <c r="R12" s="307"/>
      <c r="S12" s="307"/>
      <c r="T12" s="307"/>
      <c r="U12" s="307"/>
      <c r="V12" s="380"/>
    </row>
    <row r="13" spans="1:22">
      <c r="A13" s="166"/>
      <c r="B13" s="167"/>
      <c r="C13" s="168"/>
      <c r="D13" s="169"/>
      <c r="E13" s="169"/>
      <c r="F13" s="169"/>
      <c r="G13" s="169"/>
      <c r="H13" s="169"/>
      <c r="I13" s="169"/>
      <c r="J13" s="170"/>
      <c r="K13" s="170"/>
      <c r="L13" s="169"/>
      <c r="M13" s="169"/>
      <c r="N13" s="169"/>
      <c r="O13" s="170"/>
      <c r="P13" s="170"/>
      <c r="Q13" s="169"/>
      <c r="R13" s="170"/>
      <c r="S13" s="170"/>
      <c r="T13" s="170"/>
      <c r="U13" s="170"/>
      <c r="V13" s="380"/>
    </row>
    <row r="14" spans="1:22" s="171" customFormat="1">
      <c r="A14" s="166"/>
      <c r="B14" s="199"/>
      <c r="C14" s="200"/>
      <c r="D14" s="201"/>
      <c r="E14" s="201"/>
      <c r="F14" s="201"/>
      <c r="G14" s="201"/>
      <c r="H14" s="656"/>
      <c r="I14" s="201"/>
      <c r="J14" s="202"/>
      <c r="K14" s="202"/>
      <c r="L14" s="201"/>
      <c r="M14" s="201"/>
      <c r="N14" s="201"/>
      <c r="O14" s="202"/>
      <c r="P14" s="202"/>
      <c r="Q14" s="201"/>
      <c r="R14" s="202"/>
      <c r="S14" s="202"/>
      <c r="T14" s="202"/>
      <c r="U14" s="202"/>
      <c r="V14" s="380"/>
    </row>
    <row r="15" spans="1:22">
      <c r="A15" s="166"/>
      <c r="B15" s="246"/>
      <c r="C15" s="297"/>
      <c r="D15" s="298"/>
      <c r="E15" s="298"/>
      <c r="F15" s="298"/>
      <c r="G15" s="298"/>
      <c r="H15" s="298"/>
      <c r="I15" s="298"/>
      <c r="J15" s="307"/>
      <c r="K15" s="307"/>
      <c r="L15" s="298"/>
      <c r="M15" s="298"/>
      <c r="N15" s="298"/>
      <c r="O15" s="307"/>
      <c r="P15" s="165"/>
      <c r="Q15" s="298"/>
      <c r="R15" s="307"/>
      <c r="S15" s="307"/>
      <c r="T15" s="307"/>
      <c r="U15" s="307"/>
      <c r="V15" s="380"/>
    </row>
    <row r="16" spans="1:22">
      <c r="A16" s="166"/>
      <c r="B16" s="167"/>
      <c r="C16" s="168"/>
      <c r="D16" s="169"/>
      <c r="E16" s="169"/>
      <c r="F16" s="169"/>
      <c r="G16" s="169"/>
      <c r="H16" s="169"/>
      <c r="I16" s="169"/>
      <c r="J16" s="170"/>
      <c r="K16" s="170"/>
      <c r="L16" s="169"/>
      <c r="M16" s="169"/>
      <c r="N16" s="169"/>
      <c r="O16" s="170"/>
      <c r="P16" s="170"/>
      <c r="Q16" s="169"/>
      <c r="R16" s="170"/>
      <c r="S16" s="170"/>
      <c r="T16" s="170"/>
      <c r="U16" s="170"/>
      <c r="V16" s="380"/>
    </row>
    <row r="17" spans="1:22">
      <c r="A17" s="166"/>
      <c r="B17" s="199"/>
      <c r="C17" s="200"/>
      <c r="D17" s="201"/>
      <c r="E17" s="201"/>
      <c r="F17" s="201"/>
      <c r="G17" s="201"/>
      <c r="H17" s="201"/>
      <c r="I17" s="201"/>
      <c r="J17" s="202"/>
      <c r="K17" s="202"/>
      <c r="L17" s="201"/>
      <c r="M17" s="201"/>
      <c r="N17" s="201"/>
      <c r="O17" s="202"/>
      <c r="P17" s="202"/>
      <c r="Q17" s="201"/>
      <c r="R17" s="202"/>
      <c r="S17" s="202"/>
      <c r="T17" s="202"/>
      <c r="U17" s="202"/>
      <c r="V17" s="380"/>
    </row>
    <row r="18" spans="1:22">
      <c r="A18" s="166"/>
      <c r="B18" s="246"/>
      <c r="C18" s="297"/>
      <c r="D18" s="298"/>
      <c r="E18" s="298"/>
      <c r="F18" s="298"/>
      <c r="G18" s="298"/>
      <c r="H18" s="298"/>
      <c r="I18" s="298"/>
      <c r="J18" s="307"/>
      <c r="K18" s="307"/>
      <c r="L18" s="298"/>
      <c r="M18" s="298"/>
      <c r="N18" s="298"/>
      <c r="O18" s="307"/>
      <c r="P18" s="165"/>
      <c r="Q18" s="298"/>
      <c r="R18" s="307"/>
      <c r="S18" s="307"/>
      <c r="T18" s="307"/>
      <c r="U18" s="307"/>
      <c r="V18" s="380"/>
    </row>
    <row r="19" spans="1:22">
      <c r="A19" s="166"/>
      <c r="B19" s="167"/>
      <c r="C19" s="168"/>
      <c r="D19" s="169"/>
      <c r="E19" s="169"/>
      <c r="F19" s="169"/>
      <c r="G19" s="169"/>
      <c r="H19" s="169"/>
      <c r="I19" s="169"/>
      <c r="J19" s="170"/>
      <c r="K19" s="170"/>
      <c r="L19" s="169"/>
      <c r="M19" s="169"/>
      <c r="N19" s="169"/>
      <c r="O19" s="170"/>
      <c r="P19" s="170"/>
      <c r="Q19" s="169"/>
      <c r="R19" s="170"/>
      <c r="S19" s="170"/>
      <c r="T19" s="170"/>
      <c r="U19" s="170"/>
      <c r="V19" s="380"/>
    </row>
    <row r="20" spans="1:22">
      <c r="A20" s="166"/>
      <c r="B20" s="199"/>
      <c r="C20" s="200"/>
      <c r="D20" s="201"/>
      <c r="E20" s="201"/>
      <c r="F20" s="201"/>
      <c r="G20" s="201"/>
      <c r="H20" s="201"/>
      <c r="I20" s="201"/>
      <c r="J20" s="202"/>
      <c r="K20" s="202"/>
      <c r="L20" s="201"/>
      <c r="M20" s="201"/>
      <c r="N20" s="656"/>
      <c r="O20" s="202"/>
      <c r="P20" s="202"/>
      <c r="Q20" s="201"/>
      <c r="R20" s="202"/>
      <c r="S20" s="202"/>
      <c r="T20" s="202"/>
      <c r="U20" s="202"/>
      <c r="V20" s="380"/>
    </row>
    <row r="21" spans="1:22">
      <c r="A21" s="166"/>
      <c r="B21" s="246"/>
      <c r="C21" s="297"/>
      <c r="D21" s="298"/>
      <c r="E21" s="298"/>
      <c r="F21" s="298"/>
      <c r="G21" s="298"/>
      <c r="H21" s="298"/>
      <c r="I21" s="298"/>
      <c r="J21" s="307"/>
      <c r="K21" s="307"/>
      <c r="L21" s="298"/>
      <c r="M21" s="298"/>
      <c r="N21" s="298"/>
      <c r="O21" s="307"/>
      <c r="P21" s="165"/>
      <c r="Q21" s="298"/>
      <c r="R21" s="307"/>
      <c r="S21" s="307"/>
      <c r="T21" s="307"/>
      <c r="U21" s="307"/>
      <c r="V21" s="380"/>
    </row>
    <row r="22" spans="1:22">
      <c r="A22" s="166"/>
      <c r="B22" s="167"/>
      <c r="C22" s="168"/>
      <c r="D22" s="169"/>
      <c r="E22" s="169"/>
      <c r="F22" s="169"/>
      <c r="G22" s="169"/>
      <c r="H22" s="169"/>
      <c r="I22" s="169"/>
      <c r="J22" s="170"/>
      <c r="K22" s="170"/>
      <c r="L22" s="169"/>
      <c r="M22" s="169"/>
      <c r="N22" s="169"/>
      <c r="O22" s="170"/>
      <c r="P22" s="170"/>
      <c r="Q22" s="169"/>
      <c r="R22" s="170"/>
      <c r="S22" s="170"/>
      <c r="T22" s="170"/>
      <c r="U22" s="170"/>
      <c r="V22" s="380"/>
    </row>
    <row r="23" spans="1:22" ht="15.75" thickBot="1">
      <c r="A23" s="166"/>
      <c r="B23" s="303"/>
      <c r="C23" s="304"/>
      <c r="D23" s="305"/>
      <c r="E23" s="305"/>
      <c r="F23" s="305"/>
      <c r="G23" s="305"/>
      <c r="H23" s="305"/>
      <c r="I23" s="305"/>
      <c r="J23" s="308"/>
      <c r="K23" s="308"/>
      <c r="L23" s="305"/>
      <c r="M23" s="305"/>
      <c r="N23" s="305"/>
      <c r="O23" s="308"/>
      <c r="P23" s="308"/>
      <c r="Q23" s="305"/>
      <c r="R23" s="308"/>
      <c r="S23" s="308"/>
      <c r="T23" s="308"/>
      <c r="U23" s="308"/>
      <c r="V23" s="380"/>
    </row>
    <row r="24" spans="1:22" ht="15.75" thickTop="1">
      <c r="A24" s="166"/>
      <c r="B24" s="167"/>
      <c r="C24" s="168"/>
      <c r="D24" s="169"/>
      <c r="E24" s="169"/>
      <c r="F24" s="169"/>
      <c r="G24" s="169"/>
      <c r="H24" s="169"/>
      <c r="I24" s="169"/>
      <c r="J24" s="170"/>
      <c r="K24" s="170"/>
      <c r="L24" s="169"/>
      <c r="M24" s="169"/>
      <c r="N24" s="169"/>
      <c r="O24" s="170"/>
      <c r="P24" s="170"/>
      <c r="Q24" s="169"/>
      <c r="R24" s="170"/>
      <c r="S24" s="170"/>
      <c r="T24" s="170"/>
      <c r="U24" s="170"/>
      <c r="V24" s="380"/>
    </row>
    <row r="25" spans="1:22">
      <c r="A25" s="166"/>
      <c r="B25" s="167"/>
      <c r="C25" s="168"/>
      <c r="D25" s="169"/>
      <c r="E25" s="169"/>
      <c r="F25" s="169"/>
      <c r="G25" s="169"/>
      <c r="H25" s="169"/>
      <c r="I25" s="169"/>
      <c r="J25" s="170"/>
      <c r="K25" s="170"/>
      <c r="L25" s="169"/>
      <c r="M25" s="169"/>
      <c r="N25" s="169"/>
      <c r="O25" s="170"/>
      <c r="P25" s="170"/>
      <c r="Q25" s="169"/>
      <c r="R25" s="170"/>
      <c r="S25" s="170"/>
      <c r="T25" s="170"/>
      <c r="U25" s="170"/>
      <c r="V25" s="380"/>
    </row>
    <row r="26" spans="1:22">
      <c r="A26" s="166"/>
      <c r="B26" s="199"/>
      <c r="C26" s="200"/>
      <c r="D26" s="656"/>
      <c r="E26" s="201"/>
      <c r="F26" s="201"/>
      <c r="G26" s="201"/>
      <c r="H26" s="201"/>
      <c r="I26" s="201"/>
      <c r="J26" s="202"/>
      <c r="K26" s="202"/>
      <c r="L26" s="201"/>
      <c r="M26" s="201"/>
      <c r="N26" s="201"/>
      <c r="O26" s="202"/>
      <c r="P26" s="202"/>
      <c r="Q26" s="201"/>
      <c r="R26" s="202"/>
      <c r="S26" s="202"/>
      <c r="T26" s="202"/>
      <c r="U26" s="202"/>
      <c r="V26" s="380"/>
    </row>
    <row r="27" spans="1:22">
      <c r="A27" s="166"/>
      <c r="B27" s="246"/>
      <c r="C27" s="297"/>
      <c r="D27" s="298"/>
      <c r="E27" s="298"/>
      <c r="F27" s="298"/>
      <c r="G27" s="298"/>
      <c r="H27" s="298"/>
      <c r="I27" s="298"/>
      <c r="J27" s="307"/>
      <c r="K27" s="307"/>
      <c r="L27" s="298"/>
      <c r="M27" s="298"/>
      <c r="N27" s="298"/>
      <c r="O27" s="307"/>
      <c r="P27" s="165"/>
      <c r="Q27" s="298"/>
      <c r="R27" s="307"/>
      <c r="S27" s="307"/>
      <c r="T27" s="307"/>
      <c r="U27" s="307"/>
      <c r="V27" s="380"/>
    </row>
    <row r="28" spans="1:22">
      <c r="A28" s="166"/>
      <c r="B28" s="167"/>
      <c r="C28" s="168"/>
      <c r="D28" s="169"/>
      <c r="E28" s="169"/>
      <c r="F28" s="169"/>
      <c r="G28" s="169"/>
      <c r="H28" s="169"/>
      <c r="I28" s="169"/>
      <c r="J28" s="170"/>
      <c r="K28" s="170"/>
      <c r="L28" s="169"/>
      <c r="M28" s="169"/>
      <c r="N28" s="169"/>
      <c r="O28" s="170"/>
      <c r="P28" s="170"/>
      <c r="Q28" s="169"/>
      <c r="R28" s="170"/>
      <c r="S28" s="170"/>
      <c r="T28" s="170"/>
      <c r="U28" s="170"/>
      <c r="V28" s="380"/>
    </row>
    <row r="29" spans="1:22">
      <c r="A29" s="166"/>
      <c r="B29" s="199"/>
      <c r="C29" s="200"/>
      <c r="D29" s="201"/>
      <c r="E29" s="201"/>
      <c r="F29" s="201"/>
      <c r="G29" s="201"/>
      <c r="H29" s="201"/>
      <c r="I29" s="201"/>
      <c r="J29" s="202"/>
      <c r="K29" s="202"/>
      <c r="L29" s="201"/>
      <c r="M29" s="201"/>
      <c r="N29" s="201"/>
      <c r="O29" s="202"/>
      <c r="P29" s="202"/>
      <c r="Q29" s="201"/>
      <c r="R29" s="202"/>
      <c r="S29" s="202"/>
      <c r="T29" s="202"/>
      <c r="U29" s="202"/>
      <c r="V29" s="380"/>
    </row>
    <row r="30" spans="1:22">
      <c r="A30" s="166"/>
      <c r="B30" s="246"/>
      <c r="C30" s="297"/>
      <c r="D30" s="298"/>
      <c r="E30" s="298"/>
      <c r="F30" s="298"/>
      <c r="G30" s="298"/>
      <c r="H30" s="298"/>
      <c r="I30" s="298"/>
      <c r="J30" s="307"/>
      <c r="K30" s="307"/>
      <c r="L30" s="298"/>
      <c r="M30" s="298"/>
      <c r="N30" s="298"/>
      <c r="O30" s="307"/>
      <c r="P30" s="165"/>
      <c r="Q30" s="298"/>
      <c r="R30" s="307"/>
      <c r="S30" s="307"/>
      <c r="T30" s="307"/>
      <c r="U30" s="307"/>
      <c r="V30" s="380"/>
    </row>
    <row r="31" spans="1:22">
      <c r="A31" s="166"/>
      <c r="B31" s="167"/>
      <c r="C31" s="168"/>
      <c r="D31" s="169"/>
      <c r="E31" s="169"/>
      <c r="F31" s="169"/>
      <c r="G31" s="169"/>
      <c r="H31" s="169"/>
      <c r="I31" s="169"/>
      <c r="J31" s="170"/>
      <c r="K31" s="170"/>
      <c r="L31" s="169"/>
      <c r="M31" s="169"/>
      <c r="N31" s="169"/>
      <c r="O31" s="170"/>
      <c r="P31" s="170"/>
      <c r="Q31" s="169"/>
      <c r="R31" s="170"/>
      <c r="S31" s="170"/>
      <c r="T31" s="170"/>
      <c r="U31" s="170"/>
      <c r="V31" s="380"/>
    </row>
    <row r="32" spans="1:22">
      <c r="A32" s="166"/>
      <c r="B32" s="199"/>
      <c r="C32" s="200"/>
      <c r="D32" s="656"/>
      <c r="E32" s="201"/>
      <c r="F32" s="656"/>
      <c r="G32" s="201"/>
      <c r="H32" s="201"/>
      <c r="I32" s="201"/>
      <c r="J32" s="202"/>
      <c r="K32" s="202"/>
      <c r="L32" s="201"/>
      <c r="M32" s="201"/>
      <c r="N32" s="201"/>
      <c r="O32" s="202"/>
      <c r="P32" s="202"/>
      <c r="Q32" s="201"/>
      <c r="R32" s="202"/>
      <c r="S32" s="202"/>
      <c r="T32" s="202"/>
      <c r="U32" s="202"/>
      <c r="V32" s="380"/>
    </row>
    <row r="33" spans="1:22">
      <c r="A33" s="166"/>
      <c r="B33" s="246"/>
      <c r="C33" s="297"/>
      <c r="D33" s="298"/>
      <c r="E33" s="298"/>
      <c r="F33" s="298"/>
      <c r="G33" s="298"/>
      <c r="H33" s="298"/>
      <c r="I33" s="298"/>
      <c r="J33" s="307"/>
      <c r="K33" s="307"/>
      <c r="L33" s="298"/>
      <c r="M33" s="298"/>
      <c r="N33" s="298"/>
      <c r="O33" s="307"/>
      <c r="P33" s="165"/>
      <c r="Q33" s="298"/>
      <c r="R33" s="307"/>
      <c r="S33" s="307"/>
      <c r="T33" s="307"/>
      <c r="U33" s="307"/>
      <c r="V33" s="380"/>
    </row>
    <row r="34" spans="1:22">
      <c r="A34" s="166"/>
      <c r="B34" s="167"/>
      <c r="C34" s="168"/>
      <c r="D34" s="169"/>
      <c r="E34" s="169"/>
      <c r="F34" s="169"/>
      <c r="G34" s="169"/>
      <c r="H34" s="169"/>
      <c r="I34" s="169"/>
      <c r="J34" s="170"/>
      <c r="K34" s="170"/>
      <c r="L34" s="169"/>
      <c r="M34" s="169"/>
      <c r="N34" s="169"/>
      <c r="O34" s="170"/>
      <c r="P34" s="170"/>
      <c r="Q34" s="169"/>
      <c r="R34" s="170"/>
      <c r="S34" s="170"/>
      <c r="T34" s="170"/>
      <c r="U34" s="170"/>
      <c r="V34" s="380"/>
    </row>
    <row r="35" spans="1:22">
      <c r="A35" s="166"/>
      <c r="B35" s="199"/>
      <c r="C35" s="200"/>
      <c r="D35" s="201"/>
      <c r="E35" s="201"/>
      <c r="F35" s="201"/>
      <c r="G35" s="201"/>
      <c r="H35" s="201"/>
      <c r="I35" s="201"/>
      <c r="J35" s="202"/>
      <c r="K35" s="202"/>
      <c r="L35" s="201"/>
      <c r="M35" s="201"/>
      <c r="N35" s="201"/>
      <c r="O35" s="202"/>
      <c r="P35" s="202"/>
      <c r="Q35" s="201"/>
      <c r="R35" s="202"/>
      <c r="S35" s="202"/>
      <c r="T35" s="202"/>
      <c r="U35" s="202"/>
      <c r="V35" s="380"/>
    </row>
    <row r="36" spans="1:22">
      <c r="A36" s="166"/>
      <c r="B36" s="246"/>
      <c r="C36" s="297"/>
      <c r="D36" s="298"/>
      <c r="E36" s="298"/>
      <c r="F36" s="298"/>
      <c r="G36" s="298"/>
      <c r="H36" s="298"/>
      <c r="I36" s="298"/>
      <c r="J36" s="307"/>
      <c r="K36" s="307"/>
      <c r="L36" s="298"/>
      <c r="M36" s="298"/>
      <c r="N36" s="298"/>
      <c r="O36" s="307"/>
      <c r="P36" s="165"/>
      <c r="Q36" s="298"/>
      <c r="R36" s="307"/>
      <c r="S36" s="307"/>
      <c r="T36" s="307"/>
      <c r="U36" s="307"/>
      <c r="V36" s="380"/>
    </row>
    <row r="37" spans="1:22">
      <c r="A37" s="166"/>
      <c r="B37" s="167"/>
      <c r="C37" s="168"/>
      <c r="D37" s="169"/>
      <c r="E37" s="169"/>
      <c r="F37" s="169"/>
      <c r="G37" s="169"/>
      <c r="H37" s="169"/>
      <c r="I37" s="169"/>
      <c r="J37" s="170"/>
      <c r="K37" s="170"/>
      <c r="L37" s="169"/>
      <c r="M37" s="169"/>
      <c r="N37" s="169"/>
      <c r="O37" s="170"/>
      <c r="P37" s="170"/>
      <c r="Q37" s="169"/>
      <c r="R37" s="170"/>
      <c r="S37" s="170"/>
      <c r="T37" s="170"/>
      <c r="U37" s="170"/>
      <c r="V37" s="380"/>
    </row>
    <row r="38" spans="1:22">
      <c r="A38" s="166"/>
      <c r="B38" s="199"/>
      <c r="C38" s="200"/>
      <c r="D38" s="201"/>
      <c r="E38" s="201"/>
      <c r="F38" s="201"/>
      <c r="G38" s="201"/>
      <c r="H38" s="201"/>
      <c r="I38" s="201"/>
      <c r="J38" s="202"/>
      <c r="K38" s="202"/>
      <c r="L38" s="201"/>
      <c r="M38" s="201"/>
      <c r="N38" s="201"/>
      <c r="O38" s="202"/>
      <c r="P38" s="202"/>
      <c r="Q38" s="201"/>
      <c r="R38" s="202"/>
      <c r="S38" s="202"/>
      <c r="T38" s="202"/>
      <c r="U38" s="202"/>
      <c r="V38" s="380"/>
    </row>
    <row r="39" spans="1:22">
      <c r="A39" s="166"/>
      <c r="B39" s="246"/>
      <c r="C39" s="297"/>
      <c r="D39" s="298"/>
      <c r="E39" s="298"/>
      <c r="F39" s="298"/>
      <c r="G39" s="298"/>
      <c r="H39" s="298"/>
      <c r="I39" s="298"/>
      <c r="J39" s="307"/>
      <c r="K39" s="307"/>
      <c r="L39" s="298"/>
      <c r="M39" s="298"/>
      <c r="N39" s="298"/>
      <c r="O39" s="307"/>
      <c r="P39" s="165"/>
      <c r="Q39" s="298"/>
      <c r="R39" s="307"/>
      <c r="S39" s="307"/>
      <c r="T39" s="307"/>
      <c r="U39" s="307"/>
      <c r="V39" s="380"/>
    </row>
    <row r="40" spans="1:22">
      <c r="A40" s="166"/>
      <c r="B40" s="167"/>
      <c r="C40" s="168"/>
      <c r="D40" s="169"/>
      <c r="E40" s="169"/>
      <c r="F40" s="169"/>
      <c r="G40" s="169"/>
      <c r="H40" s="169"/>
      <c r="I40" s="169"/>
      <c r="J40" s="170"/>
      <c r="K40" s="170"/>
      <c r="L40" s="169"/>
      <c r="M40" s="169"/>
      <c r="N40" s="169"/>
      <c r="O40" s="170"/>
      <c r="P40" s="170"/>
      <c r="Q40" s="169"/>
      <c r="R40" s="170"/>
      <c r="S40" s="170"/>
      <c r="T40" s="170"/>
      <c r="U40" s="170"/>
      <c r="V40" s="380"/>
    </row>
    <row r="41" spans="1:22" ht="15.75" thickBot="1">
      <c r="A41" s="310"/>
      <c r="B41" s="311"/>
      <c r="C41" s="312"/>
      <c r="D41" s="313"/>
      <c r="E41" s="313"/>
      <c r="F41" s="313"/>
      <c r="G41" s="313"/>
      <c r="H41" s="313"/>
      <c r="I41" s="313"/>
      <c r="J41" s="314"/>
      <c r="K41" s="314"/>
      <c r="L41" s="313"/>
      <c r="M41" s="313"/>
      <c r="N41" s="313"/>
      <c r="O41" s="314"/>
      <c r="P41" s="314"/>
      <c r="Q41" s="313"/>
      <c r="R41" s="314"/>
      <c r="S41" s="314"/>
      <c r="T41" s="314"/>
      <c r="U41" s="314"/>
      <c r="V41" s="380"/>
    </row>
    <row r="42" spans="1:22">
      <c r="A42" s="299"/>
      <c r="B42" s="167"/>
      <c r="C42" s="168"/>
      <c r="D42" s="169"/>
      <c r="E42" s="169"/>
      <c r="F42" s="169"/>
      <c r="G42" s="169"/>
      <c r="H42" s="169"/>
      <c r="I42" s="169"/>
      <c r="J42" s="170"/>
      <c r="K42" s="170"/>
      <c r="L42" s="169"/>
      <c r="M42" s="169"/>
      <c r="N42" s="169"/>
      <c r="O42" s="170"/>
      <c r="P42" s="170"/>
      <c r="Q42" s="169"/>
      <c r="R42" s="170"/>
      <c r="S42" s="170"/>
      <c r="T42" s="170"/>
      <c r="U42" s="170"/>
      <c r="V42" s="380"/>
    </row>
    <row r="43" spans="1:22">
      <c r="A43" s="166"/>
      <c r="B43" s="167"/>
      <c r="C43" s="168"/>
      <c r="D43" s="169"/>
      <c r="E43" s="169"/>
      <c r="F43" s="169"/>
      <c r="G43" s="169"/>
      <c r="H43" s="169"/>
      <c r="I43" s="169"/>
      <c r="J43" s="170"/>
      <c r="K43" s="170"/>
      <c r="L43" s="169"/>
      <c r="M43" s="169"/>
      <c r="N43" s="169"/>
      <c r="O43" s="170"/>
      <c r="P43" s="170"/>
      <c r="Q43" s="169"/>
      <c r="R43" s="170"/>
      <c r="S43" s="170"/>
      <c r="T43" s="170"/>
      <c r="U43" s="170"/>
      <c r="V43" s="380"/>
    </row>
    <row r="44" spans="1:22">
      <c r="A44" s="166"/>
      <c r="B44" s="199"/>
      <c r="C44" s="200"/>
      <c r="D44" s="201"/>
      <c r="E44" s="201"/>
      <c r="F44" s="201"/>
      <c r="G44" s="201"/>
      <c r="H44" s="201"/>
      <c r="I44" s="201"/>
      <c r="J44" s="202"/>
      <c r="K44" s="202"/>
      <c r="L44" s="201"/>
      <c r="M44" s="201"/>
      <c r="N44" s="201"/>
      <c r="O44" s="202"/>
      <c r="P44" s="202"/>
      <c r="Q44" s="201"/>
      <c r="R44" s="202"/>
      <c r="S44" s="202"/>
      <c r="T44" s="202"/>
      <c r="U44" s="202"/>
      <c r="V44" s="380"/>
    </row>
    <row r="45" spans="1:22">
      <c r="A45" s="166"/>
      <c r="B45" s="246"/>
      <c r="C45" s="297"/>
      <c r="D45" s="298"/>
      <c r="E45" s="298"/>
      <c r="F45" s="298"/>
      <c r="G45" s="298"/>
      <c r="H45" s="298"/>
      <c r="I45" s="298"/>
      <c r="J45" s="307"/>
      <c r="K45" s="307"/>
      <c r="L45" s="298"/>
      <c r="M45" s="298"/>
      <c r="N45" s="298"/>
      <c r="O45" s="307"/>
      <c r="P45" s="165"/>
      <c r="Q45" s="298"/>
      <c r="R45" s="307"/>
      <c r="S45" s="307"/>
      <c r="T45" s="307"/>
      <c r="U45" s="307"/>
      <c r="V45" s="380"/>
    </row>
    <row r="46" spans="1:22">
      <c r="A46" s="166"/>
      <c r="B46" s="167"/>
      <c r="C46" s="168"/>
      <c r="D46" s="169"/>
      <c r="E46" s="169"/>
      <c r="F46" s="169"/>
      <c r="G46" s="169"/>
      <c r="H46" s="169"/>
      <c r="I46" s="169"/>
      <c r="J46" s="170"/>
      <c r="K46" s="170"/>
      <c r="L46" s="169"/>
      <c r="M46" s="169"/>
      <c r="N46" s="169"/>
      <c r="O46" s="170"/>
      <c r="P46" s="170"/>
      <c r="Q46" s="169"/>
      <c r="R46" s="170"/>
      <c r="S46" s="170"/>
      <c r="T46" s="170"/>
      <c r="U46" s="170"/>
      <c r="V46" s="380"/>
    </row>
    <row r="47" spans="1:22">
      <c r="A47" s="166"/>
      <c r="B47" s="199"/>
      <c r="C47" s="200"/>
      <c r="D47" s="201"/>
      <c r="E47" s="201"/>
      <c r="F47" s="201"/>
      <c r="G47" s="201"/>
      <c r="H47" s="201"/>
      <c r="I47" s="201"/>
      <c r="J47" s="202"/>
      <c r="K47" s="202"/>
      <c r="L47" s="201"/>
      <c r="M47" s="201"/>
      <c r="N47" s="201"/>
      <c r="O47" s="202"/>
      <c r="P47" s="202"/>
      <c r="Q47" s="201"/>
      <c r="R47" s="202"/>
      <c r="S47" s="202"/>
      <c r="T47" s="202"/>
      <c r="U47" s="202"/>
      <c r="V47" s="380"/>
    </row>
    <row r="48" spans="1:22">
      <c r="A48" s="166"/>
      <c r="B48" s="246"/>
      <c r="C48" s="297"/>
      <c r="D48" s="298"/>
      <c r="E48" s="298"/>
      <c r="F48" s="298"/>
      <c r="G48" s="298"/>
      <c r="H48" s="298"/>
      <c r="I48" s="298"/>
      <c r="J48" s="307"/>
      <c r="K48" s="307"/>
      <c r="L48" s="298"/>
      <c r="M48" s="298"/>
      <c r="N48" s="298"/>
      <c r="O48" s="307"/>
      <c r="P48" s="165"/>
      <c r="Q48" s="298"/>
      <c r="R48" s="307"/>
      <c r="S48" s="307"/>
      <c r="T48" s="307"/>
      <c r="U48" s="307"/>
      <c r="V48" s="380"/>
    </row>
    <row r="49" spans="1:22">
      <c r="A49" s="166"/>
      <c r="B49" s="167"/>
      <c r="C49" s="168"/>
      <c r="D49" s="169"/>
      <c r="E49" s="169"/>
      <c r="F49" s="169"/>
      <c r="G49" s="169"/>
      <c r="H49" s="169"/>
      <c r="I49" s="169"/>
      <c r="J49" s="170"/>
      <c r="K49" s="170"/>
      <c r="L49" s="169"/>
      <c r="M49" s="169"/>
      <c r="N49" s="169"/>
      <c r="O49" s="170"/>
      <c r="P49" s="170"/>
      <c r="Q49" s="169"/>
      <c r="R49" s="170"/>
      <c r="S49" s="170"/>
      <c r="T49" s="170"/>
      <c r="U49" s="170"/>
      <c r="V49" s="380"/>
    </row>
    <row r="50" spans="1:22">
      <c r="A50" s="166"/>
      <c r="B50" s="199"/>
      <c r="C50" s="200"/>
      <c r="D50" s="201"/>
      <c r="E50" s="201"/>
      <c r="F50" s="201"/>
      <c r="G50" s="201"/>
      <c r="H50" s="201"/>
      <c r="I50" s="201"/>
      <c r="J50" s="202"/>
      <c r="K50" s="202"/>
      <c r="L50" s="201"/>
      <c r="M50" s="201"/>
      <c r="N50" s="201"/>
      <c r="O50" s="202"/>
      <c r="P50" s="202"/>
      <c r="Q50" s="201"/>
      <c r="R50" s="202"/>
      <c r="S50" s="202"/>
      <c r="T50" s="202"/>
      <c r="U50" s="202"/>
      <c r="V50" s="380"/>
    </row>
    <row r="51" spans="1:22">
      <c r="A51" s="166"/>
      <c r="B51" s="246"/>
      <c r="C51" s="297"/>
      <c r="D51" s="298"/>
      <c r="E51" s="298"/>
      <c r="F51" s="298"/>
      <c r="G51" s="298"/>
      <c r="H51" s="298"/>
      <c r="I51" s="298"/>
      <c r="J51" s="307"/>
      <c r="K51" s="307"/>
      <c r="L51" s="298"/>
      <c r="M51" s="298"/>
      <c r="N51" s="298"/>
      <c r="O51" s="307"/>
      <c r="P51" s="165"/>
      <c r="Q51" s="298"/>
      <c r="R51" s="307"/>
      <c r="S51" s="307"/>
      <c r="T51" s="307"/>
      <c r="U51" s="307"/>
      <c r="V51" s="380"/>
    </row>
    <row r="52" spans="1:22">
      <c r="A52" s="166"/>
      <c r="B52" s="167"/>
      <c r="C52" s="168"/>
      <c r="D52" s="169"/>
      <c r="E52" s="169"/>
      <c r="F52" s="169"/>
      <c r="G52" s="169"/>
      <c r="H52" s="169"/>
      <c r="I52" s="169"/>
      <c r="J52" s="170"/>
      <c r="K52" s="170"/>
      <c r="L52" s="169"/>
      <c r="M52" s="169"/>
      <c r="N52" s="169"/>
      <c r="O52" s="170"/>
      <c r="P52" s="170"/>
      <c r="Q52" s="169"/>
      <c r="R52" s="170"/>
      <c r="S52" s="170"/>
      <c r="T52" s="170"/>
      <c r="U52" s="170"/>
      <c r="V52" s="380"/>
    </row>
    <row r="53" spans="1:22">
      <c r="A53" s="166"/>
      <c r="B53" s="199"/>
      <c r="C53" s="200"/>
      <c r="D53" s="201"/>
      <c r="E53" s="201"/>
      <c r="F53" s="201"/>
      <c r="G53" s="201"/>
      <c r="H53" s="201"/>
      <c r="I53" s="201"/>
      <c r="J53" s="202"/>
      <c r="K53" s="202"/>
      <c r="L53" s="201"/>
      <c r="M53" s="201"/>
      <c r="N53" s="201"/>
      <c r="O53" s="202"/>
      <c r="P53" s="202"/>
      <c r="Q53" s="201"/>
      <c r="R53" s="202"/>
      <c r="S53" s="202"/>
      <c r="T53" s="202"/>
      <c r="U53" s="202"/>
      <c r="V53" s="380"/>
    </row>
    <row r="54" spans="1:22">
      <c r="A54" s="166"/>
      <c r="B54" s="246"/>
      <c r="C54" s="297"/>
      <c r="D54" s="298"/>
      <c r="E54" s="298"/>
      <c r="F54" s="298"/>
      <c r="G54" s="298"/>
      <c r="H54" s="298"/>
      <c r="I54" s="298"/>
      <c r="J54" s="307"/>
      <c r="K54" s="307"/>
      <c r="L54" s="298"/>
      <c r="M54" s="298"/>
      <c r="N54" s="298"/>
      <c r="O54" s="307"/>
      <c r="P54" s="165"/>
      <c r="Q54" s="298"/>
      <c r="R54" s="307"/>
      <c r="S54" s="307"/>
      <c r="T54" s="307"/>
      <c r="U54" s="307"/>
      <c r="V54" s="380"/>
    </row>
    <row r="55" spans="1:22">
      <c r="A55" s="166"/>
      <c r="B55" s="167"/>
      <c r="C55" s="168"/>
      <c r="D55" s="169"/>
      <c r="E55" s="169"/>
      <c r="F55" s="169"/>
      <c r="G55" s="169"/>
      <c r="H55" s="169"/>
      <c r="I55" s="169"/>
      <c r="J55" s="170"/>
      <c r="K55" s="170"/>
      <c r="L55" s="169"/>
      <c r="M55" s="169"/>
      <c r="N55" s="169"/>
      <c r="O55" s="170"/>
      <c r="P55" s="170"/>
      <c r="Q55" s="169"/>
      <c r="R55" s="170"/>
      <c r="S55" s="170"/>
      <c r="T55" s="170"/>
      <c r="U55" s="170"/>
      <c r="V55" s="380"/>
    </row>
    <row r="56" spans="1:22">
      <c r="A56" s="166"/>
      <c r="B56" s="199"/>
      <c r="C56" s="200"/>
      <c r="D56" s="201"/>
      <c r="E56" s="201"/>
      <c r="F56" s="201"/>
      <c r="G56" s="201"/>
      <c r="H56" s="201"/>
      <c r="I56" s="201"/>
      <c r="J56" s="202"/>
      <c r="K56" s="202"/>
      <c r="L56" s="201"/>
      <c r="M56" s="201"/>
      <c r="N56" s="201"/>
      <c r="O56" s="202"/>
      <c r="P56" s="202"/>
      <c r="Q56" s="201"/>
      <c r="R56" s="202"/>
      <c r="S56" s="202"/>
      <c r="T56" s="202"/>
      <c r="U56" s="202"/>
      <c r="V56" s="380"/>
    </row>
    <row r="57" spans="1:22">
      <c r="A57" s="166"/>
      <c r="B57" s="246"/>
      <c r="C57" s="297"/>
      <c r="D57" s="298"/>
      <c r="E57" s="298"/>
      <c r="F57" s="298"/>
      <c r="G57" s="298"/>
      <c r="H57" s="298"/>
      <c r="I57" s="298"/>
      <c r="J57" s="307"/>
      <c r="K57" s="307"/>
      <c r="L57" s="298"/>
      <c r="M57" s="298"/>
      <c r="N57" s="298"/>
      <c r="O57" s="307"/>
      <c r="P57" s="165"/>
      <c r="Q57" s="298"/>
      <c r="R57" s="307"/>
      <c r="S57" s="307"/>
      <c r="T57" s="307"/>
      <c r="U57" s="307"/>
      <c r="V57" s="380"/>
    </row>
    <row r="58" spans="1:22">
      <c r="A58" s="166"/>
      <c r="B58" s="167"/>
      <c r="C58" s="168"/>
      <c r="D58" s="169"/>
      <c r="E58" s="169"/>
      <c r="F58" s="169"/>
      <c r="G58" s="169"/>
      <c r="H58" s="169"/>
      <c r="I58" s="169"/>
      <c r="J58" s="170"/>
      <c r="K58" s="170"/>
      <c r="L58" s="169"/>
      <c r="M58" s="169"/>
      <c r="N58" s="169"/>
      <c r="O58" s="170"/>
      <c r="P58" s="170"/>
      <c r="Q58" s="169"/>
      <c r="R58" s="170"/>
      <c r="S58" s="170"/>
      <c r="T58" s="170"/>
      <c r="U58" s="170"/>
      <c r="V58" s="380"/>
    </row>
    <row r="59" spans="1:22" ht="15.75" thickBot="1">
      <c r="A59" s="166"/>
      <c r="B59" s="303"/>
      <c r="C59" s="304"/>
      <c r="D59" s="305"/>
      <c r="E59" s="305"/>
      <c r="F59" s="305"/>
      <c r="G59" s="305"/>
      <c r="H59" s="305"/>
      <c r="I59" s="305"/>
      <c r="J59" s="308"/>
      <c r="K59" s="308"/>
      <c r="L59" s="305"/>
      <c r="M59" s="305"/>
      <c r="N59" s="305"/>
      <c r="O59" s="308"/>
      <c r="P59" s="308"/>
      <c r="Q59" s="305"/>
      <c r="R59" s="308"/>
      <c r="S59" s="308"/>
      <c r="T59" s="308"/>
      <c r="U59" s="308"/>
      <c r="V59" s="380"/>
    </row>
    <row r="60" spans="1:22" ht="15.75" thickTop="1">
      <c r="A60" s="166"/>
      <c r="B60" s="167"/>
      <c r="C60" s="168"/>
      <c r="D60" s="169"/>
      <c r="E60" s="169"/>
      <c r="F60" s="169"/>
      <c r="G60" s="169"/>
      <c r="H60" s="169"/>
      <c r="I60" s="169"/>
      <c r="J60" s="170"/>
      <c r="K60" s="170"/>
      <c r="L60" s="169"/>
      <c r="M60" s="169"/>
      <c r="N60" s="169"/>
      <c r="O60" s="170"/>
      <c r="P60" s="170"/>
      <c r="Q60" s="169"/>
      <c r="R60" s="170"/>
      <c r="S60" s="170"/>
      <c r="T60" s="170"/>
      <c r="U60" s="170"/>
      <c r="V60" s="380"/>
    </row>
    <row r="61" spans="1:22">
      <c r="A61" s="166"/>
      <c r="B61" s="167"/>
      <c r="C61" s="168"/>
      <c r="D61" s="169"/>
      <c r="E61" s="169"/>
      <c r="F61" s="169"/>
      <c r="G61" s="169"/>
      <c r="H61" s="169"/>
      <c r="I61" s="169"/>
      <c r="J61" s="170"/>
      <c r="K61" s="170"/>
      <c r="L61" s="169"/>
      <c r="M61" s="169"/>
      <c r="N61" s="169"/>
      <c r="O61" s="170"/>
      <c r="P61" s="170"/>
      <c r="Q61" s="169"/>
      <c r="R61" s="170"/>
      <c r="S61" s="170"/>
      <c r="T61" s="170"/>
      <c r="U61" s="170"/>
      <c r="V61" s="380"/>
    </row>
    <row r="62" spans="1:22">
      <c r="A62" s="166"/>
      <c r="B62" s="199"/>
      <c r="C62" s="200"/>
      <c r="D62" s="201"/>
      <c r="E62" s="201"/>
      <c r="F62" s="656"/>
      <c r="G62" s="656"/>
      <c r="H62" s="656"/>
      <c r="I62" s="201"/>
      <c r="J62" s="202"/>
      <c r="K62" s="202"/>
      <c r="L62" s="201"/>
      <c r="M62" s="201"/>
      <c r="N62" s="201"/>
      <c r="O62" s="202"/>
      <c r="P62" s="202"/>
      <c r="Q62" s="201"/>
      <c r="R62" s="202"/>
      <c r="S62" s="202"/>
      <c r="T62" s="202"/>
      <c r="U62" s="202"/>
      <c r="V62" s="380"/>
    </row>
    <row r="63" spans="1:22">
      <c r="A63" s="166"/>
      <c r="B63" s="246"/>
      <c r="C63" s="297"/>
      <c r="D63" s="298"/>
      <c r="E63" s="298"/>
      <c r="F63" s="298"/>
      <c r="G63" s="298"/>
      <c r="H63" s="298"/>
      <c r="I63" s="298"/>
      <c r="J63" s="307"/>
      <c r="K63" s="307"/>
      <c r="L63" s="298"/>
      <c r="M63" s="298"/>
      <c r="N63" s="298"/>
      <c r="O63" s="307"/>
      <c r="P63" s="165"/>
      <c r="Q63" s="298"/>
      <c r="R63" s="307"/>
      <c r="S63" s="307"/>
      <c r="T63" s="307"/>
      <c r="U63" s="307"/>
      <c r="V63" s="380"/>
    </row>
    <row r="64" spans="1:22">
      <c r="A64" s="166"/>
      <c r="B64" s="167"/>
      <c r="C64" s="168"/>
      <c r="D64" s="169"/>
      <c r="E64" s="169"/>
      <c r="F64" s="169"/>
      <c r="G64" s="169"/>
      <c r="H64" s="169"/>
      <c r="I64" s="169"/>
      <c r="J64" s="170"/>
      <c r="K64" s="170"/>
      <c r="L64" s="169"/>
      <c r="M64" s="169"/>
      <c r="N64" s="169"/>
      <c r="O64" s="170"/>
      <c r="P64" s="170"/>
      <c r="Q64" s="169"/>
      <c r="R64" s="170"/>
      <c r="S64" s="170"/>
      <c r="T64" s="170"/>
      <c r="U64" s="170"/>
      <c r="V64" s="380"/>
    </row>
    <row r="65" spans="1:23">
      <c r="A65" s="166"/>
      <c r="B65" s="199"/>
      <c r="C65" s="200"/>
      <c r="D65" s="201"/>
      <c r="E65" s="201"/>
      <c r="F65" s="201"/>
      <c r="G65" s="201"/>
      <c r="H65" s="201"/>
      <c r="I65" s="201"/>
      <c r="J65" s="202"/>
      <c r="K65" s="202"/>
      <c r="L65" s="201"/>
      <c r="M65" s="201"/>
      <c r="N65" s="201"/>
      <c r="O65" s="202"/>
      <c r="P65" s="202"/>
      <c r="Q65" s="201"/>
      <c r="R65" s="202"/>
      <c r="S65" s="202"/>
      <c r="T65" s="202"/>
      <c r="U65" s="202"/>
      <c r="V65" s="380"/>
    </row>
    <row r="66" spans="1:23">
      <c r="A66" s="166"/>
      <c r="B66" s="246"/>
      <c r="C66" s="297"/>
      <c r="D66" s="298"/>
      <c r="E66" s="298"/>
      <c r="F66" s="298"/>
      <c r="G66" s="298"/>
      <c r="H66" s="298"/>
      <c r="I66" s="298"/>
      <c r="J66" s="307"/>
      <c r="K66" s="307"/>
      <c r="L66" s="298"/>
      <c r="M66" s="298"/>
      <c r="N66" s="298"/>
      <c r="O66" s="307"/>
      <c r="P66" s="165"/>
      <c r="Q66" s="298"/>
      <c r="R66" s="307"/>
      <c r="S66" s="307"/>
      <c r="T66" s="307"/>
      <c r="U66" s="307"/>
      <c r="V66" s="380"/>
    </row>
    <row r="67" spans="1:23">
      <c r="A67" s="166"/>
      <c r="B67" s="167"/>
      <c r="C67" s="168"/>
      <c r="D67" s="169"/>
      <c r="E67" s="169"/>
      <c r="F67" s="169"/>
      <c r="G67" s="169"/>
      <c r="H67" s="169"/>
      <c r="I67" s="169"/>
      <c r="J67" s="170"/>
      <c r="K67" s="170"/>
      <c r="L67" s="169"/>
      <c r="M67" s="169"/>
      <c r="N67" s="169"/>
      <c r="O67" s="170"/>
      <c r="P67" s="170"/>
      <c r="Q67" s="169"/>
      <c r="R67" s="170"/>
      <c r="S67" s="170"/>
      <c r="T67" s="170"/>
      <c r="U67" s="170"/>
      <c r="V67" s="380"/>
    </row>
    <row r="68" spans="1:23">
      <c r="A68" s="166"/>
      <c r="B68" s="199"/>
      <c r="C68" s="200"/>
      <c r="D68" s="201"/>
      <c r="E68" s="201"/>
      <c r="F68" s="201"/>
      <c r="G68" s="656"/>
      <c r="H68" s="656"/>
      <c r="I68" s="201"/>
      <c r="J68" s="202"/>
      <c r="K68" s="202"/>
      <c r="L68" s="201"/>
      <c r="M68" s="201"/>
      <c r="N68" s="201"/>
      <c r="O68" s="202"/>
      <c r="P68" s="202"/>
      <c r="Q68" s="201"/>
      <c r="R68" s="202"/>
      <c r="S68" s="202"/>
      <c r="T68" s="202"/>
      <c r="U68" s="202"/>
      <c r="V68" s="380"/>
    </row>
    <row r="69" spans="1:23">
      <c r="A69" s="166"/>
      <c r="B69" s="246"/>
      <c r="C69" s="297"/>
      <c r="D69" s="298"/>
      <c r="E69" s="298"/>
      <c r="F69" s="298"/>
      <c r="G69" s="298"/>
      <c r="H69" s="298"/>
      <c r="I69" s="298"/>
      <c r="J69" s="307"/>
      <c r="K69" s="307"/>
      <c r="L69" s="298"/>
      <c r="M69" s="298"/>
      <c r="N69" s="298"/>
      <c r="O69" s="307"/>
      <c r="P69" s="165"/>
      <c r="Q69" s="298"/>
      <c r="R69" s="307"/>
      <c r="S69" s="307"/>
      <c r="T69" s="307"/>
      <c r="U69" s="307"/>
      <c r="V69" s="380"/>
    </row>
    <row r="70" spans="1:23">
      <c r="A70" s="166"/>
      <c r="B70" s="167"/>
      <c r="C70" s="168"/>
      <c r="D70" s="169"/>
      <c r="E70" s="169"/>
      <c r="F70" s="169"/>
      <c r="G70" s="169"/>
      <c r="H70" s="169"/>
      <c r="I70" s="169"/>
      <c r="J70" s="170"/>
      <c r="K70" s="170"/>
      <c r="L70" s="169"/>
      <c r="M70" s="169"/>
      <c r="N70" s="169"/>
      <c r="O70" s="170"/>
      <c r="P70" s="170"/>
      <c r="Q70" s="169"/>
      <c r="R70" s="170"/>
      <c r="S70" s="170"/>
      <c r="T70" s="170"/>
      <c r="U70" s="170"/>
      <c r="V70" s="380"/>
    </row>
    <row r="71" spans="1:23">
      <c r="A71" s="166"/>
      <c r="B71" s="199"/>
      <c r="C71" s="200"/>
      <c r="D71" s="201"/>
      <c r="E71" s="201"/>
      <c r="F71" s="201"/>
      <c r="G71" s="201"/>
      <c r="H71" s="201"/>
      <c r="I71" s="201"/>
      <c r="J71" s="202"/>
      <c r="K71" s="202"/>
      <c r="L71" s="201"/>
      <c r="M71" s="201"/>
      <c r="N71" s="201"/>
      <c r="O71" s="202"/>
      <c r="P71" s="202"/>
      <c r="Q71" s="201"/>
      <c r="R71" s="202"/>
      <c r="S71" s="202"/>
      <c r="T71" s="202"/>
      <c r="U71" s="202"/>
      <c r="V71" s="380"/>
    </row>
    <row r="72" spans="1:23">
      <c r="A72" s="166"/>
      <c r="B72" s="246"/>
      <c r="C72" s="297"/>
      <c r="D72" s="298"/>
      <c r="E72" s="298"/>
      <c r="F72" s="298"/>
      <c r="G72" s="298"/>
      <c r="H72" s="298"/>
      <c r="I72" s="298"/>
      <c r="J72" s="307"/>
      <c r="K72" s="307"/>
      <c r="L72" s="298"/>
      <c r="M72" s="298"/>
      <c r="N72" s="298"/>
      <c r="O72" s="307"/>
      <c r="P72" s="165"/>
      <c r="Q72" s="298"/>
      <c r="R72" s="307"/>
      <c r="S72" s="307"/>
      <c r="T72" s="307"/>
      <c r="U72" s="307"/>
      <c r="V72" s="380"/>
    </row>
    <row r="73" spans="1:23">
      <c r="A73" s="166"/>
      <c r="B73" s="167"/>
      <c r="C73" s="168"/>
      <c r="D73" s="169"/>
      <c r="E73" s="169"/>
      <c r="F73" s="169"/>
      <c r="G73" s="169"/>
      <c r="H73" s="169"/>
      <c r="I73" s="169"/>
      <c r="J73" s="170"/>
      <c r="K73" s="170"/>
      <c r="L73" s="169"/>
      <c r="M73" s="169"/>
      <c r="N73" s="169"/>
      <c r="O73" s="170"/>
      <c r="P73" s="170"/>
      <c r="Q73" s="169"/>
      <c r="R73" s="170"/>
      <c r="S73" s="170"/>
      <c r="T73" s="170"/>
      <c r="U73" s="170"/>
      <c r="V73" s="380"/>
    </row>
    <row r="74" spans="1:23">
      <c r="A74" s="166"/>
      <c r="B74" s="199"/>
      <c r="C74" s="200"/>
      <c r="D74" s="201"/>
      <c r="E74" s="201"/>
      <c r="F74" s="201"/>
      <c r="G74" s="201"/>
      <c r="H74" s="201"/>
      <c r="I74" s="201"/>
      <c r="J74" s="202"/>
      <c r="K74" s="202"/>
      <c r="L74" s="201"/>
      <c r="M74" s="201"/>
      <c r="N74" s="201"/>
      <c r="O74" s="202"/>
      <c r="P74" s="202"/>
      <c r="Q74" s="201"/>
      <c r="R74" s="202"/>
      <c r="S74" s="202"/>
      <c r="T74" s="202"/>
      <c r="U74" s="202"/>
      <c r="V74" s="380"/>
    </row>
    <row r="75" spans="1:23">
      <c r="A75" s="166"/>
      <c r="B75" s="246"/>
      <c r="C75" s="297"/>
      <c r="D75" s="298"/>
      <c r="E75" s="298"/>
      <c r="F75" s="298"/>
      <c r="G75" s="298"/>
      <c r="H75" s="298"/>
      <c r="I75" s="298"/>
      <c r="J75" s="307"/>
      <c r="K75" s="307"/>
      <c r="L75" s="298"/>
      <c r="M75" s="298"/>
      <c r="N75" s="298"/>
      <c r="O75" s="307"/>
      <c r="P75" s="165"/>
      <c r="Q75" s="298"/>
      <c r="R75" s="307"/>
      <c r="S75" s="307"/>
      <c r="T75" s="307"/>
      <c r="U75" s="307"/>
      <c r="V75" s="380"/>
    </row>
    <row r="76" spans="1:23">
      <c r="A76" s="166"/>
      <c r="B76" s="167"/>
      <c r="C76" s="168"/>
      <c r="D76" s="169"/>
      <c r="E76" s="169"/>
      <c r="F76" s="169"/>
      <c r="G76" s="169"/>
      <c r="H76" s="169"/>
      <c r="I76" s="169"/>
      <c r="J76" s="170"/>
      <c r="K76" s="170"/>
      <c r="L76" s="169"/>
      <c r="M76" s="169"/>
      <c r="N76" s="169"/>
      <c r="O76" s="170"/>
      <c r="P76" s="170"/>
      <c r="Q76" s="169"/>
      <c r="R76" s="170"/>
      <c r="S76" s="170"/>
      <c r="T76" s="170"/>
      <c r="U76" s="170"/>
      <c r="V76" s="380"/>
      <c r="W76" s="231"/>
    </row>
    <row r="77" spans="1:23" ht="15.75" thickBot="1">
      <c r="A77" s="310"/>
      <c r="B77" s="311"/>
      <c r="C77" s="312"/>
      <c r="D77" s="313"/>
      <c r="E77" s="313"/>
      <c r="F77" s="313"/>
      <c r="G77" s="313"/>
      <c r="H77" s="313"/>
      <c r="I77" s="313"/>
      <c r="J77" s="314"/>
      <c r="K77" s="314"/>
      <c r="L77" s="313"/>
      <c r="M77" s="313"/>
      <c r="N77" s="313"/>
      <c r="O77" s="314"/>
      <c r="P77" s="314"/>
      <c r="Q77" s="313"/>
      <c r="R77" s="314"/>
      <c r="S77" s="314"/>
      <c r="T77" s="314"/>
      <c r="U77" s="314"/>
      <c r="V77" s="380"/>
    </row>
    <row r="78" spans="1:23">
      <c r="A78" s="296"/>
      <c r="B78" s="246"/>
      <c r="C78" s="297"/>
      <c r="D78" s="298"/>
      <c r="E78" s="298"/>
      <c r="F78" s="298"/>
      <c r="G78" s="298"/>
      <c r="H78" s="298"/>
      <c r="I78" s="298"/>
      <c r="J78" s="307"/>
      <c r="K78" s="307"/>
      <c r="L78" s="298"/>
      <c r="M78" s="298"/>
      <c r="N78" s="298"/>
      <c r="O78" s="307"/>
      <c r="P78" s="165"/>
      <c r="Q78" s="298"/>
      <c r="R78" s="307"/>
      <c r="S78" s="307"/>
      <c r="T78" s="307"/>
      <c r="U78" s="307"/>
      <c r="V78" s="380"/>
    </row>
    <row r="79" spans="1:23">
      <c r="A79" s="166"/>
      <c r="B79" s="167"/>
      <c r="C79" s="168"/>
      <c r="D79" s="169"/>
      <c r="E79" s="169"/>
      <c r="F79" s="169"/>
      <c r="G79" s="169"/>
      <c r="H79" s="169"/>
      <c r="I79" s="169"/>
      <c r="J79" s="170"/>
      <c r="K79" s="170"/>
      <c r="L79" s="169"/>
      <c r="M79" s="169"/>
      <c r="N79" s="169"/>
      <c r="O79" s="170"/>
      <c r="P79" s="170"/>
      <c r="Q79" s="169"/>
      <c r="R79" s="170"/>
      <c r="S79" s="170"/>
      <c r="T79" s="170"/>
      <c r="U79" s="170"/>
      <c r="V79" s="380"/>
    </row>
    <row r="80" spans="1:23">
      <c r="A80" s="166"/>
      <c r="B80" s="199"/>
      <c r="C80" s="200"/>
      <c r="D80" s="201"/>
      <c r="E80" s="201"/>
      <c r="F80" s="201"/>
      <c r="G80" s="201"/>
      <c r="H80" s="201"/>
      <c r="I80" s="201"/>
      <c r="J80" s="202"/>
      <c r="K80" s="202"/>
      <c r="L80" s="201"/>
      <c r="M80" s="201"/>
      <c r="N80" s="201"/>
      <c r="O80" s="202"/>
      <c r="P80" s="202"/>
      <c r="Q80" s="201"/>
      <c r="R80" s="202"/>
      <c r="S80" s="202"/>
      <c r="T80" s="202"/>
      <c r="U80" s="202"/>
      <c r="V80" s="380"/>
    </row>
    <row r="81" spans="1:22">
      <c r="A81" s="166"/>
      <c r="B81" s="246"/>
      <c r="C81" s="297"/>
      <c r="D81" s="298"/>
      <c r="E81" s="298"/>
      <c r="F81" s="298"/>
      <c r="G81" s="298"/>
      <c r="H81" s="298"/>
      <c r="I81" s="298"/>
      <c r="J81" s="307"/>
      <c r="K81" s="307"/>
      <c r="L81" s="298"/>
      <c r="M81" s="298"/>
      <c r="N81" s="298"/>
      <c r="O81" s="307"/>
      <c r="P81" s="165"/>
      <c r="Q81" s="298"/>
      <c r="R81" s="307"/>
      <c r="S81" s="307"/>
      <c r="T81" s="307"/>
      <c r="U81" s="307"/>
      <c r="V81" s="380"/>
    </row>
    <row r="82" spans="1:22">
      <c r="A82" s="166"/>
      <c r="B82" s="167"/>
      <c r="C82" s="168"/>
      <c r="D82" s="169"/>
      <c r="E82" s="169"/>
      <c r="F82" s="169"/>
      <c r="G82" s="169"/>
      <c r="H82" s="169"/>
      <c r="I82" s="169"/>
      <c r="J82" s="170"/>
      <c r="K82" s="170"/>
      <c r="L82" s="169"/>
      <c r="M82" s="169"/>
      <c r="N82" s="169"/>
      <c r="O82" s="170"/>
      <c r="P82" s="170"/>
      <c r="Q82" s="169"/>
      <c r="R82" s="170"/>
      <c r="S82" s="170"/>
      <c r="T82" s="170"/>
      <c r="U82" s="170"/>
      <c r="V82" s="380"/>
    </row>
    <row r="83" spans="1:22">
      <c r="A83" s="166"/>
      <c r="B83" s="199"/>
      <c r="C83" s="200"/>
      <c r="D83" s="201"/>
      <c r="E83" s="201"/>
      <c r="F83" s="201"/>
      <c r="G83" s="201"/>
      <c r="H83" s="201"/>
      <c r="I83" s="201"/>
      <c r="J83" s="202"/>
      <c r="K83" s="202"/>
      <c r="L83" s="201"/>
      <c r="M83" s="201"/>
      <c r="N83" s="201"/>
      <c r="O83" s="202"/>
      <c r="P83" s="202"/>
      <c r="Q83" s="201"/>
      <c r="R83" s="202"/>
      <c r="S83" s="202"/>
      <c r="T83" s="202"/>
      <c r="U83" s="202"/>
      <c r="V83" s="380"/>
    </row>
    <row r="84" spans="1:22">
      <c r="A84" s="166"/>
      <c r="B84" s="246"/>
      <c r="C84" s="297"/>
      <c r="D84" s="298"/>
      <c r="E84" s="298"/>
      <c r="F84" s="298"/>
      <c r="G84" s="298"/>
      <c r="H84" s="298"/>
      <c r="I84" s="298"/>
      <c r="J84" s="307"/>
      <c r="K84" s="307"/>
      <c r="L84" s="298"/>
      <c r="M84" s="298"/>
      <c r="N84" s="298"/>
      <c r="O84" s="307"/>
      <c r="P84" s="165"/>
      <c r="Q84" s="298"/>
      <c r="R84" s="307"/>
      <c r="S84" s="307"/>
      <c r="T84" s="307"/>
      <c r="U84" s="307"/>
      <c r="V84" s="380"/>
    </row>
    <row r="85" spans="1:22">
      <c r="A85" s="166"/>
      <c r="B85" s="167"/>
      <c r="C85" s="168"/>
      <c r="D85" s="169"/>
      <c r="E85" s="169"/>
      <c r="F85" s="169"/>
      <c r="G85" s="169"/>
      <c r="H85" s="169"/>
      <c r="I85" s="169"/>
      <c r="J85" s="170"/>
      <c r="K85" s="170"/>
      <c r="L85" s="169"/>
      <c r="M85" s="169"/>
      <c r="N85" s="169"/>
      <c r="O85" s="170"/>
      <c r="P85" s="170"/>
      <c r="Q85" s="169"/>
      <c r="R85" s="170"/>
      <c r="S85" s="170"/>
      <c r="T85" s="170"/>
      <c r="U85" s="170"/>
      <c r="V85" s="380"/>
    </row>
    <row r="86" spans="1:22">
      <c r="A86" s="166"/>
      <c r="B86" s="199"/>
      <c r="C86" s="200"/>
      <c r="D86" s="201"/>
      <c r="E86" s="201"/>
      <c r="F86" s="201"/>
      <c r="G86" s="201"/>
      <c r="H86" s="201"/>
      <c r="I86" s="201"/>
      <c r="J86" s="202"/>
      <c r="K86" s="202"/>
      <c r="L86" s="201"/>
      <c r="M86" s="201"/>
      <c r="N86" s="201"/>
      <c r="O86" s="202"/>
      <c r="P86" s="202"/>
      <c r="Q86" s="201"/>
      <c r="R86" s="202"/>
      <c r="S86" s="202"/>
      <c r="T86" s="202"/>
      <c r="U86" s="202"/>
      <c r="V86" s="380"/>
    </row>
    <row r="87" spans="1:22">
      <c r="A87" s="166"/>
      <c r="B87" s="246"/>
      <c r="C87" s="297"/>
      <c r="D87" s="298"/>
      <c r="E87" s="298"/>
      <c r="F87" s="298"/>
      <c r="G87" s="298"/>
      <c r="H87" s="298"/>
      <c r="I87" s="298"/>
      <c r="J87" s="307"/>
      <c r="K87" s="307"/>
      <c r="L87" s="298"/>
      <c r="M87" s="298"/>
      <c r="N87" s="298"/>
      <c r="O87" s="307"/>
      <c r="P87" s="165"/>
      <c r="Q87" s="298"/>
      <c r="R87" s="307"/>
      <c r="S87" s="307"/>
      <c r="T87" s="307"/>
      <c r="U87" s="307"/>
      <c r="V87" s="380"/>
    </row>
    <row r="88" spans="1:22">
      <c r="A88" s="166"/>
      <c r="B88" s="167"/>
      <c r="C88" s="168"/>
      <c r="D88" s="169"/>
      <c r="E88" s="169"/>
      <c r="F88" s="169"/>
      <c r="G88" s="169"/>
      <c r="H88" s="169"/>
      <c r="I88" s="169"/>
      <c r="J88" s="170"/>
      <c r="K88" s="170"/>
      <c r="L88" s="169"/>
      <c r="M88" s="169"/>
      <c r="N88" s="169"/>
      <c r="O88" s="170"/>
      <c r="P88" s="170"/>
      <c r="Q88" s="169"/>
      <c r="R88" s="170"/>
      <c r="S88" s="170"/>
      <c r="T88" s="170"/>
      <c r="U88" s="170"/>
      <c r="V88" s="380"/>
    </row>
    <row r="89" spans="1:22">
      <c r="A89" s="166"/>
      <c r="B89" s="199"/>
      <c r="C89" s="200"/>
      <c r="D89" s="201"/>
      <c r="E89" s="201"/>
      <c r="F89" s="201"/>
      <c r="G89" s="201"/>
      <c r="H89" s="201"/>
      <c r="I89" s="201"/>
      <c r="J89" s="202"/>
      <c r="K89" s="202"/>
      <c r="L89" s="201"/>
      <c r="M89" s="201"/>
      <c r="N89" s="201"/>
      <c r="O89" s="202"/>
      <c r="P89" s="202"/>
      <c r="Q89" s="201"/>
      <c r="R89" s="202"/>
      <c r="S89" s="202"/>
      <c r="T89" s="202"/>
      <c r="U89" s="202"/>
      <c r="V89" s="380"/>
    </row>
    <row r="90" spans="1:22">
      <c r="A90" s="166"/>
      <c r="B90" s="246"/>
      <c r="C90" s="297"/>
      <c r="D90" s="298"/>
      <c r="E90" s="298"/>
      <c r="F90" s="298"/>
      <c r="G90" s="298"/>
      <c r="H90" s="298"/>
      <c r="I90" s="298"/>
      <c r="J90" s="307"/>
      <c r="K90" s="307"/>
      <c r="L90" s="298"/>
      <c r="M90" s="298"/>
      <c r="N90" s="298"/>
      <c r="O90" s="307"/>
      <c r="P90" s="165"/>
      <c r="Q90" s="298"/>
      <c r="R90" s="307"/>
      <c r="S90" s="307"/>
      <c r="T90" s="307"/>
      <c r="U90" s="307"/>
      <c r="V90" s="380"/>
    </row>
    <row r="91" spans="1:22">
      <c r="A91" s="166"/>
      <c r="B91" s="167"/>
      <c r="C91" s="168"/>
      <c r="D91" s="169"/>
      <c r="E91" s="169"/>
      <c r="F91" s="169"/>
      <c r="G91" s="169"/>
      <c r="H91" s="169"/>
      <c r="I91" s="169"/>
      <c r="J91" s="170"/>
      <c r="K91" s="170"/>
      <c r="L91" s="169"/>
      <c r="M91" s="169"/>
      <c r="N91" s="169"/>
      <c r="O91" s="170"/>
      <c r="P91" s="170"/>
      <c r="Q91" s="169"/>
      <c r="R91" s="170"/>
      <c r="S91" s="170"/>
      <c r="T91" s="170"/>
      <c r="U91" s="170"/>
      <c r="V91" s="380"/>
    </row>
    <row r="92" spans="1:22">
      <c r="A92" s="166"/>
      <c r="B92" s="199"/>
      <c r="C92" s="200"/>
      <c r="D92" s="201"/>
      <c r="E92" s="201"/>
      <c r="F92" s="201"/>
      <c r="G92" s="201"/>
      <c r="H92" s="201"/>
      <c r="I92" s="201"/>
      <c r="J92" s="202"/>
      <c r="K92" s="202"/>
      <c r="L92" s="201"/>
      <c r="M92" s="201"/>
      <c r="N92" s="201"/>
      <c r="O92" s="202"/>
      <c r="P92" s="202"/>
      <c r="Q92" s="201"/>
      <c r="R92" s="202"/>
      <c r="S92" s="202"/>
      <c r="T92" s="202"/>
      <c r="U92" s="202"/>
      <c r="V92" s="380"/>
    </row>
    <row r="93" spans="1:22">
      <c r="A93" s="166"/>
      <c r="B93" s="246"/>
      <c r="C93" s="297"/>
      <c r="D93" s="298"/>
      <c r="E93" s="298"/>
      <c r="F93" s="298"/>
      <c r="G93" s="298"/>
      <c r="H93" s="298"/>
      <c r="I93" s="298"/>
      <c r="J93" s="307"/>
      <c r="K93" s="307"/>
      <c r="L93" s="298"/>
      <c r="M93" s="298"/>
      <c r="N93" s="298"/>
      <c r="O93" s="307"/>
      <c r="P93" s="165"/>
      <c r="Q93" s="298"/>
      <c r="R93" s="307"/>
      <c r="S93" s="307"/>
      <c r="T93" s="307"/>
      <c r="U93" s="307"/>
      <c r="V93" s="380"/>
    </row>
    <row r="94" spans="1:22">
      <c r="A94" s="166"/>
      <c r="B94" s="167"/>
      <c r="C94" s="168"/>
      <c r="D94" s="169"/>
      <c r="E94" s="169"/>
      <c r="F94" s="169"/>
      <c r="G94" s="169"/>
      <c r="H94" s="169"/>
      <c r="I94" s="169"/>
      <c r="J94" s="170"/>
      <c r="K94" s="170"/>
      <c r="L94" s="169"/>
      <c r="M94" s="169"/>
      <c r="N94" s="169"/>
      <c r="O94" s="170"/>
      <c r="P94" s="170"/>
      <c r="Q94" s="169"/>
      <c r="R94" s="170"/>
      <c r="S94" s="170"/>
      <c r="T94" s="170"/>
      <c r="U94" s="170"/>
      <c r="V94" s="380"/>
    </row>
    <row r="95" spans="1:22" ht="15.75" thickBot="1">
      <c r="A95" s="166"/>
      <c r="B95" s="303"/>
      <c r="C95" s="304"/>
      <c r="D95" s="305"/>
      <c r="E95" s="305"/>
      <c r="F95" s="305"/>
      <c r="G95" s="305"/>
      <c r="H95" s="305"/>
      <c r="I95" s="305"/>
      <c r="J95" s="308"/>
      <c r="K95" s="308"/>
      <c r="L95" s="305"/>
      <c r="M95" s="305"/>
      <c r="N95" s="305"/>
      <c r="O95" s="308"/>
      <c r="P95" s="308"/>
      <c r="Q95" s="305"/>
      <c r="R95" s="308"/>
      <c r="S95" s="308"/>
      <c r="T95" s="308"/>
      <c r="U95" s="308"/>
      <c r="V95" s="380"/>
    </row>
    <row r="96" spans="1:22" ht="15.75" thickTop="1">
      <c r="A96" s="166"/>
      <c r="B96" s="167"/>
      <c r="C96" s="168"/>
      <c r="D96" s="169"/>
      <c r="E96" s="169"/>
      <c r="F96" s="169"/>
      <c r="G96" s="169"/>
      <c r="H96" s="169"/>
      <c r="I96" s="169"/>
      <c r="J96" s="170"/>
      <c r="K96" s="170"/>
      <c r="L96" s="169"/>
      <c r="M96" s="169"/>
      <c r="N96" s="169"/>
      <c r="O96" s="170"/>
      <c r="P96" s="170"/>
      <c r="Q96" s="169"/>
      <c r="R96" s="170"/>
      <c r="S96" s="170"/>
      <c r="T96" s="170"/>
      <c r="U96" s="170"/>
      <c r="V96" s="380"/>
    </row>
    <row r="97" spans="1:22">
      <c r="A97" s="166"/>
      <c r="B97" s="167"/>
      <c r="C97" s="168"/>
      <c r="D97" s="169"/>
      <c r="E97" s="169"/>
      <c r="F97" s="169"/>
      <c r="G97" s="169"/>
      <c r="H97" s="169"/>
      <c r="I97" s="169"/>
      <c r="J97" s="170"/>
      <c r="K97" s="170"/>
      <c r="L97" s="169"/>
      <c r="M97" s="169"/>
      <c r="N97" s="169"/>
      <c r="O97" s="170"/>
      <c r="P97" s="170"/>
      <c r="Q97" s="169"/>
      <c r="R97" s="170"/>
      <c r="S97" s="170"/>
      <c r="T97" s="170"/>
      <c r="U97" s="170"/>
      <c r="V97" s="380"/>
    </row>
    <row r="98" spans="1:22">
      <c r="A98" s="166"/>
      <c r="B98" s="199"/>
      <c r="C98" s="200"/>
      <c r="D98" s="201"/>
      <c r="E98" s="201"/>
      <c r="F98" s="201"/>
      <c r="G98" s="201"/>
      <c r="H98" s="201"/>
      <c r="I98" s="201"/>
      <c r="J98" s="202"/>
      <c r="K98" s="202"/>
      <c r="L98" s="201"/>
      <c r="M98" s="201"/>
      <c r="N98" s="201"/>
      <c r="O98" s="202"/>
      <c r="P98" s="202"/>
      <c r="Q98" s="201"/>
      <c r="R98" s="202"/>
      <c r="S98" s="202"/>
      <c r="T98" s="202"/>
      <c r="U98" s="202"/>
      <c r="V98" s="380"/>
    </row>
    <row r="99" spans="1:22">
      <c r="A99" s="166"/>
      <c r="B99" s="246"/>
      <c r="C99" s="297"/>
      <c r="D99" s="298"/>
      <c r="E99" s="298"/>
      <c r="F99" s="298"/>
      <c r="G99" s="298"/>
      <c r="H99" s="298"/>
      <c r="I99" s="298"/>
      <c r="J99" s="307"/>
      <c r="K99" s="307"/>
      <c r="L99" s="298"/>
      <c r="M99" s="298"/>
      <c r="N99" s="298"/>
      <c r="O99" s="307"/>
      <c r="P99" s="165"/>
      <c r="Q99" s="298"/>
      <c r="R99" s="307"/>
      <c r="S99" s="307"/>
      <c r="T99" s="307"/>
      <c r="U99" s="307"/>
      <c r="V99" s="380"/>
    </row>
    <row r="100" spans="1:22">
      <c r="A100" s="166"/>
      <c r="B100" s="167"/>
      <c r="C100" s="168"/>
      <c r="D100" s="169"/>
      <c r="E100" s="169"/>
      <c r="F100" s="169"/>
      <c r="G100" s="169"/>
      <c r="H100" s="169"/>
      <c r="I100" s="169"/>
      <c r="J100" s="170"/>
      <c r="K100" s="170"/>
      <c r="L100" s="169"/>
      <c r="M100" s="169"/>
      <c r="N100" s="169"/>
      <c r="O100" s="170"/>
      <c r="P100" s="170"/>
      <c r="Q100" s="169"/>
      <c r="R100" s="170"/>
      <c r="S100" s="170"/>
      <c r="T100" s="170"/>
      <c r="U100" s="170"/>
      <c r="V100" s="380"/>
    </row>
    <row r="101" spans="1:22">
      <c r="A101" s="166"/>
      <c r="B101" s="199"/>
      <c r="C101" s="200"/>
      <c r="D101" s="201"/>
      <c r="E101" s="201"/>
      <c r="F101" s="201"/>
      <c r="G101" s="201"/>
      <c r="H101" s="201"/>
      <c r="I101" s="201"/>
      <c r="J101" s="202"/>
      <c r="K101" s="202"/>
      <c r="L101" s="201"/>
      <c r="M101" s="201"/>
      <c r="N101" s="201"/>
      <c r="O101" s="202"/>
      <c r="P101" s="202"/>
      <c r="Q101" s="201"/>
      <c r="R101" s="202"/>
      <c r="S101" s="202"/>
      <c r="T101" s="202"/>
      <c r="U101" s="202"/>
      <c r="V101" s="380"/>
    </row>
    <row r="102" spans="1:22">
      <c r="A102" s="166"/>
      <c r="B102" s="246"/>
      <c r="C102" s="297"/>
      <c r="D102" s="298"/>
      <c r="E102" s="298"/>
      <c r="F102" s="298"/>
      <c r="G102" s="298"/>
      <c r="H102" s="298"/>
      <c r="I102" s="298"/>
      <c r="J102" s="307"/>
      <c r="K102" s="307"/>
      <c r="L102" s="298"/>
      <c r="M102" s="298"/>
      <c r="N102" s="298"/>
      <c r="O102" s="307"/>
      <c r="P102" s="165"/>
      <c r="Q102" s="298"/>
      <c r="R102" s="307"/>
      <c r="S102" s="307"/>
      <c r="T102" s="307"/>
      <c r="U102" s="307"/>
      <c r="V102" s="380"/>
    </row>
    <row r="103" spans="1:22">
      <c r="A103" s="166"/>
      <c r="B103" s="167"/>
      <c r="C103" s="168"/>
      <c r="D103" s="169"/>
      <c r="E103" s="169"/>
      <c r="F103" s="169"/>
      <c r="G103" s="169"/>
      <c r="H103" s="169"/>
      <c r="I103" s="169"/>
      <c r="J103" s="170"/>
      <c r="K103" s="170"/>
      <c r="L103" s="169"/>
      <c r="M103" s="169"/>
      <c r="N103" s="169"/>
      <c r="O103" s="170"/>
      <c r="P103" s="170"/>
      <c r="Q103" s="169"/>
      <c r="R103" s="170"/>
      <c r="S103" s="170"/>
      <c r="T103" s="170"/>
      <c r="U103" s="170"/>
      <c r="V103" s="380"/>
    </row>
    <row r="104" spans="1:22">
      <c r="A104" s="166"/>
      <c r="B104" s="199"/>
      <c r="C104" s="200"/>
      <c r="D104" s="201"/>
      <c r="E104" s="201"/>
      <c r="F104" s="201"/>
      <c r="G104" s="201"/>
      <c r="H104" s="201"/>
      <c r="I104" s="201"/>
      <c r="J104" s="202"/>
      <c r="K104" s="202"/>
      <c r="L104" s="201"/>
      <c r="M104" s="201"/>
      <c r="N104" s="201"/>
      <c r="O104" s="202"/>
      <c r="P104" s="202"/>
      <c r="Q104" s="201"/>
      <c r="R104" s="202"/>
      <c r="S104" s="202"/>
      <c r="T104" s="202"/>
      <c r="U104" s="202"/>
      <c r="V104" s="380"/>
    </row>
    <row r="105" spans="1:22">
      <c r="A105" s="166"/>
      <c r="B105" s="246"/>
      <c r="C105" s="297"/>
      <c r="D105" s="298"/>
      <c r="E105" s="298"/>
      <c r="F105" s="298"/>
      <c r="G105" s="298"/>
      <c r="H105" s="298"/>
      <c r="I105" s="298"/>
      <c r="J105" s="307"/>
      <c r="K105" s="307"/>
      <c r="L105" s="298"/>
      <c r="M105" s="298"/>
      <c r="N105" s="298"/>
      <c r="O105" s="307"/>
      <c r="P105" s="165"/>
      <c r="Q105" s="298"/>
      <c r="R105" s="307"/>
      <c r="S105" s="307"/>
      <c r="T105" s="307"/>
      <c r="U105" s="307"/>
      <c r="V105" s="380"/>
    </row>
    <row r="106" spans="1:22">
      <c r="A106" s="166"/>
      <c r="B106" s="167"/>
      <c r="C106" s="168"/>
      <c r="D106" s="169"/>
      <c r="E106" s="169"/>
      <c r="F106" s="169"/>
      <c r="G106" s="169"/>
      <c r="H106" s="169"/>
      <c r="I106" s="169"/>
      <c r="J106" s="170"/>
      <c r="K106" s="170"/>
      <c r="L106" s="169"/>
      <c r="M106" s="169"/>
      <c r="N106" s="169"/>
      <c r="O106" s="170"/>
      <c r="P106" s="170"/>
      <c r="Q106" s="169"/>
      <c r="R106" s="170"/>
      <c r="S106" s="170"/>
      <c r="T106" s="170"/>
      <c r="U106" s="170"/>
      <c r="V106" s="380"/>
    </row>
    <row r="107" spans="1:22">
      <c r="A107" s="166"/>
      <c r="B107" s="199"/>
      <c r="C107" s="200"/>
      <c r="D107" s="201"/>
      <c r="E107" s="201"/>
      <c r="F107" s="201"/>
      <c r="G107" s="201"/>
      <c r="H107" s="201"/>
      <c r="I107" s="201"/>
      <c r="J107" s="202"/>
      <c r="K107" s="202"/>
      <c r="L107" s="201"/>
      <c r="M107" s="201"/>
      <c r="N107" s="201"/>
      <c r="O107" s="202"/>
      <c r="P107" s="202"/>
      <c r="Q107" s="201"/>
      <c r="R107" s="202"/>
      <c r="S107" s="202"/>
      <c r="T107" s="202"/>
      <c r="U107" s="202"/>
      <c r="V107" s="380"/>
    </row>
    <row r="108" spans="1:22">
      <c r="A108" s="166"/>
      <c r="B108" s="246"/>
      <c r="C108" s="297"/>
      <c r="D108" s="298"/>
      <c r="E108" s="298"/>
      <c r="F108" s="298"/>
      <c r="G108" s="298"/>
      <c r="H108" s="298"/>
      <c r="I108" s="298"/>
      <c r="J108" s="307"/>
      <c r="K108" s="307"/>
      <c r="L108" s="298"/>
      <c r="M108" s="298"/>
      <c r="N108" s="298"/>
      <c r="O108" s="307"/>
      <c r="P108" s="165"/>
      <c r="Q108" s="298"/>
      <c r="R108" s="307"/>
      <c r="S108" s="307"/>
      <c r="T108" s="307"/>
      <c r="U108" s="307"/>
      <c r="V108" s="380"/>
    </row>
    <row r="109" spans="1:22">
      <c r="A109" s="166"/>
      <c r="B109" s="167"/>
      <c r="C109" s="168"/>
      <c r="D109" s="169"/>
      <c r="E109" s="169"/>
      <c r="F109" s="169"/>
      <c r="G109" s="169"/>
      <c r="H109" s="169"/>
      <c r="I109" s="169"/>
      <c r="J109" s="170"/>
      <c r="K109" s="170"/>
      <c r="L109" s="169"/>
      <c r="M109" s="169"/>
      <c r="N109" s="169"/>
      <c r="O109" s="170"/>
      <c r="P109" s="170"/>
      <c r="Q109" s="169"/>
      <c r="R109" s="170"/>
      <c r="S109" s="170"/>
      <c r="T109" s="170"/>
      <c r="U109" s="170"/>
      <c r="V109" s="380"/>
    </row>
    <row r="110" spans="1:22">
      <c r="A110" s="166"/>
      <c r="B110" s="199"/>
      <c r="C110" s="200"/>
      <c r="D110" s="201"/>
      <c r="E110" s="201"/>
      <c r="F110" s="201"/>
      <c r="G110" s="201"/>
      <c r="H110" s="201"/>
      <c r="I110" s="201"/>
      <c r="J110" s="202"/>
      <c r="K110" s="202"/>
      <c r="L110" s="201"/>
      <c r="M110" s="201"/>
      <c r="N110" s="201"/>
      <c r="O110" s="202"/>
      <c r="P110" s="202"/>
      <c r="Q110" s="201"/>
      <c r="R110" s="202"/>
      <c r="S110" s="202"/>
      <c r="T110" s="202"/>
      <c r="U110" s="202"/>
      <c r="V110" s="380"/>
    </row>
    <row r="111" spans="1:22">
      <c r="A111" s="166"/>
      <c r="B111" s="246"/>
      <c r="C111" s="297"/>
      <c r="D111" s="298"/>
      <c r="E111" s="298"/>
      <c r="F111" s="298"/>
      <c r="G111" s="298"/>
      <c r="H111" s="298"/>
      <c r="I111" s="298"/>
      <c r="J111" s="307"/>
      <c r="K111" s="307"/>
      <c r="L111" s="298"/>
      <c r="M111" s="298"/>
      <c r="N111" s="298"/>
      <c r="O111" s="307"/>
      <c r="P111" s="165"/>
      <c r="Q111" s="298"/>
      <c r="R111" s="307"/>
      <c r="S111" s="307"/>
      <c r="T111" s="307"/>
      <c r="U111" s="307"/>
      <c r="V111" s="380"/>
    </row>
    <row r="112" spans="1:22">
      <c r="A112" s="166"/>
      <c r="B112" s="167"/>
      <c r="C112" s="168"/>
      <c r="D112" s="169"/>
      <c r="E112" s="169"/>
      <c r="F112" s="169"/>
      <c r="G112" s="169"/>
      <c r="H112" s="169"/>
      <c r="I112" s="169"/>
      <c r="J112" s="170"/>
      <c r="K112" s="170"/>
      <c r="L112" s="169"/>
      <c r="M112" s="169"/>
      <c r="N112" s="169"/>
      <c r="O112" s="170"/>
      <c r="P112" s="170"/>
      <c r="Q112" s="169"/>
      <c r="R112" s="170"/>
      <c r="S112" s="170"/>
      <c r="T112" s="170"/>
      <c r="U112" s="170"/>
      <c r="V112" s="380"/>
    </row>
    <row r="113" spans="1:22" ht="15.75" thickBot="1">
      <c r="A113" s="310"/>
      <c r="B113" s="311"/>
      <c r="C113" s="312"/>
      <c r="D113" s="313"/>
      <c r="E113" s="313"/>
      <c r="F113" s="313"/>
      <c r="G113" s="313"/>
      <c r="H113" s="313"/>
      <c r="I113" s="313"/>
      <c r="J113" s="314"/>
      <c r="K113" s="314"/>
      <c r="L113" s="313"/>
      <c r="M113" s="313"/>
      <c r="N113" s="313"/>
      <c r="O113" s="314"/>
      <c r="P113" s="314"/>
      <c r="Q113" s="313"/>
      <c r="R113" s="314"/>
      <c r="S113" s="314"/>
      <c r="T113" s="314"/>
      <c r="U113" s="314"/>
      <c r="V113" s="380"/>
    </row>
    <row r="114" spans="1:22">
      <c r="A114" s="296"/>
      <c r="B114" s="246"/>
      <c r="C114" s="297"/>
      <c r="D114" s="298"/>
      <c r="E114" s="298"/>
      <c r="F114" s="298"/>
      <c r="G114" s="298"/>
      <c r="H114" s="298"/>
      <c r="I114" s="298"/>
      <c r="J114" s="307"/>
      <c r="K114" s="307"/>
      <c r="L114" s="298"/>
      <c r="M114" s="298"/>
      <c r="N114" s="298"/>
      <c r="O114" s="307"/>
      <c r="P114" s="165"/>
      <c r="Q114" s="298"/>
      <c r="R114" s="307"/>
      <c r="S114" s="307"/>
      <c r="T114" s="307"/>
      <c r="U114" s="307"/>
      <c r="V114" s="380"/>
    </row>
    <row r="115" spans="1:22">
      <c r="A115" s="166"/>
      <c r="B115" s="167"/>
      <c r="C115" s="168"/>
      <c r="D115" s="169"/>
      <c r="E115" s="169"/>
      <c r="F115" s="169"/>
      <c r="G115" s="169"/>
      <c r="H115" s="169"/>
      <c r="I115" s="169"/>
      <c r="J115" s="170"/>
      <c r="K115" s="170"/>
      <c r="L115" s="169"/>
      <c r="M115" s="169"/>
      <c r="N115" s="169"/>
      <c r="O115" s="170"/>
      <c r="P115" s="170"/>
      <c r="Q115" s="169"/>
      <c r="R115" s="170"/>
      <c r="S115" s="170"/>
      <c r="T115" s="170"/>
      <c r="U115" s="170"/>
      <c r="V115" s="380"/>
    </row>
    <row r="116" spans="1:22">
      <c r="A116" s="166"/>
      <c r="B116" s="199"/>
      <c r="C116" s="658"/>
      <c r="D116" s="201"/>
      <c r="E116" s="201"/>
      <c r="F116" s="201"/>
      <c r="G116" s="201"/>
      <c r="H116" s="201"/>
      <c r="I116" s="201"/>
      <c r="J116" s="202"/>
      <c r="K116" s="202"/>
      <c r="L116" s="201"/>
      <c r="M116" s="201"/>
      <c r="N116" s="201"/>
      <c r="O116" s="202"/>
      <c r="P116" s="202"/>
      <c r="Q116" s="201"/>
      <c r="R116" s="202"/>
      <c r="S116" s="202"/>
      <c r="T116" s="202"/>
      <c r="U116" s="202"/>
      <c r="V116" s="380"/>
    </row>
    <row r="117" spans="1:22">
      <c r="A117" s="166"/>
      <c r="B117" s="246"/>
      <c r="C117" s="297"/>
      <c r="D117" s="298"/>
      <c r="E117" s="298"/>
      <c r="F117" s="298"/>
      <c r="G117" s="298"/>
      <c r="H117" s="298"/>
      <c r="I117" s="298"/>
      <c r="J117" s="307"/>
      <c r="K117" s="307"/>
      <c r="L117" s="298"/>
      <c r="M117" s="298"/>
      <c r="N117" s="298"/>
      <c r="O117" s="307"/>
      <c r="P117" s="165"/>
      <c r="Q117" s="298"/>
      <c r="R117" s="307"/>
      <c r="S117" s="307"/>
      <c r="T117" s="307"/>
      <c r="U117" s="307"/>
      <c r="V117" s="380"/>
    </row>
    <row r="118" spans="1:22">
      <c r="A118" s="166"/>
      <c r="B118" s="167"/>
      <c r="C118" s="168"/>
      <c r="D118" s="169"/>
      <c r="E118" s="169"/>
      <c r="F118" s="169"/>
      <c r="G118" s="169"/>
      <c r="H118" s="169"/>
      <c r="I118" s="169"/>
      <c r="J118" s="170"/>
      <c r="K118" s="170"/>
      <c r="L118" s="169"/>
      <c r="M118" s="169"/>
      <c r="N118" s="169"/>
      <c r="O118" s="170"/>
      <c r="P118" s="170"/>
      <c r="Q118" s="169"/>
      <c r="R118" s="170"/>
      <c r="S118" s="170"/>
      <c r="T118" s="170"/>
      <c r="U118" s="170"/>
      <c r="V118" s="380"/>
    </row>
    <row r="119" spans="1:22">
      <c r="A119" s="166"/>
      <c r="B119" s="199"/>
      <c r="C119" s="200"/>
      <c r="D119" s="201"/>
      <c r="E119" s="201"/>
      <c r="F119" s="201"/>
      <c r="G119" s="201"/>
      <c r="H119" s="201"/>
      <c r="I119" s="201"/>
      <c r="J119" s="202"/>
      <c r="K119" s="202"/>
      <c r="L119" s="201"/>
      <c r="M119" s="201"/>
      <c r="N119" s="201"/>
      <c r="O119" s="202"/>
      <c r="P119" s="202"/>
      <c r="Q119" s="201"/>
      <c r="R119" s="202"/>
      <c r="S119" s="202"/>
      <c r="T119" s="202"/>
      <c r="U119" s="202"/>
      <c r="V119" s="380"/>
    </row>
    <row r="120" spans="1:22">
      <c r="A120" s="166"/>
      <c r="B120" s="246"/>
      <c r="C120" s="297"/>
      <c r="D120" s="298"/>
      <c r="E120" s="298"/>
      <c r="F120" s="298"/>
      <c r="G120" s="298"/>
      <c r="H120" s="298"/>
      <c r="I120" s="298"/>
      <c r="J120" s="307"/>
      <c r="K120" s="307"/>
      <c r="L120" s="298"/>
      <c r="M120" s="298"/>
      <c r="N120" s="298"/>
      <c r="O120" s="307"/>
      <c r="P120" s="165"/>
      <c r="Q120" s="298"/>
      <c r="R120" s="307"/>
      <c r="S120" s="307"/>
      <c r="T120" s="307"/>
      <c r="U120" s="307"/>
      <c r="V120" s="380"/>
    </row>
    <row r="121" spans="1:22">
      <c r="A121" s="166"/>
      <c r="B121" s="167"/>
      <c r="C121" s="168"/>
      <c r="D121" s="169"/>
      <c r="E121" s="169"/>
      <c r="F121" s="169"/>
      <c r="G121" s="169"/>
      <c r="H121" s="169"/>
      <c r="I121" s="169"/>
      <c r="J121" s="170"/>
      <c r="K121" s="170"/>
      <c r="L121" s="169"/>
      <c r="M121" s="169"/>
      <c r="N121" s="169"/>
      <c r="O121" s="170"/>
      <c r="P121" s="170"/>
      <c r="Q121" s="169"/>
      <c r="R121" s="170"/>
      <c r="S121" s="170"/>
      <c r="T121" s="170"/>
      <c r="U121" s="170"/>
      <c r="V121" s="380"/>
    </row>
    <row r="122" spans="1:22">
      <c r="A122" s="166"/>
      <c r="B122" s="199"/>
      <c r="C122" s="658"/>
      <c r="D122" s="201"/>
      <c r="E122" s="201"/>
      <c r="F122" s="201"/>
      <c r="G122" s="201"/>
      <c r="H122" s="201"/>
      <c r="I122" s="201"/>
      <c r="J122" s="202"/>
      <c r="K122" s="202"/>
      <c r="L122" s="201"/>
      <c r="M122" s="201"/>
      <c r="N122" s="201"/>
      <c r="O122" s="202"/>
      <c r="P122" s="202"/>
      <c r="Q122" s="201"/>
      <c r="R122" s="202"/>
      <c r="S122" s="202"/>
      <c r="T122" s="202"/>
      <c r="U122" s="202"/>
      <c r="V122" s="380"/>
    </row>
    <row r="123" spans="1:22">
      <c r="A123" s="166"/>
      <c r="B123" s="246"/>
      <c r="C123" s="297"/>
      <c r="D123" s="298"/>
      <c r="E123" s="298"/>
      <c r="F123" s="298"/>
      <c r="G123" s="298"/>
      <c r="H123" s="298"/>
      <c r="I123" s="298"/>
      <c r="J123" s="307"/>
      <c r="K123" s="307"/>
      <c r="L123" s="298"/>
      <c r="M123" s="298"/>
      <c r="N123" s="298"/>
      <c r="O123" s="307"/>
      <c r="P123" s="165"/>
      <c r="Q123" s="298"/>
      <c r="R123" s="307"/>
      <c r="S123" s="307"/>
      <c r="T123" s="307"/>
      <c r="U123" s="307"/>
      <c r="V123" s="380"/>
    </row>
    <row r="124" spans="1:22">
      <c r="A124" s="166"/>
      <c r="B124" s="167"/>
      <c r="C124" s="168"/>
      <c r="D124" s="169"/>
      <c r="E124" s="169"/>
      <c r="F124" s="169"/>
      <c r="G124" s="169"/>
      <c r="H124" s="169"/>
      <c r="I124" s="169"/>
      <c r="J124" s="170"/>
      <c r="K124" s="170"/>
      <c r="L124" s="169"/>
      <c r="M124" s="169"/>
      <c r="N124" s="659"/>
      <c r="O124" s="170"/>
      <c r="P124" s="170"/>
      <c r="Q124" s="169"/>
      <c r="R124" s="170"/>
      <c r="S124" s="170"/>
      <c r="T124" s="170"/>
      <c r="U124" s="170"/>
      <c r="V124" s="380"/>
    </row>
    <row r="125" spans="1:22">
      <c r="A125" s="166"/>
      <c r="B125" s="199"/>
      <c r="C125" s="200"/>
      <c r="D125" s="201"/>
      <c r="E125" s="201"/>
      <c r="F125" s="201"/>
      <c r="G125" s="201"/>
      <c r="H125" s="201"/>
      <c r="I125" s="201"/>
      <c r="J125" s="202"/>
      <c r="K125" s="202"/>
      <c r="L125" s="201"/>
      <c r="M125" s="201"/>
      <c r="N125" s="201"/>
      <c r="O125" s="202"/>
      <c r="P125" s="202"/>
      <c r="Q125" s="201"/>
      <c r="R125" s="202"/>
      <c r="S125" s="202"/>
      <c r="T125" s="202"/>
      <c r="U125" s="202"/>
      <c r="V125" s="380"/>
    </row>
    <row r="126" spans="1:22">
      <c r="A126" s="166"/>
      <c r="B126" s="246"/>
      <c r="C126" s="297"/>
      <c r="D126" s="298"/>
      <c r="E126" s="298"/>
      <c r="F126" s="298"/>
      <c r="G126" s="298"/>
      <c r="H126" s="298"/>
      <c r="I126" s="298"/>
      <c r="J126" s="307"/>
      <c r="K126" s="307"/>
      <c r="L126" s="298"/>
      <c r="M126" s="298"/>
      <c r="N126" s="298"/>
      <c r="O126" s="307"/>
      <c r="P126" s="165"/>
      <c r="Q126" s="298"/>
      <c r="R126" s="307"/>
      <c r="S126" s="307"/>
      <c r="T126" s="307"/>
      <c r="U126" s="307"/>
      <c r="V126" s="380"/>
    </row>
    <row r="127" spans="1:22">
      <c r="A127" s="166"/>
      <c r="B127" s="167"/>
      <c r="C127" s="168"/>
      <c r="D127" s="169"/>
      <c r="E127" s="169"/>
      <c r="F127" s="169"/>
      <c r="G127" s="169"/>
      <c r="H127" s="169"/>
      <c r="I127" s="169"/>
      <c r="J127" s="170"/>
      <c r="K127" s="170"/>
      <c r="L127" s="169"/>
      <c r="M127" s="169"/>
      <c r="N127" s="169"/>
      <c r="O127" s="170"/>
      <c r="P127" s="170"/>
      <c r="Q127" s="169"/>
      <c r="R127" s="170"/>
      <c r="S127" s="170"/>
      <c r="T127" s="170"/>
      <c r="U127" s="170"/>
      <c r="V127" s="380"/>
    </row>
    <row r="128" spans="1:22">
      <c r="A128" s="166"/>
      <c r="B128" s="199"/>
      <c r="C128" s="200"/>
      <c r="D128" s="201"/>
      <c r="E128" s="201"/>
      <c r="F128" s="201"/>
      <c r="G128" s="201"/>
      <c r="H128" s="201"/>
      <c r="I128" s="201"/>
      <c r="J128" s="202"/>
      <c r="K128" s="202"/>
      <c r="L128" s="201"/>
      <c r="M128" s="201"/>
      <c r="N128" s="201"/>
      <c r="O128" s="202"/>
      <c r="P128" s="202"/>
      <c r="Q128" s="201"/>
      <c r="R128" s="202"/>
      <c r="S128" s="202"/>
      <c r="T128" s="202"/>
      <c r="U128" s="202"/>
      <c r="V128" s="380"/>
    </row>
    <row r="129" spans="1:22">
      <c r="A129" s="166"/>
      <c r="B129" s="246"/>
      <c r="C129" s="297"/>
      <c r="D129" s="298"/>
      <c r="E129" s="298"/>
      <c r="F129" s="298"/>
      <c r="G129" s="298"/>
      <c r="H129" s="298"/>
      <c r="I129" s="298"/>
      <c r="J129" s="307"/>
      <c r="K129" s="307"/>
      <c r="L129" s="298"/>
      <c r="M129" s="298"/>
      <c r="N129" s="298"/>
      <c r="O129" s="307"/>
      <c r="P129" s="165"/>
      <c r="Q129" s="298"/>
      <c r="R129" s="307"/>
      <c r="S129" s="307"/>
      <c r="T129" s="307"/>
      <c r="U129" s="307"/>
      <c r="V129" s="380"/>
    </row>
    <row r="130" spans="1:22">
      <c r="A130" s="166"/>
      <c r="B130" s="167"/>
      <c r="C130" s="168"/>
      <c r="D130" s="169"/>
      <c r="E130" s="169"/>
      <c r="F130" s="169"/>
      <c r="G130" s="169"/>
      <c r="H130" s="169"/>
      <c r="I130" s="169"/>
      <c r="J130" s="170"/>
      <c r="K130" s="170"/>
      <c r="L130" s="169"/>
      <c r="M130" s="169"/>
      <c r="N130" s="169"/>
      <c r="O130" s="170"/>
      <c r="P130" s="170"/>
      <c r="Q130" s="169"/>
      <c r="R130" s="170"/>
      <c r="S130" s="170"/>
      <c r="T130" s="170"/>
      <c r="U130" s="170"/>
      <c r="V130" s="380"/>
    </row>
    <row r="131" spans="1:22" ht="15.75" thickBot="1">
      <c r="A131" s="166"/>
      <c r="B131" s="303"/>
      <c r="C131" s="304"/>
      <c r="D131" s="305"/>
      <c r="E131" s="305"/>
      <c r="F131" s="305"/>
      <c r="G131" s="305"/>
      <c r="H131" s="305"/>
      <c r="I131" s="305"/>
      <c r="J131" s="308"/>
      <c r="K131" s="308"/>
      <c r="L131" s="305"/>
      <c r="M131" s="305"/>
      <c r="N131" s="305"/>
      <c r="O131" s="308"/>
      <c r="P131" s="308"/>
      <c r="Q131" s="305"/>
      <c r="R131" s="308"/>
      <c r="S131" s="308"/>
      <c r="T131" s="308"/>
      <c r="U131" s="308"/>
      <c r="V131" s="380"/>
    </row>
    <row r="132" spans="1:22" ht="15.75" thickTop="1">
      <c r="A132" s="166"/>
      <c r="B132" s="167"/>
      <c r="C132" s="168"/>
      <c r="D132" s="169"/>
      <c r="E132" s="169"/>
      <c r="F132" s="169"/>
      <c r="G132" s="169"/>
      <c r="H132" s="169"/>
      <c r="I132" s="169"/>
      <c r="J132" s="170"/>
      <c r="K132" s="170"/>
      <c r="L132" s="169"/>
      <c r="M132" s="169"/>
      <c r="N132" s="169"/>
      <c r="O132" s="170"/>
      <c r="P132" s="170"/>
      <c r="Q132" s="169"/>
      <c r="R132" s="170"/>
      <c r="S132" s="170"/>
      <c r="T132" s="170"/>
      <c r="U132" s="170"/>
      <c r="V132" s="380"/>
    </row>
    <row r="133" spans="1:22">
      <c r="A133" s="166"/>
      <c r="B133" s="167"/>
      <c r="C133" s="168"/>
      <c r="D133" s="169"/>
      <c r="E133" s="169"/>
      <c r="F133" s="169"/>
      <c r="G133" s="169"/>
      <c r="H133" s="169"/>
      <c r="I133" s="169"/>
      <c r="J133" s="170"/>
      <c r="K133" s="170"/>
      <c r="L133" s="169"/>
      <c r="M133" s="169"/>
      <c r="N133" s="169"/>
      <c r="O133" s="170"/>
      <c r="P133" s="170"/>
      <c r="Q133" s="169"/>
      <c r="R133" s="170"/>
      <c r="S133" s="170"/>
      <c r="T133" s="170"/>
      <c r="U133" s="170"/>
      <c r="V133" s="380"/>
    </row>
    <row r="134" spans="1:22">
      <c r="A134" s="166"/>
      <c r="B134" s="199"/>
      <c r="C134" s="658"/>
      <c r="D134" s="201"/>
      <c r="E134" s="201"/>
      <c r="F134" s="656"/>
      <c r="G134" s="201"/>
      <c r="H134" s="201"/>
      <c r="I134" s="201"/>
      <c r="J134" s="202"/>
      <c r="K134" s="202"/>
      <c r="L134" s="201"/>
      <c r="M134" s="201"/>
      <c r="N134" s="201"/>
      <c r="O134" s="202"/>
      <c r="P134" s="202"/>
      <c r="Q134" s="201"/>
      <c r="R134" s="202"/>
      <c r="S134" s="202"/>
      <c r="T134" s="202"/>
      <c r="U134" s="202"/>
      <c r="V134" s="380"/>
    </row>
    <row r="135" spans="1:22">
      <c r="A135" s="166"/>
      <c r="B135" s="246"/>
      <c r="C135" s="297"/>
      <c r="D135" s="298"/>
      <c r="E135" s="298"/>
      <c r="F135" s="298"/>
      <c r="G135" s="298"/>
      <c r="H135" s="298"/>
      <c r="I135" s="298"/>
      <c r="J135" s="307"/>
      <c r="K135" s="307"/>
      <c r="L135" s="298"/>
      <c r="M135" s="298"/>
      <c r="N135" s="298"/>
      <c r="O135" s="307"/>
      <c r="P135" s="165"/>
      <c r="Q135" s="298"/>
      <c r="R135" s="307"/>
      <c r="S135" s="307"/>
      <c r="T135" s="307"/>
      <c r="U135" s="307"/>
      <c r="V135" s="380"/>
    </row>
    <row r="136" spans="1:22">
      <c r="A136" s="166"/>
      <c r="B136" s="167"/>
      <c r="C136" s="168"/>
      <c r="D136" s="169"/>
      <c r="E136" s="169"/>
      <c r="F136" s="169"/>
      <c r="G136" s="169"/>
      <c r="H136" s="169"/>
      <c r="I136" s="169"/>
      <c r="J136" s="170"/>
      <c r="K136" s="170"/>
      <c r="L136" s="169"/>
      <c r="M136" s="169"/>
      <c r="N136" s="169"/>
      <c r="O136" s="170"/>
      <c r="P136" s="170"/>
      <c r="Q136" s="169"/>
      <c r="R136" s="170"/>
      <c r="S136" s="170"/>
      <c r="T136" s="170"/>
      <c r="U136" s="170"/>
      <c r="V136" s="380"/>
    </row>
    <row r="137" spans="1:22">
      <c r="A137" s="166"/>
      <c r="B137" s="199"/>
      <c r="C137" s="200"/>
      <c r="D137" s="201"/>
      <c r="E137" s="201"/>
      <c r="F137" s="201"/>
      <c r="G137" s="201"/>
      <c r="H137" s="201"/>
      <c r="I137" s="201"/>
      <c r="J137" s="202"/>
      <c r="K137" s="202"/>
      <c r="L137" s="201"/>
      <c r="M137" s="201"/>
      <c r="N137" s="201"/>
      <c r="O137" s="202"/>
      <c r="P137" s="202"/>
      <c r="Q137" s="201"/>
      <c r="R137" s="202"/>
      <c r="S137" s="202"/>
      <c r="T137" s="202"/>
      <c r="U137" s="202"/>
      <c r="V137" s="380"/>
    </row>
    <row r="138" spans="1:22">
      <c r="A138" s="166"/>
      <c r="B138" s="246"/>
      <c r="C138" s="297"/>
      <c r="D138" s="298"/>
      <c r="E138" s="298"/>
      <c r="F138" s="298"/>
      <c r="G138" s="298"/>
      <c r="H138" s="298"/>
      <c r="I138" s="298"/>
      <c r="J138" s="307"/>
      <c r="K138" s="307"/>
      <c r="L138" s="298"/>
      <c r="M138" s="298"/>
      <c r="N138" s="298"/>
      <c r="O138" s="307"/>
      <c r="P138" s="165"/>
      <c r="Q138" s="298"/>
      <c r="R138" s="307"/>
      <c r="S138" s="307"/>
      <c r="T138" s="307"/>
      <c r="U138" s="307"/>
      <c r="V138" s="380"/>
    </row>
    <row r="139" spans="1:22">
      <c r="A139" s="166"/>
      <c r="B139" s="167"/>
      <c r="C139" s="168"/>
      <c r="D139" s="169"/>
      <c r="E139" s="169"/>
      <c r="F139" s="169"/>
      <c r="G139" s="169"/>
      <c r="H139" s="169"/>
      <c r="I139" s="169"/>
      <c r="J139" s="170"/>
      <c r="K139" s="170"/>
      <c r="L139" s="169"/>
      <c r="M139" s="169"/>
      <c r="N139" s="169"/>
      <c r="O139" s="170"/>
      <c r="P139" s="170"/>
      <c r="Q139" s="169"/>
      <c r="R139" s="170"/>
      <c r="S139" s="170"/>
      <c r="T139" s="170"/>
      <c r="U139" s="170"/>
      <c r="V139" s="380"/>
    </row>
    <row r="140" spans="1:22">
      <c r="A140" s="166"/>
      <c r="B140" s="199"/>
      <c r="C140" s="658"/>
      <c r="D140" s="201"/>
      <c r="E140" s="201"/>
      <c r="F140" s="201"/>
      <c r="G140" s="201"/>
      <c r="H140" s="201"/>
      <c r="I140" s="201"/>
      <c r="J140" s="202"/>
      <c r="K140" s="202"/>
      <c r="L140" s="201"/>
      <c r="M140" s="201"/>
      <c r="N140" s="201"/>
      <c r="O140" s="202"/>
      <c r="P140" s="202"/>
      <c r="Q140" s="201"/>
      <c r="R140" s="202"/>
      <c r="S140" s="202"/>
      <c r="T140" s="202"/>
      <c r="U140" s="202"/>
      <c r="V140" s="380"/>
    </row>
    <row r="141" spans="1:22">
      <c r="A141" s="166"/>
      <c r="B141" s="246"/>
      <c r="C141" s="297"/>
      <c r="D141" s="298"/>
      <c r="E141" s="298"/>
      <c r="F141" s="298"/>
      <c r="G141" s="298"/>
      <c r="H141" s="298"/>
      <c r="I141" s="298"/>
      <c r="J141" s="307"/>
      <c r="K141" s="307"/>
      <c r="L141" s="298"/>
      <c r="M141" s="298"/>
      <c r="N141" s="298"/>
      <c r="O141" s="307"/>
      <c r="P141" s="165"/>
      <c r="Q141" s="298"/>
      <c r="R141" s="307"/>
      <c r="S141" s="307"/>
      <c r="T141" s="307"/>
      <c r="U141" s="307"/>
      <c r="V141" s="380"/>
    </row>
    <row r="142" spans="1:22">
      <c r="A142" s="166"/>
      <c r="B142" s="167"/>
      <c r="C142" s="168"/>
      <c r="D142" s="169"/>
      <c r="E142" s="169"/>
      <c r="F142" s="169"/>
      <c r="G142" s="169"/>
      <c r="H142" s="169"/>
      <c r="I142" s="169"/>
      <c r="J142" s="170"/>
      <c r="K142" s="170"/>
      <c r="L142" s="169"/>
      <c r="M142" s="169"/>
      <c r="N142" s="169"/>
      <c r="O142" s="170"/>
      <c r="P142" s="170"/>
      <c r="Q142" s="169"/>
      <c r="R142" s="170"/>
      <c r="S142" s="170"/>
      <c r="T142" s="170"/>
      <c r="U142" s="170"/>
      <c r="V142" s="380"/>
    </row>
    <row r="143" spans="1:22">
      <c r="A143" s="166"/>
      <c r="B143" s="199"/>
      <c r="C143" s="200"/>
      <c r="D143" s="201"/>
      <c r="E143" s="201"/>
      <c r="F143" s="201"/>
      <c r="G143" s="201"/>
      <c r="H143" s="201"/>
      <c r="I143" s="201"/>
      <c r="J143" s="202"/>
      <c r="K143" s="202"/>
      <c r="L143" s="201"/>
      <c r="M143" s="201"/>
      <c r="N143" s="201"/>
      <c r="O143" s="202"/>
      <c r="P143" s="202"/>
      <c r="Q143" s="201"/>
      <c r="R143" s="202"/>
      <c r="S143" s="202"/>
      <c r="T143" s="202"/>
      <c r="U143" s="202"/>
      <c r="V143" s="380"/>
    </row>
    <row r="144" spans="1:22">
      <c r="A144" s="166"/>
      <c r="B144" s="246"/>
      <c r="C144" s="297"/>
      <c r="D144" s="298"/>
      <c r="E144" s="298"/>
      <c r="F144" s="298"/>
      <c r="G144" s="298"/>
      <c r="H144" s="298"/>
      <c r="I144" s="298"/>
      <c r="J144" s="307"/>
      <c r="K144" s="307"/>
      <c r="L144" s="298"/>
      <c r="M144" s="298"/>
      <c r="N144" s="298"/>
      <c r="O144" s="307"/>
      <c r="P144" s="165"/>
      <c r="Q144" s="298"/>
      <c r="R144" s="307"/>
      <c r="S144" s="307"/>
      <c r="T144" s="307"/>
      <c r="U144" s="307"/>
      <c r="V144" s="380"/>
    </row>
    <row r="145" spans="1:22">
      <c r="A145" s="166"/>
      <c r="B145" s="167"/>
      <c r="C145" s="168"/>
      <c r="D145" s="169"/>
      <c r="E145" s="169"/>
      <c r="F145" s="169"/>
      <c r="G145" s="169"/>
      <c r="H145" s="169"/>
      <c r="I145" s="169"/>
      <c r="J145" s="170"/>
      <c r="K145" s="170"/>
      <c r="L145" s="169"/>
      <c r="M145" s="169"/>
      <c r="N145" s="169"/>
      <c r="O145" s="170"/>
      <c r="P145" s="170"/>
      <c r="Q145" s="169"/>
      <c r="R145" s="170"/>
      <c r="S145" s="170"/>
      <c r="T145" s="170"/>
      <c r="U145" s="170"/>
      <c r="V145" s="380"/>
    </row>
    <row r="146" spans="1:22">
      <c r="A146" s="166"/>
      <c r="B146" s="199"/>
      <c r="C146" s="200"/>
      <c r="D146" s="201"/>
      <c r="E146" s="201"/>
      <c r="F146" s="201"/>
      <c r="G146" s="201"/>
      <c r="H146" s="201"/>
      <c r="I146" s="201"/>
      <c r="J146" s="202"/>
      <c r="K146" s="202"/>
      <c r="L146" s="201"/>
      <c r="M146" s="201"/>
      <c r="N146" s="201"/>
      <c r="O146" s="202"/>
      <c r="P146" s="202"/>
      <c r="Q146" s="201"/>
      <c r="R146" s="202"/>
      <c r="S146" s="202"/>
      <c r="T146" s="202"/>
      <c r="U146" s="202"/>
      <c r="V146" s="380"/>
    </row>
    <row r="147" spans="1:22">
      <c r="A147" s="166"/>
      <c r="B147" s="246"/>
      <c r="C147" s="297"/>
      <c r="D147" s="298"/>
      <c r="E147" s="298"/>
      <c r="F147" s="298"/>
      <c r="G147" s="298"/>
      <c r="H147" s="298"/>
      <c r="I147" s="298"/>
      <c r="J147" s="307"/>
      <c r="K147" s="307"/>
      <c r="L147" s="298"/>
      <c r="M147" s="298"/>
      <c r="N147" s="298"/>
      <c r="O147" s="307"/>
      <c r="P147" s="165"/>
      <c r="Q147" s="298"/>
      <c r="R147" s="307"/>
      <c r="S147" s="307"/>
      <c r="T147" s="307"/>
      <c r="U147" s="307"/>
      <c r="V147" s="380"/>
    </row>
    <row r="148" spans="1:22">
      <c r="A148" s="166"/>
      <c r="B148" s="167"/>
      <c r="C148" s="168"/>
      <c r="D148" s="169"/>
      <c r="E148" s="169"/>
      <c r="F148" s="169"/>
      <c r="G148" s="169"/>
      <c r="H148" s="169"/>
      <c r="I148" s="169"/>
      <c r="J148" s="170"/>
      <c r="K148" s="170"/>
      <c r="L148" s="169"/>
      <c r="M148" s="169"/>
      <c r="N148" s="169"/>
      <c r="O148" s="170"/>
      <c r="P148" s="170"/>
      <c r="Q148" s="169"/>
      <c r="R148" s="170"/>
      <c r="S148" s="170"/>
      <c r="T148" s="170"/>
      <c r="U148" s="170"/>
      <c r="V148" s="380"/>
    </row>
    <row r="149" spans="1:22" ht="15.75" thickBot="1">
      <c r="A149" s="310"/>
      <c r="B149" s="311"/>
      <c r="C149" s="312"/>
      <c r="D149" s="313"/>
      <c r="E149" s="313"/>
      <c r="F149" s="313"/>
      <c r="G149" s="313"/>
      <c r="H149" s="313"/>
      <c r="I149" s="313"/>
      <c r="J149" s="314"/>
      <c r="K149" s="314"/>
      <c r="L149" s="313"/>
      <c r="M149" s="313"/>
      <c r="N149" s="313"/>
      <c r="O149" s="314"/>
      <c r="P149" s="314"/>
      <c r="Q149" s="313"/>
      <c r="R149" s="314"/>
      <c r="S149" s="314"/>
      <c r="T149" s="314"/>
      <c r="U149" s="314"/>
      <c r="V149" s="380"/>
    </row>
    <row r="150" spans="1:22">
      <c r="A150" s="296"/>
      <c r="B150" s="246"/>
      <c r="C150" s="297"/>
      <c r="D150" s="298"/>
      <c r="E150" s="298"/>
      <c r="F150" s="298"/>
      <c r="G150" s="298"/>
      <c r="H150" s="298"/>
      <c r="I150" s="298"/>
      <c r="J150" s="307"/>
      <c r="K150" s="307"/>
      <c r="L150" s="298"/>
      <c r="M150" s="298"/>
      <c r="N150" s="298"/>
      <c r="O150" s="307"/>
      <c r="P150" s="165"/>
      <c r="Q150" s="298"/>
      <c r="R150" s="307"/>
      <c r="S150" s="307"/>
      <c r="T150" s="307"/>
      <c r="U150" s="307"/>
      <c r="V150" s="380"/>
    </row>
    <row r="151" spans="1:22">
      <c r="A151" s="166"/>
      <c r="B151" s="167"/>
      <c r="C151" s="168"/>
      <c r="D151" s="169"/>
      <c r="E151" s="169"/>
      <c r="F151" s="169"/>
      <c r="G151" s="169"/>
      <c r="H151" s="169"/>
      <c r="I151" s="169"/>
      <c r="J151" s="170"/>
      <c r="K151" s="170"/>
      <c r="L151" s="169"/>
      <c r="M151" s="169"/>
      <c r="N151" s="169"/>
      <c r="O151" s="170"/>
      <c r="P151" s="170"/>
      <c r="Q151" s="169"/>
      <c r="R151" s="170"/>
      <c r="S151" s="170"/>
      <c r="T151" s="170"/>
      <c r="U151" s="170"/>
      <c r="V151" s="380"/>
    </row>
    <row r="152" spans="1:22">
      <c r="A152" s="166"/>
      <c r="B152" s="199"/>
      <c r="C152" s="200"/>
      <c r="D152" s="201"/>
      <c r="E152" s="201"/>
      <c r="F152" s="201"/>
      <c r="G152" s="201"/>
      <c r="H152" s="201"/>
      <c r="I152" s="201"/>
      <c r="J152" s="202"/>
      <c r="K152" s="202"/>
      <c r="L152" s="201"/>
      <c r="M152" s="201"/>
      <c r="N152" s="201"/>
      <c r="O152" s="202"/>
      <c r="P152" s="202"/>
      <c r="Q152" s="201"/>
      <c r="R152" s="202"/>
      <c r="S152" s="202"/>
      <c r="T152" s="202"/>
      <c r="U152" s="202"/>
      <c r="V152" s="380"/>
    </row>
    <row r="153" spans="1:22">
      <c r="A153" s="166"/>
      <c r="B153" s="246"/>
      <c r="C153" s="297"/>
      <c r="D153" s="298"/>
      <c r="E153" s="298"/>
      <c r="F153" s="298"/>
      <c r="G153" s="298"/>
      <c r="H153" s="298"/>
      <c r="I153" s="298"/>
      <c r="J153" s="307"/>
      <c r="K153" s="307"/>
      <c r="L153" s="298"/>
      <c r="M153" s="298"/>
      <c r="N153" s="298"/>
      <c r="O153" s="307"/>
      <c r="P153" s="165"/>
      <c r="Q153" s="298"/>
      <c r="R153" s="307"/>
      <c r="S153" s="307"/>
      <c r="T153" s="307"/>
      <c r="U153" s="307"/>
      <c r="V153" s="380"/>
    </row>
    <row r="154" spans="1:22">
      <c r="A154" s="166"/>
      <c r="B154" s="167"/>
      <c r="C154" s="168"/>
      <c r="D154" s="169"/>
      <c r="E154" s="169"/>
      <c r="F154" s="169"/>
      <c r="G154" s="169"/>
      <c r="H154" s="169"/>
      <c r="I154" s="169"/>
      <c r="J154" s="170"/>
      <c r="K154" s="170"/>
      <c r="L154" s="169"/>
      <c r="M154" s="169"/>
      <c r="N154" s="169"/>
      <c r="O154" s="170"/>
      <c r="P154" s="170"/>
      <c r="Q154" s="169"/>
      <c r="R154" s="170"/>
      <c r="S154" s="170"/>
      <c r="T154" s="170"/>
      <c r="U154" s="170"/>
      <c r="V154" s="380"/>
    </row>
    <row r="155" spans="1:22">
      <c r="A155" s="166"/>
      <c r="B155" s="199"/>
      <c r="C155" s="200"/>
      <c r="D155" s="201"/>
      <c r="E155" s="201"/>
      <c r="F155" s="201"/>
      <c r="G155" s="201"/>
      <c r="H155" s="201"/>
      <c r="I155" s="201"/>
      <c r="J155" s="202"/>
      <c r="K155" s="202"/>
      <c r="L155" s="201"/>
      <c r="M155" s="201"/>
      <c r="N155" s="201"/>
      <c r="O155" s="202"/>
      <c r="P155" s="202"/>
      <c r="Q155" s="201"/>
      <c r="R155" s="202"/>
      <c r="S155" s="202"/>
      <c r="T155" s="202"/>
      <c r="U155" s="202"/>
      <c r="V155" s="380"/>
    </row>
    <row r="156" spans="1:22">
      <c r="A156" s="166"/>
      <c r="B156" s="246"/>
      <c r="C156" s="297"/>
      <c r="D156" s="298"/>
      <c r="E156" s="298"/>
      <c r="F156" s="298"/>
      <c r="G156" s="298"/>
      <c r="H156" s="298"/>
      <c r="I156" s="298"/>
      <c r="J156" s="307"/>
      <c r="K156" s="307"/>
      <c r="L156" s="298"/>
      <c r="M156" s="298"/>
      <c r="N156" s="298"/>
      <c r="O156" s="307"/>
      <c r="P156" s="165"/>
      <c r="Q156" s="298"/>
      <c r="R156" s="307"/>
      <c r="S156" s="307"/>
      <c r="T156" s="307"/>
      <c r="U156" s="307"/>
      <c r="V156" s="380"/>
    </row>
    <row r="157" spans="1:22">
      <c r="A157" s="166"/>
      <c r="B157" s="167"/>
      <c r="C157" s="168"/>
      <c r="D157" s="169"/>
      <c r="E157" s="169"/>
      <c r="F157" s="169"/>
      <c r="G157" s="169"/>
      <c r="H157" s="169"/>
      <c r="I157" s="169"/>
      <c r="J157" s="170"/>
      <c r="K157" s="170"/>
      <c r="L157" s="169"/>
      <c r="M157" s="169"/>
      <c r="N157" s="169"/>
      <c r="O157" s="170"/>
      <c r="P157" s="170"/>
      <c r="Q157" s="169"/>
      <c r="R157" s="170"/>
      <c r="S157" s="170"/>
      <c r="T157" s="170"/>
      <c r="U157" s="170"/>
      <c r="V157" s="380"/>
    </row>
    <row r="158" spans="1:22">
      <c r="A158" s="166"/>
      <c r="B158" s="199"/>
      <c r="C158" s="200"/>
      <c r="D158" s="201"/>
      <c r="E158" s="201"/>
      <c r="F158" s="201"/>
      <c r="G158" s="201"/>
      <c r="H158" s="201"/>
      <c r="I158" s="201"/>
      <c r="J158" s="202"/>
      <c r="K158" s="202"/>
      <c r="L158" s="201"/>
      <c r="M158" s="201"/>
      <c r="N158" s="201"/>
      <c r="O158" s="202"/>
      <c r="P158" s="202"/>
      <c r="Q158" s="201"/>
      <c r="R158" s="202"/>
      <c r="S158" s="202"/>
      <c r="T158" s="202"/>
      <c r="U158" s="202"/>
      <c r="V158" s="380"/>
    </row>
    <row r="159" spans="1:22">
      <c r="A159" s="166"/>
      <c r="B159" s="246"/>
      <c r="C159" s="297"/>
      <c r="D159" s="298"/>
      <c r="E159" s="298"/>
      <c r="F159" s="298"/>
      <c r="G159" s="298"/>
      <c r="H159" s="298"/>
      <c r="I159" s="298"/>
      <c r="J159" s="307"/>
      <c r="K159" s="307"/>
      <c r="L159" s="298"/>
      <c r="M159" s="298"/>
      <c r="N159" s="298"/>
      <c r="O159" s="307"/>
      <c r="P159" s="165"/>
      <c r="Q159" s="298"/>
      <c r="R159" s="307"/>
      <c r="S159" s="307"/>
      <c r="T159" s="307"/>
      <c r="U159" s="307"/>
      <c r="V159" s="380"/>
    </row>
    <row r="160" spans="1:22">
      <c r="A160" s="166"/>
      <c r="B160" s="167"/>
      <c r="C160" s="168"/>
      <c r="D160" s="169"/>
      <c r="E160" s="169"/>
      <c r="F160" s="169"/>
      <c r="G160" s="169"/>
      <c r="H160" s="169"/>
      <c r="I160" s="169"/>
      <c r="J160" s="170"/>
      <c r="K160" s="170"/>
      <c r="L160" s="169"/>
      <c r="M160" s="169"/>
      <c r="N160" s="169"/>
      <c r="O160" s="170"/>
      <c r="P160" s="170"/>
      <c r="Q160" s="169"/>
      <c r="R160" s="170"/>
      <c r="S160" s="170"/>
      <c r="T160" s="170"/>
      <c r="U160" s="170"/>
      <c r="V160" s="380"/>
    </row>
    <row r="161" spans="1:22">
      <c r="A161" s="166"/>
      <c r="B161" s="199"/>
      <c r="C161" s="200"/>
      <c r="D161" s="201"/>
      <c r="E161" s="201"/>
      <c r="F161" s="201"/>
      <c r="G161" s="201"/>
      <c r="H161" s="201"/>
      <c r="I161" s="201"/>
      <c r="J161" s="202"/>
      <c r="K161" s="202"/>
      <c r="L161" s="201"/>
      <c r="M161" s="201"/>
      <c r="N161" s="201"/>
      <c r="O161" s="202"/>
      <c r="P161" s="202"/>
      <c r="Q161" s="201"/>
      <c r="R161" s="202"/>
      <c r="S161" s="202"/>
      <c r="T161" s="202"/>
      <c r="U161" s="202"/>
      <c r="V161" s="380"/>
    </row>
    <row r="162" spans="1:22">
      <c r="A162" s="166"/>
      <c r="B162" s="246"/>
      <c r="C162" s="297"/>
      <c r="D162" s="298"/>
      <c r="E162" s="298"/>
      <c r="F162" s="298"/>
      <c r="G162" s="298"/>
      <c r="H162" s="298"/>
      <c r="I162" s="298"/>
      <c r="J162" s="307"/>
      <c r="K162" s="307"/>
      <c r="L162" s="298"/>
      <c r="M162" s="298"/>
      <c r="N162" s="298"/>
      <c r="O162" s="307"/>
      <c r="P162" s="165"/>
      <c r="Q162" s="298"/>
      <c r="R162" s="307"/>
      <c r="S162" s="307"/>
      <c r="T162" s="307"/>
      <c r="U162" s="307"/>
      <c r="V162" s="380"/>
    </row>
    <row r="163" spans="1:22">
      <c r="A163" s="166"/>
      <c r="B163" s="167"/>
      <c r="C163" s="168"/>
      <c r="D163" s="169"/>
      <c r="E163" s="169"/>
      <c r="F163" s="169"/>
      <c r="G163" s="169"/>
      <c r="H163" s="169"/>
      <c r="I163" s="169"/>
      <c r="J163" s="170"/>
      <c r="K163" s="170"/>
      <c r="L163" s="169"/>
      <c r="M163" s="169"/>
      <c r="N163" s="169"/>
      <c r="O163" s="170"/>
      <c r="P163" s="170"/>
      <c r="Q163" s="169"/>
      <c r="R163" s="170"/>
      <c r="S163" s="170"/>
      <c r="T163" s="170"/>
      <c r="U163" s="170"/>
      <c r="V163" s="380"/>
    </row>
    <row r="164" spans="1:22">
      <c r="A164" s="166"/>
      <c r="B164" s="199"/>
      <c r="C164" s="200"/>
      <c r="D164" s="201"/>
      <c r="E164" s="201"/>
      <c r="F164" s="201"/>
      <c r="G164" s="201"/>
      <c r="H164" s="201"/>
      <c r="I164" s="201"/>
      <c r="J164" s="202"/>
      <c r="K164" s="202"/>
      <c r="L164" s="201"/>
      <c r="M164" s="201"/>
      <c r="N164" s="201"/>
      <c r="O164" s="202"/>
      <c r="P164" s="202"/>
      <c r="Q164" s="201"/>
      <c r="R164" s="202"/>
      <c r="S164" s="202"/>
      <c r="T164" s="202"/>
      <c r="U164" s="202"/>
      <c r="V164" s="380"/>
    </row>
    <row r="165" spans="1:22">
      <c r="A165" s="166"/>
      <c r="B165" s="246"/>
      <c r="C165" s="297"/>
      <c r="D165" s="298"/>
      <c r="E165" s="298"/>
      <c r="F165" s="298"/>
      <c r="G165" s="298"/>
      <c r="H165" s="298"/>
      <c r="I165" s="298"/>
      <c r="J165" s="307"/>
      <c r="K165" s="307"/>
      <c r="L165" s="298"/>
      <c r="M165" s="298"/>
      <c r="N165" s="298"/>
      <c r="O165" s="307"/>
      <c r="P165" s="165"/>
      <c r="Q165" s="298"/>
      <c r="R165" s="307"/>
      <c r="S165" s="307"/>
      <c r="T165" s="307"/>
      <c r="U165" s="307"/>
      <c r="V165" s="380"/>
    </row>
    <row r="166" spans="1:22">
      <c r="A166" s="166"/>
      <c r="B166" s="167"/>
      <c r="C166" s="168"/>
      <c r="D166" s="169"/>
      <c r="E166" s="169"/>
      <c r="F166" s="169"/>
      <c r="G166" s="169"/>
      <c r="H166" s="169"/>
      <c r="I166" s="169"/>
      <c r="J166" s="170"/>
      <c r="K166" s="170"/>
      <c r="L166" s="169"/>
      <c r="M166" s="169"/>
      <c r="N166" s="169"/>
      <c r="O166" s="170"/>
      <c r="P166" s="170"/>
      <c r="Q166" s="169"/>
      <c r="R166" s="170"/>
      <c r="S166" s="170"/>
      <c r="T166" s="170"/>
      <c r="U166" s="170"/>
      <c r="V166" s="380"/>
    </row>
    <row r="167" spans="1:22" ht="15.75" thickBot="1">
      <c r="A167" s="166"/>
      <c r="B167" s="303"/>
      <c r="C167" s="304"/>
      <c r="D167" s="305"/>
      <c r="E167" s="305"/>
      <c r="F167" s="305"/>
      <c r="G167" s="305"/>
      <c r="H167" s="305"/>
      <c r="I167" s="305"/>
      <c r="J167" s="308"/>
      <c r="K167" s="308"/>
      <c r="L167" s="305"/>
      <c r="M167" s="305"/>
      <c r="N167" s="305"/>
      <c r="O167" s="308"/>
      <c r="P167" s="308"/>
      <c r="Q167" s="305"/>
      <c r="R167" s="308"/>
      <c r="S167" s="308"/>
      <c r="T167" s="308"/>
      <c r="U167" s="308"/>
      <c r="V167" s="380"/>
    </row>
    <row r="168" spans="1:22" ht="15.75" thickTop="1">
      <c r="A168" s="166"/>
      <c r="B168" s="167"/>
      <c r="C168" s="168"/>
      <c r="D168" s="169"/>
      <c r="E168" s="169"/>
      <c r="F168" s="169"/>
      <c r="G168" s="169"/>
      <c r="H168" s="169"/>
      <c r="I168" s="169"/>
      <c r="J168" s="170"/>
      <c r="K168" s="170"/>
      <c r="L168" s="169"/>
      <c r="M168" s="169"/>
      <c r="N168" s="169"/>
      <c r="O168" s="170"/>
      <c r="P168" s="170"/>
      <c r="Q168" s="169"/>
      <c r="R168" s="170"/>
      <c r="S168" s="170"/>
      <c r="T168" s="170"/>
      <c r="U168" s="170"/>
      <c r="V168" s="380"/>
    </row>
    <row r="169" spans="1:22">
      <c r="A169" s="166"/>
      <c r="B169" s="167"/>
      <c r="C169" s="168"/>
      <c r="D169" s="169"/>
      <c r="E169" s="169"/>
      <c r="F169" s="169"/>
      <c r="G169" s="169"/>
      <c r="H169" s="169"/>
      <c r="I169" s="169"/>
      <c r="J169" s="170"/>
      <c r="K169" s="170"/>
      <c r="L169" s="169"/>
      <c r="M169" s="169"/>
      <c r="N169" s="169"/>
      <c r="O169" s="170"/>
      <c r="P169" s="170"/>
      <c r="Q169" s="169"/>
      <c r="R169" s="170"/>
      <c r="S169" s="170"/>
      <c r="T169" s="170"/>
      <c r="U169" s="170"/>
      <c r="V169" s="380"/>
    </row>
    <row r="170" spans="1:22">
      <c r="A170" s="166"/>
      <c r="B170" s="199"/>
      <c r="C170" s="200"/>
      <c r="D170" s="201"/>
      <c r="E170" s="201"/>
      <c r="F170" s="201"/>
      <c r="G170" s="201"/>
      <c r="H170" s="201"/>
      <c r="I170" s="201"/>
      <c r="J170" s="202"/>
      <c r="K170" s="202"/>
      <c r="L170" s="201"/>
      <c r="M170" s="201"/>
      <c r="N170" s="201"/>
      <c r="O170" s="202"/>
      <c r="P170" s="202"/>
      <c r="Q170" s="201"/>
      <c r="R170" s="202"/>
      <c r="S170" s="202"/>
      <c r="T170" s="202"/>
      <c r="U170" s="202"/>
      <c r="V170" s="380"/>
    </row>
    <row r="171" spans="1:22">
      <c r="A171" s="166"/>
      <c r="B171" s="246"/>
      <c r="C171" s="297"/>
      <c r="D171" s="298"/>
      <c r="E171" s="298"/>
      <c r="F171" s="298"/>
      <c r="G171" s="298"/>
      <c r="H171" s="298"/>
      <c r="I171" s="298"/>
      <c r="J171" s="307"/>
      <c r="K171" s="307"/>
      <c r="L171" s="298"/>
      <c r="M171" s="298"/>
      <c r="N171" s="298"/>
      <c r="O171" s="307"/>
      <c r="P171" s="165"/>
      <c r="Q171" s="298"/>
      <c r="R171" s="307"/>
      <c r="S171" s="307"/>
      <c r="T171" s="307"/>
      <c r="U171" s="307"/>
      <c r="V171" s="380"/>
    </row>
    <row r="172" spans="1:22">
      <c r="A172" s="166"/>
      <c r="B172" s="167"/>
      <c r="C172" s="168"/>
      <c r="D172" s="169"/>
      <c r="E172" s="169"/>
      <c r="F172" s="169"/>
      <c r="G172" s="169"/>
      <c r="H172" s="169"/>
      <c r="I172" s="169"/>
      <c r="J172" s="170"/>
      <c r="K172" s="170"/>
      <c r="L172" s="169"/>
      <c r="M172" s="169"/>
      <c r="N172" s="169"/>
      <c r="O172" s="170"/>
      <c r="P172" s="170"/>
      <c r="Q172" s="169"/>
      <c r="R172" s="170"/>
      <c r="S172" s="170"/>
      <c r="T172" s="170"/>
      <c r="U172" s="170"/>
      <c r="V172" s="380"/>
    </row>
    <row r="173" spans="1:22">
      <c r="A173" s="166"/>
      <c r="B173" s="199"/>
      <c r="C173" s="200"/>
      <c r="D173" s="201"/>
      <c r="E173" s="201"/>
      <c r="F173" s="201"/>
      <c r="G173" s="201"/>
      <c r="H173" s="201"/>
      <c r="I173" s="201"/>
      <c r="J173" s="202"/>
      <c r="K173" s="202"/>
      <c r="L173" s="201"/>
      <c r="M173" s="201"/>
      <c r="N173" s="201"/>
      <c r="O173" s="202"/>
      <c r="P173" s="202"/>
      <c r="Q173" s="201"/>
      <c r="R173" s="202"/>
      <c r="S173" s="202"/>
      <c r="T173" s="202"/>
      <c r="U173" s="202"/>
      <c r="V173" s="380"/>
    </row>
    <row r="174" spans="1:22">
      <c r="A174" s="166"/>
      <c r="B174" s="246"/>
      <c r="C174" s="297"/>
      <c r="D174" s="298"/>
      <c r="E174" s="298"/>
      <c r="F174" s="298"/>
      <c r="G174" s="298"/>
      <c r="H174" s="298"/>
      <c r="I174" s="298"/>
      <c r="J174" s="307"/>
      <c r="K174" s="307"/>
      <c r="L174" s="298"/>
      <c r="M174" s="298"/>
      <c r="N174" s="298"/>
      <c r="O174" s="307"/>
      <c r="P174" s="165"/>
      <c r="Q174" s="298"/>
      <c r="R174" s="307"/>
      <c r="S174" s="307"/>
      <c r="T174" s="307"/>
      <c r="U174" s="307"/>
      <c r="V174" s="380"/>
    </row>
    <row r="175" spans="1:22">
      <c r="A175" s="166"/>
      <c r="B175" s="167"/>
      <c r="C175" s="168"/>
      <c r="D175" s="169"/>
      <c r="E175" s="169"/>
      <c r="F175" s="169"/>
      <c r="G175" s="169"/>
      <c r="H175" s="169"/>
      <c r="I175" s="169"/>
      <c r="J175" s="170"/>
      <c r="K175" s="170"/>
      <c r="L175" s="169"/>
      <c r="M175" s="169"/>
      <c r="N175" s="169"/>
      <c r="O175" s="170"/>
      <c r="P175" s="170"/>
      <c r="Q175" s="169"/>
      <c r="R175" s="170"/>
      <c r="S175" s="170"/>
      <c r="T175" s="170"/>
      <c r="U175" s="170"/>
      <c r="V175" s="380"/>
    </row>
    <row r="176" spans="1:22">
      <c r="A176" s="166"/>
      <c r="B176" s="199"/>
      <c r="C176" s="200"/>
      <c r="D176" s="201"/>
      <c r="E176" s="201"/>
      <c r="F176" s="201"/>
      <c r="G176" s="201"/>
      <c r="H176" s="201"/>
      <c r="I176" s="201"/>
      <c r="J176" s="202"/>
      <c r="K176" s="202"/>
      <c r="L176" s="201"/>
      <c r="M176" s="201"/>
      <c r="N176" s="201"/>
      <c r="O176" s="202"/>
      <c r="P176" s="202"/>
      <c r="Q176" s="201"/>
      <c r="R176" s="202"/>
      <c r="S176" s="202"/>
      <c r="T176" s="202"/>
      <c r="U176" s="202"/>
      <c r="V176" s="380"/>
    </row>
    <row r="177" spans="1:22">
      <c r="A177" s="166"/>
      <c r="B177" s="246"/>
      <c r="C177" s="297"/>
      <c r="D177" s="298"/>
      <c r="E177" s="298"/>
      <c r="F177" s="298"/>
      <c r="G177" s="298"/>
      <c r="H177" s="298"/>
      <c r="I177" s="298"/>
      <c r="J177" s="307"/>
      <c r="K177" s="307"/>
      <c r="L177" s="298"/>
      <c r="M177" s="298"/>
      <c r="N177" s="298"/>
      <c r="O177" s="307"/>
      <c r="P177" s="165"/>
      <c r="Q177" s="298"/>
      <c r="R177" s="307"/>
      <c r="S177" s="307"/>
      <c r="T177" s="307"/>
      <c r="U177" s="307"/>
      <c r="V177" s="380"/>
    </row>
    <row r="178" spans="1:22">
      <c r="A178" s="166"/>
      <c r="B178" s="167"/>
      <c r="C178" s="168"/>
      <c r="D178" s="169"/>
      <c r="E178" s="169"/>
      <c r="F178" s="169"/>
      <c r="G178" s="169"/>
      <c r="H178" s="169"/>
      <c r="I178" s="169"/>
      <c r="J178" s="170"/>
      <c r="K178" s="170"/>
      <c r="L178" s="169"/>
      <c r="M178" s="169"/>
      <c r="N178" s="169"/>
      <c r="O178" s="170"/>
      <c r="P178" s="170"/>
      <c r="Q178" s="169"/>
      <c r="R178" s="170"/>
      <c r="S178" s="170"/>
      <c r="T178" s="170"/>
      <c r="U178" s="170"/>
      <c r="V178" s="380"/>
    </row>
    <row r="179" spans="1:22">
      <c r="A179" s="166"/>
      <c r="B179" s="199"/>
      <c r="C179" s="200"/>
      <c r="D179" s="201"/>
      <c r="E179" s="201"/>
      <c r="F179" s="201"/>
      <c r="G179" s="201"/>
      <c r="H179" s="201"/>
      <c r="I179" s="201"/>
      <c r="J179" s="202"/>
      <c r="K179" s="202"/>
      <c r="L179" s="201"/>
      <c r="M179" s="201"/>
      <c r="N179" s="201"/>
      <c r="O179" s="202"/>
      <c r="P179" s="202"/>
      <c r="Q179" s="201"/>
      <c r="R179" s="202"/>
      <c r="S179" s="202"/>
      <c r="T179" s="202"/>
      <c r="U179" s="202"/>
      <c r="V179" s="380"/>
    </row>
    <row r="180" spans="1:22">
      <c r="A180" s="166"/>
      <c r="B180" s="246"/>
      <c r="C180" s="297"/>
      <c r="D180" s="298"/>
      <c r="E180" s="298"/>
      <c r="F180" s="298"/>
      <c r="G180" s="298"/>
      <c r="H180" s="298"/>
      <c r="I180" s="298"/>
      <c r="J180" s="307"/>
      <c r="K180" s="307"/>
      <c r="L180" s="298"/>
      <c r="M180" s="298"/>
      <c r="N180" s="298"/>
      <c r="O180" s="307"/>
      <c r="P180" s="165"/>
      <c r="Q180" s="298"/>
      <c r="R180" s="307"/>
      <c r="S180" s="307"/>
      <c r="T180" s="307"/>
      <c r="U180" s="307"/>
      <c r="V180" s="380"/>
    </row>
    <row r="181" spans="1:22">
      <c r="A181" s="166"/>
      <c r="B181" s="167"/>
      <c r="C181" s="168"/>
      <c r="D181" s="169"/>
      <c r="E181" s="169"/>
      <c r="F181" s="169"/>
      <c r="G181" s="169"/>
      <c r="H181" s="169"/>
      <c r="I181" s="169"/>
      <c r="J181" s="170"/>
      <c r="K181" s="170"/>
      <c r="L181" s="169"/>
      <c r="M181" s="169"/>
      <c r="N181" s="169"/>
      <c r="O181" s="170"/>
      <c r="P181" s="170"/>
      <c r="Q181" s="169"/>
      <c r="R181" s="170"/>
      <c r="S181" s="170"/>
      <c r="T181" s="170"/>
      <c r="U181" s="170"/>
      <c r="V181" s="380"/>
    </row>
    <row r="182" spans="1:22">
      <c r="A182" s="166"/>
      <c r="B182" s="199"/>
      <c r="C182" s="200"/>
      <c r="D182" s="201"/>
      <c r="E182" s="201"/>
      <c r="F182" s="201"/>
      <c r="G182" s="201"/>
      <c r="H182" s="201"/>
      <c r="I182" s="201"/>
      <c r="J182" s="202"/>
      <c r="K182" s="202"/>
      <c r="L182" s="201"/>
      <c r="M182" s="201"/>
      <c r="N182" s="201"/>
      <c r="O182" s="202"/>
      <c r="P182" s="202"/>
      <c r="Q182" s="201"/>
      <c r="R182" s="202"/>
      <c r="S182" s="202"/>
      <c r="T182" s="202"/>
      <c r="U182" s="202"/>
      <c r="V182" s="380"/>
    </row>
    <row r="183" spans="1:22">
      <c r="A183" s="166"/>
      <c r="B183" s="246"/>
      <c r="C183" s="297"/>
      <c r="D183" s="298"/>
      <c r="E183" s="298"/>
      <c r="F183" s="298"/>
      <c r="G183" s="298"/>
      <c r="H183" s="298"/>
      <c r="I183" s="298"/>
      <c r="J183" s="307"/>
      <c r="K183" s="307"/>
      <c r="L183" s="298"/>
      <c r="M183" s="298"/>
      <c r="N183" s="298"/>
      <c r="O183" s="307"/>
      <c r="P183" s="165"/>
      <c r="Q183" s="298"/>
      <c r="R183" s="307"/>
      <c r="S183" s="307"/>
      <c r="T183" s="307"/>
      <c r="U183" s="307"/>
      <c r="V183" s="380"/>
    </row>
    <row r="184" spans="1:22">
      <c r="A184" s="166"/>
      <c r="B184" s="167"/>
      <c r="C184" s="168"/>
      <c r="D184" s="169"/>
      <c r="E184" s="169"/>
      <c r="F184" s="169"/>
      <c r="G184" s="169"/>
      <c r="H184" s="169"/>
      <c r="I184" s="169"/>
      <c r="J184" s="170"/>
      <c r="K184" s="170"/>
      <c r="L184" s="169"/>
      <c r="M184" s="169"/>
      <c r="N184" s="169"/>
      <c r="O184" s="170"/>
      <c r="P184" s="170"/>
      <c r="Q184" s="169"/>
      <c r="R184" s="170"/>
      <c r="S184" s="170"/>
      <c r="T184" s="170"/>
      <c r="U184" s="170"/>
      <c r="V184" s="380"/>
    </row>
    <row r="185" spans="1:22" ht="15.75" thickBot="1">
      <c r="A185" s="310"/>
      <c r="B185" s="311"/>
      <c r="C185" s="312"/>
      <c r="D185" s="313"/>
      <c r="E185" s="313"/>
      <c r="F185" s="313"/>
      <c r="G185" s="313"/>
      <c r="H185" s="313"/>
      <c r="I185" s="313"/>
      <c r="J185" s="314"/>
      <c r="K185" s="314"/>
      <c r="L185" s="313"/>
      <c r="M185" s="313"/>
      <c r="N185" s="313"/>
      <c r="O185" s="314"/>
      <c r="P185" s="314"/>
      <c r="Q185" s="313"/>
      <c r="R185" s="314"/>
      <c r="S185" s="314"/>
      <c r="T185" s="314"/>
      <c r="U185" s="314"/>
      <c r="V185" s="380"/>
    </row>
    <row r="186" spans="1:22">
      <c r="A186" s="296"/>
      <c r="B186" s="246"/>
      <c r="C186" s="297"/>
      <c r="D186" s="298"/>
      <c r="E186" s="298"/>
      <c r="F186" s="298"/>
      <c r="G186" s="298"/>
      <c r="H186" s="298"/>
      <c r="I186" s="298"/>
      <c r="J186" s="307"/>
      <c r="K186" s="307"/>
      <c r="L186" s="298"/>
      <c r="M186" s="298"/>
      <c r="N186" s="298"/>
      <c r="O186" s="307"/>
      <c r="P186" s="165"/>
      <c r="Q186" s="298"/>
      <c r="R186" s="307"/>
      <c r="S186" s="307"/>
      <c r="T186" s="307"/>
      <c r="U186" s="307"/>
      <c r="V186" s="380"/>
    </row>
    <row r="187" spans="1:22">
      <c r="A187" s="166"/>
      <c r="B187" s="167"/>
      <c r="C187" s="168"/>
      <c r="D187" s="169"/>
      <c r="E187" s="169"/>
      <c r="F187" s="169"/>
      <c r="G187" s="169"/>
      <c r="H187" s="169"/>
      <c r="I187" s="169"/>
      <c r="J187" s="170"/>
      <c r="K187" s="170"/>
      <c r="L187" s="169"/>
      <c r="M187" s="169"/>
      <c r="N187" s="169"/>
      <c r="O187" s="170"/>
      <c r="P187" s="170"/>
      <c r="Q187" s="169"/>
      <c r="R187" s="170"/>
      <c r="S187" s="170"/>
      <c r="T187" s="170"/>
      <c r="U187" s="170"/>
      <c r="V187" s="380"/>
    </row>
    <row r="188" spans="1:22">
      <c r="A188" s="166"/>
      <c r="B188" s="199"/>
      <c r="C188" s="200"/>
      <c r="D188" s="201"/>
      <c r="E188" s="201"/>
      <c r="F188" s="656"/>
      <c r="G188" s="201"/>
      <c r="H188" s="201"/>
      <c r="I188" s="201"/>
      <c r="J188" s="202"/>
      <c r="K188" s="202"/>
      <c r="L188" s="656"/>
      <c r="M188" s="201"/>
      <c r="N188" s="201"/>
      <c r="O188" s="202"/>
      <c r="P188" s="202"/>
      <c r="Q188" s="201"/>
      <c r="R188" s="202"/>
      <c r="S188" s="202"/>
      <c r="T188" s="202"/>
      <c r="U188" s="202"/>
      <c r="V188" s="380"/>
    </row>
    <row r="189" spans="1:22">
      <c r="A189" s="166"/>
      <c r="B189" s="246"/>
      <c r="C189" s="297"/>
      <c r="D189" s="298"/>
      <c r="E189" s="298"/>
      <c r="F189" s="298"/>
      <c r="G189" s="298"/>
      <c r="H189" s="298"/>
      <c r="I189" s="298"/>
      <c r="J189" s="307"/>
      <c r="K189" s="307"/>
      <c r="L189" s="298"/>
      <c r="M189" s="298"/>
      <c r="N189" s="298"/>
      <c r="O189" s="307"/>
      <c r="P189" s="165"/>
      <c r="Q189" s="298"/>
      <c r="R189" s="307"/>
      <c r="S189" s="307"/>
      <c r="T189" s="307"/>
      <c r="U189" s="307"/>
      <c r="V189" s="380"/>
    </row>
    <row r="190" spans="1:22">
      <c r="A190" s="166"/>
      <c r="B190" s="167"/>
      <c r="C190" s="168"/>
      <c r="D190" s="169"/>
      <c r="E190" s="169"/>
      <c r="F190" s="169"/>
      <c r="G190" s="169"/>
      <c r="H190" s="169"/>
      <c r="I190" s="169"/>
      <c r="J190" s="170"/>
      <c r="K190" s="170"/>
      <c r="L190" s="169"/>
      <c r="M190" s="169"/>
      <c r="N190" s="169"/>
      <c r="O190" s="170"/>
      <c r="P190" s="170"/>
      <c r="Q190" s="169"/>
      <c r="R190" s="170"/>
      <c r="S190" s="170"/>
      <c r="T190" s="170"/>
      <c r="U190" s="170"/>
      <c r="V190" s="380"/>
    </row>
    <row r="191" spans="1:22">
      <c r="A191" s="166"/>
      <c r="B191" s="199"/>
      <c r="C191" s="200"/>
      <c r="D191" s="201"/>
      <c r="E191" s="201"/>
      <c r="F191" s="201"/>
      <c r="G191" s="201"/>
      <c r="H191" s="201"/>
      <c r="I191" s="201"/>
      <c r="J191" s="202"/>
      <c r="K191" s="202"/>
      <c r="L191" s="201"/>
      <c r="M191" s="201"/>
      <c r="N191" s="201"/>
      <c r="O191" s="202"/>
      <c r="P191" s="657"/>
      <c r="Q191" s="201"/>
      <c r="R191" s="202"/>
      <c r="S191" s="202"/>
      <c r="T191" s="202"/>
      <c r="U191" s="202"/>
      <c r="V191" s="380"/>
    </row>
    <row r="192" spans="1:22">
      <c r="A192" s="166"/>
      <c r="B192" s="246"/>
      <c r="C192" s="297"/>
      <c r="D192" s="298"/>
      <c r="E192" s="298"/>
      <c r="F192" s="298"/>
      <c r="G192" s="298"/>
      <c r="H192" s="298"/>
      <c r="I192" s="298"/>
      <c r="J192" s="307"/>
      <c r="K192" s="307"/>
      <c r="L192" s="298"/>
      <c r="M192" s="298"/>
      <c r="N192" s="298"/>
      <c r="O192" s="307"/>
      <c r="P192" s="165"/>
      <c r="Q192" s="298"/>
      <c r="R192" s="307"/>
      <c r="S192" s="307"/>
      <c r="T192" s="307"/>
      <c r="U192" s="307"/>
      <c r="V192" s="380"/>
    </row>
    <row r="193" spans="1:22">
      <c r="A193" s="166"/>
      <c r="B193" s="167"/>
      <c r="C193" s="168"/>
      <c r="D193" s="169"/>
      <c r="E193" s="169"/>
      <c r="F193" s="169"/>
      <c r="G193" s="169"/>
      <c r="H193" s="169"/>
      <c r="I193" s="169"/>
      <c r="J193" s="170"/>
      <c r="K193" s="170"/>
      <c r="L193" s="169"/>
      <c r="M193" s="169"/>
      <c r="N193" s="169"/>
      <c r="O193" s="170"/>
      <c r="P193" s="170"/>
      <c r="Q193" s="169"/>
      <c r="R193" s="170"/>
      <c r="S193" s="170"/>
      <c r="T193" s="170"/>
      <c r="U193" s="170"/>
      <c r="V193" s="380"/>
    </row>
    <row r="194" spans="1:22">
      <c r="A194" s="166"/>
      <c r="B194" s="199"/>
      <c r="C194" s="200"/>
      <c r="D194" s="201"/>
      <c r="E194" s="201"/>
      <c r="F194" s="656"/>
      <c r="G194" s="201"/>
      <c r="H194" s="201"/>
      <c r="I194" s="201"/>
      <c r="J194" s="202"/>
      <c r="K194" s="202"/>
      <c r="L194" s="201"/>
      <c r="M194" s="201"/>
      <c r="N194" s="656"/>
      <c r="O194" s="202"/>
      <c r="P194" s="202"/>
      <c r="Q194" s="201"/>
      <c r="R194" s="202"/>
      <c r="S194" s="202"/>
      <c r="T194" s="202"/>
      <c r="U194" s="202"/>
      <c r="V194" s="380"/>
    </row>
    <row r="195" spans="1:22">
      <c r="A195" s="166"/>
      <c r="B195" s="246"/>
      <c r="C195" s="297"/>
      <c r="D195" s="298"/>
      <c r="E195" s="298"/>
      <c r="F195" s="298"/>
      <c r="G195" s="298"/>
      <c r="H195" s="298"/>
      <c r="I195" s="298"/>
      <c r="J195" s="307"/>
      <c r="K195" s="307"/>
      <c r="L195" s="298"/>
      <c r="M195" s="298"/>
      <c r="N195" s="298"/>
      <c r="O195" s="307"/>
      <c r="P195" s="165"/>
      <c r="Q195" s="298"/>
      <c r="R195" s="307"/>
      <c r="S195" s="307"/>
      <c r="T195" s="307"/>
      <c r="U195" s="307"/>
      <c r="V195" s="380"/>
    </row>
    <row r="196" spans="1:22">
      <c r="A196" s="166"/>
      <c r="B196" s="167"/>
      <c r="C196" s="168"/>
      <c r="D196" s="169"/>
      <c r="E196" s="169"/>
      <c r="F196" s="169"/>
      <c r="G196" s="169"/>
      <c r="H196" s="169"/>
      <c r="I196" s="169"/>
      <c r="J196" s="170"/>
      <c r="K196" s="170"/>
      <c r="L196" s="169"/>
      <c r="M196" s="169"/>
      <c r="N196" s="169"/>
      <c r="O196" s="170"/>
      <c r="P196" s="170"/>
      <c r="Q196" s="169"/>
      <c r="R196" s="170"/>
      <c r="S196" s="170"/>
      <c r="T196" s="170"/>
      <c r="U196" s="170"/>
      <c r="V196" s="380"/>
    </row>
    <row r="197" spans="1:22">
      <c r="A197" s="166"/>
      <c r="B197" s="199"/>
      <c r="C197" s="200"/>
      <c r="D197" s="201"/>
      <c r="E197" s="201"/>
      <c r="F197" s="656"/>
      <c r="G197" s="201"/>
      <c r="H197" s="201"/>
      <c r="I197" s="201"/>
      <c r="J197" s="202"/>
      <c r="K197" s="202"/>
      <c r="L197" s="201"/>
      <c r="M197" s="201"/>
      <c r="N197" s="201"/>
      <c r="O197" s="202"/>
      <c r="P197" s="202"/>
      <c r="Q197" s="201"/>
      <c r="R197" s="202"/>
      <c r="S197" s="202"/>
      <c r="T197" s="202"/>
      <c r="U197" s="202"/>
      <c r="V197" s="380"/>
    </row>
    <row r="198" spans="1:22">
      <c r="A198" s="166"/>
      <c r="B198" s="246"/>
      <c r="C198" s="297"/>
      <c r="D198" s="298"/>
      <c r="E198" s="298"/>
      <c r="F198" s="298"/>
      <c r="G198" s="298"/>
      <c r="H198" s="298"/>
      <c r="I198" s="298"/>
      <c r="J198" s="307"/>
      <c r="K198" s="307"/>
      <c r="L198" s="298"/>
      <c r="M198" s="298"/>
      <c r="N198" s="298"/>
      <c r="O198" s="307"/>
      <c r="P198" s="165"/>
      <c r="Q198" s="298"/>
      <c r="R198" s="307"/>
      <c r="S198" s="307"/>
      <c r="T198" s="307"/>
      <c r="U198" s="307"/>
      <c r="V198" s="380"/>
    </row>
    <row r="199" spans="1:22">
      <c r="A199" s="166"/>
      <c r="B199" s="167"/>
      <c r="C199" s="168"/>
      <c r="D199" s="169"/>
      <c r="E199" s="169"/>
      <c r="F199" s="169"/>
      <c r="G199" s="169"/>
      <c r="H199" s="169"/>
      <c r="I199" s="169"/>
      <c r="J199" s="170"/>
      <c r="K199" s="170"/>
      <c r="L199" s="169"/>
      <c r="M199" s="169"/>
      <c r="N199" s="169"/>
      <c r="O199" s="170"/>
      <c r="P199" s="170"/>
      <c r="Q199" s="169"/>
      <c r="R199" s="170"/>
      <c r="S199" s="170"/>
      <c r="T199" s="170"/>
      <c r="U199" s="170"/>
      <c r="V199" s="380"/>
    </row>
    <row r="200" spans="1:22">
      <c r="A200" s="166"/>
      <c r="B200" s="199"/>
      <c r="C200" s="200"/>
      <c r="D200" s="201"/>
      <c r="E200" s="201"/>
      <c r="F200" s="201"/>
      <c r="G200" s="201"/>
      <c r="H200" s="201"/>
      <c r="I200" s="201"/>
      <c r="J200" s="202"/>
      <c r="K200" s="202"/>
      <c r="L200" s="201"/>
      <c r="M200" s="201"/>
      <c r="N200" s="201"/>
      <c r="O200" s="202"/>
      <c r="P200" s="202"/>
      <c r="Q200" s="201"/>
      <c r="R200" s="202"/>
      <c r="S200" s="202"/>
      <c r="T200" s="202"/>
      <c r="U200" s="202"/>
      <c r="V200" s="380"/>
    </row>
    <row r="201" spans="1:22">
      <c r="A201" s="166"/>
      <c r="B201" s="246"/>
      <c r="C201" s="297"/>
      <c r="D201" s="298"/>
      <c r="E201" s="298"/>
      <c r="F201" s="298"/>
      <c r="G201" s="298"/>
      <c r="H201" s="298"/>
      <c r="I201" s="298"/>
      <c r="J201" s="307"/>
      <c r="K201" s="307"/>
      <c r="L201" s="298"/>
      <c r="M201" s="298"/>
      <c r="N201" s="298"/>
      <c r="O201" s="307"/>
      <c r="P201" s="165"/>
      <c r="Q201" s="298"/>
      <c r="R201" s="307"/>
      <c r="S201" s="307"/>
      <c r="T201" s="307"/>
      <c r="U201" s="307"/>
      <c r="V201" s="380"/>
    </row>
    <row r="202" spans="1:22">
      <c r="A202" s="166"/>
      <c r="B202" s="167"/>
      <c r="C202" s="168"/>
      <c r="D202" s="169"/>
      <c r="E202" s="169"/>
      <c r="F202" s="169"/>
      <c r="G202" s="169"/>
      <c r="H202" s="169"/>
      <c r="I202" s="169"/>
      <c r="J202" s="170"/>
      <c r="K202" s="170"/>
      <c r="L202" s="169"/>
      <c r="M202" s="169"/>
      <c r="N202" s="169"/>
      <c r="O202" s="170"/>
      <c r="P202" s="170"/>
      <c r="Q202" s="169"/>
      <c r="R202" s="170"/>
      <c r="S202" s="170"/>
      <c r="T202" s="170"/>
      <c r="U202" s="170"/>
      <c r="V202" s="380"/>
    </row>
    <row r="203" spans="1:22" ht="15.75" thickBot="1">
      <c r="A203" s="166"/>
      <c r="B203" s="303"/>
      <c r="C203" s="304"/>
      <c r="D203" s="305"/>
      <c r="E203" s="305"/>
      <c r="F203" s="305"/>
      <c r="G203" s="305"/>
      <c r="H203" s="305"/>
      <c r="I203" s="305"/>
      <c r="J203" s="308"/>
      <c r="K203" s="308"/>
      <c r="L203" s="305"/>
      <c r="M203" s="305"/>
      <c r="N203" s="305"/>
      <c r="O203" s="308"/>
      <c r="P203" s="308"/>
      <c r="Q203" s="305"/>
      <c r="R203" s="308"/>
      <c r="S203" s="308"/>
      <c r="T203" s="308"/>
      <c r="U203" s="308"/>
      <c r="V203" s="380"/>
    </row>
    <row r="204" spans="1:22" ht="15.75" thickTop="1">
      <c r="A204" s="166"/>
      <c r="B204" s="167"/>
      <c r="C204" s="168"/>
      <c r="D204" s="169"/>
      <c r="E204" s="169"/>
      <c r="F204" s="169"/>
      <c r="G204" s="169"/>
      <c r="H204" s="169"/>
      <c r="I204" s="169"/>
      <c r="J204" s="170"/>
      <c r="K204" s="170"/>
      <c r="L204" s="169"/>
      <c r="M204" s="169"/>
      <c r="N204" s="169"/>
      <c r="O204" s="170"/>
      <c r="P204" s="170"/>
      <c r="Q204" s="169"/>
      <c r="R204" s="170"/>
      <c r="S204" s="170"/>
      <c r="T204" s="170"/>
      <c r="U204" s="170"/>
      <c r="V204" s="380"/>
    </row>
    <row r="205" spans="1:22">
      <c r="A205" s="166"/>
      <c r="B205" s="167"/>
      <c r="C205" s="168"/>
      <c r="D205" s="169"/>
      <c r="E205" s="169"/>
      <c r="F205" s="169"/>
      <c r="G205" s="169"/>
      <c r="H205" s="169"/>
      <c r="I205" s="169"/>
      <c r="J205" s="170"/>
      <c r="K205" s="170"/>
      <c r="L205" s="169"/>
      <c r="M205" s="169"/>
      <c r="N205" s="169"/>
      <c r="O205" s="170"/>
      <c r="P205" s="170"/>
      <c r="Q205" s="169"/>
      <c r="R205" s="170"/>
      <c r="S205" s="170"/>
      <c r="T205" s="170"/>
      <c r="U205" s="170"/>
      <c r="V205" s="380"/>
    </row>
    <row r="206" spans="1:22">
      <c r="A206" s="166"/>
      <c r="B206" s="199"/>
      <c r="C206" s="200"/>
      <c r="D206" s="201"/>
      <c r="E206" s="201"/>
      <c r="F206" s="656"/>
      <c r="G206" s="201"/>
      <c r="H206" s="201"/>
      <c r="I206" s="201"/>
      <c r="J206" s="202"/>
      <c r="K206" s="202"/>
      <c r="L206" s="201"/>
      <c r="M206" s="201"/>
      <c r="N206" s="201"/>
      <c r="O206" s="202"/>
      <c r="P206" s="202"/>
      <c r="Q206" s="201"/>
      <c r="R206" s="202"/>
      <c r="S206" s="202"/>
      <c r="T206" s="202"/>
      <c r="U206" s="202"/>
      <c r="V206" s="380"/>
    </row>
    <row r="207" spans="1:22">
      <c r="A207" s="166"/>
      <c r="B207" s="246"/>
      <c r="C207" s="297"/>
      <c r="D207" s="298"/>
      <c r="E207" s="298"/>
      <c r="F207" s="298"/>
      <c r="G207" s="298"/>
      <c r="H207" s="298"/>
      <c r="I207" s="298"/>
      <c r="J207" s="307"/>
      <c r="K207" s="307"/>
      <c r="L207" s="298"/>
      <c r="M207" s="298"/>
      <c r="N207" s="298"/>
      <c r="O207" s="307"/>
      <c r="P207" s="165"/>
      <c r="Q207" s="298"/>
      <c r="R207" s="307"/>
      <c r="S207" s="307"/>
      <c r="T207" s="307"/>
      <c r="U207" s="307"/>
      <c r="V207" s="380"/>
    </row>
    <row r="208" spans="1:22">
      <c r="A208" s="166"/>
      <c r="B208" s="167"/>
      <c r="C208" s="168"/>
      <c r="D208" s="169"/>
      <c r="E208" s="169"/>
      <c r="F208" s="169"/>
      <c r="G208" s="169"/>
      <c r="H208" s="169"/>
      <c r="I208" s="169"/>
      <c r="J208" s="170"/>
      <c r="K208" s="170"/>
      <c r="L208" s="169"/>
      <c r="M208" s="169"/>
      <c r="N208" s="169"/>
      <c r="O208" s="170"/>
      <c r="P208" s="170"/>
      <c r="Q208" s="169"/>
      <c r="R208" s="170"/>
      <c r="S208" s="170"/>
      <c r="T208" s="170"/>
      <c r="U208" s="170"/>
      <c r="V208" s="380"/>
    </row>
    <row r="209" spans="1:22">
      <c r="A209" s="166"/>
      <c r="B209" s="199"/>
      <c r="C209" s="200"/>
      <c r="D209" s="201"/>
      <c r="E209" s="201"/>
      <c r="F209" s="201"/>
      <c r="G209" s="201"/>
      <c r="H209" s="201"/>
      <c r="I209" s="201"/>
      <c r="J209" s="202"/>
      <c r="K209" s="202"/>
      <c r="L209" s="201"/>
      <c r="M209" s="201"/>
      <c r="N209" s="201"/>
      <c r="O209" s="202"/>
      <c r="P209" s="202"/>
      <c r="Q209" s="201"/>
      <c r="R209" s="202"/>
      <c r="S209" s="202"/>
      <c r="T209" s="202"/>
      <c r="U209" s="202"/>
      <c r="V209" s="380"/>
    </row>
    <row r="210" spans="1:22">
      <c r="A210" s="166"/>
      <c r="B210" s="246"/>
      <c r="C210" s="297"/>
      <c r="D210" s="298"/>
      <c r="E210" s="298"/>
      <c r="F210" s="298"/>
      <c r="G210" s="298"/>
      <c r="H210" s="298"/>
      <c r="I210" s="298"/>
      <c r="J210" s="307"/>
      <c r="K210" s="307"/>
      <c r="L210" s="298"/>
      <c r="M210" s="298"/>
      <c r="N210" s="298"/>
      <c r="O210" s="307"/>
      <c r="P210" s="165"/>
      <c r="Q210" s="298"/>
      <c r="R210" s="307"/>
      <c r="S210" s="307"/>
      <c r="T210" s="307"/>
      <c r="U210" s="307"/>
      <c r="V210" s="380"/>
    </row>
    <row r="211" spans="1:22">
      <c r="A211" s="166"/>
      <c r="B211" s="167"/>
      <c r="C211" s="168"/>
      <c r="D211" s="169"/>
      <c r="E211" s="169"/>
      <c r="F211" s="169"/>
      <c r="G211" s="169"/>
      <c r="H211" s="169"/>
      <c r="I211" s="169"/>
      <c r="J211" s="170"/>
      <c r="K211" s="170"/>
      <c r="L211" s="169"/>
      <c r="M211" s="169"/>
      <c r="N211" s="169"/>
      <c r="O211" s="170"/>
      <c r="P211" s="170"/>
      <c r="Q211" s="169"/>
      <c r="R211" s="170"/>
      <c r="S211" s="170"/>
      <c r="T211" s="170"/>
      <c r="U211" s="170"/>
      <c r="V211" s="380"/>
    </row>
    <row r="212" spans="1:22">
      <c r="A212" s="166"/>
      <c r="B212" s="199"/>
      <c r="C212" s="200"/>
      <c r="D212" s="201"/>
      <c r="E212" s="201"/>
      <c r="F212" s="656"/>
      <c r="G212" s="201"/>
      <c r="H212" s="201"/>
      <c r="I212" s="201"/>
      <c r="J212" s="202"/>
      <c r="K212" s="202"/>
      <c r="L212" s="201"/>
      <c r="M212" s="201"/>
      <c r="N212" s="201"/>
      <c r="O212" s="202"/>
      <c r="P212" s="202"/>
      <c r="Q212" s="201"/>
      <c r="R212" s="202"/>
      <c r="S212" s="202"/>
      <c r="T212" s="202"/>
      <c r="U212" s="202"/>
      <c r="V212" s="380"/>
    </row>
    <row r="213" spans="1:22">
      <c r="A213" s="166"/>
      <c r="B213" s="246"/>
      <c r="C213" s="297"/>
      <c r="D213" s="298"/>
      <c r="E213" s="298"/>
      <c r="F213" s="298"/>
      <c r="G213" s="298"/>
      <c r="H213" s="298"/>
      <c r="I213" s="298"/>
      <c r="J213" s="307"/>
      <c r="K213" s="307"/>
      <c r="L213" s="298"/>
      <c r="M213" s="298"/>
      <c r="N213" s="298"/>
      <c r="O213" s="307"/>
      <c r="P213" s="165"/>
      <c r="Q213" s="298"/>
      <c r="R213" s="307"/>
      <c r="S213" s="307"/>
      <c r="T213" s="307"/>
      <c r="U213" s="307"/>
      <c r="V213" s="380"/>
    </row>
    <row r="214" spans="1:22">
      <c r="A214" s="166"/>
      <c r="B214" s="167"/>
      <c r="C214" s="168"/>
      <c r="D214" s="169"/>
      <c r="E214" s="169"/>
      <c r="F214" s="169"/>
      <c r="G214" s="169"/>
      <c r="H214" s="169"/>
      <c r="I214" s="169"/>
      <c r="J214" s="170"/>
      <c r="K214" s="170"/>
      <c r="L214" s="169"/>
      <c r="M214" s="169"/>
      <c r="N214" s="169"/>
      <c r="O214" s="170"/>
      <c r="P214" s="170"/>
      <c r="Q214" s="169"/>
      <c r="R214" s="170"/>
      <c r="S214" s="170"/>
      <c r="T214" s="170"/>
      <c r="U214" s="170"/>
      <c r="V214" s="380"/>
    </row>
    <row r="215" spans="1:22">
      <c r="A215" s="166"/>
      <c r="B215" s="199"/>
      <c r="C215" s="200"/>
      <c r="D215" s="201"/>
      <c r="E215" s="201"/>
      <c r="F215" s="201"/>
      <c r="G215" s="201"/>
      <c r="H215" s="201"/>
      <c r="I215" s="201"/>
      <c r="J215" s="202"/>
      <c r="K215" s="202"/>
      <c r="L215" s="201"/>
      <c r="M215" s="201"/>
      <c r="N215" s="201"/>
      <c r="O215" s="202"/>
      <c r="P215" s="202"/>
      <c r="Q215" s="201"/>
      <c r="R215" s="202"/>
      <c r="S215" s="202"/>
      <c r="T215" s="202"/>
      <c r="U215" s="202"/>
      <c r="V215" s="380"/>
    </row>
    <row r="216" spans="1:22">
      <c r="A216" s="166"/>
      <c r="B216" s="246"/>
      <c r="C216" s="297"/>
      <c r="D216" s="298"/>
      <c r="E216" s="298"/>
      <c r="F216" s="298"/>
      <c r="G216" s="298"/>
      <c r="H216" s="298"/>
      <c r="I216" s="298"/>
      <c r="J216" s="307"/>
      <c r="K216" s="307"/>
      <c r="L216" s="298"/>
      <c r="M216" s="298"/>
      <c r="N216" s="298"/>
      <c r="O216" s="307"/>
      <c r="P216" s="165"/>
      <c r="Q216" s="298"/>
      <c r="R216" s="307"/>
      <c r="S216" s="307"/>
      <c r="T216" s="307"/>
      <c r="U216" s="307"/>
      <c r="V216" s="380"/>
    </row>
    <row r="217" spans="1:22">
      <c r="A217" s="166"/>
      <c r="B217" s="167"/>
      <c r="C217" s="168"/>
      <c r="D217" s="169"/>
      <c r="E217" s="169"/>
      <c r="F217" s="169"/>
      <c r="G217" s="169"/>
      <c r="H217" s="169"/>
      <c r="I217" s="169"/>
      <c r="J217" s="170"/>
      <c r="K217" s="170"/>
      <c r="L217" s="169"/>
      <c r="M217" s="169"/>
      <c r="N217" s="169"/>
      <c r="O217" s="170"/>
      <c r="P217" s="170"/>
      <c r="Q217" s="169"/>
      <c r="R217" s="170"/>
      <c r="S217" s="170"/>
      <c r="T217" s="170"/>
      <c r="U217" s="170"/>
      <c r="V217" s="380"/>
    </row>
    <row r="218" spans="1:22">
      <c r="A218" s="166"/>
      <c r="B218" s="199"/>
      <c r="C218" s="200"/>
      <c r="D218" s="201"/>
      <c r="E218" s="201"/>
      <c r="F218" s="201"/>
      <c r="G218" s="201"/>
      <c r="H218" s="201"/>
      <c r="I218" s="201"/>
      <c r="J218" s="202"/>
      <c r="K218" s="202"/>
      <c r="L218" s="201"/>
      <c r="M218" s="201"/>
      <c r="N218" s="201"/>
      <c r="O218" s="202"/>
      <c r="P218" s="202"/>
      <c r="Q218" s="201"/>
      <c r="R218" s="202"/>
      <c r="S218" s="202"/>
      <c r="T218" s="202"/>
      <c r="U218" s="202"/>
      <c r="V218" s="380"/>
    </row>
    <row r="219" spans="1:22">
      <c r="A219" s="166"/>
      <c r="B219" s="246"/>
      <c r="C219" s="297"/>
      <c r="D219" s="298"/>
      <c r="E219" s="298"/>
      <c r="F219" s="298"/>
      <c r="G219" s="298"/>
      <c r="H219" s="298"/>
      <c r="I219" s="298"/>
      <c r="J219" s="307"/>
      <c r="K219" s="307"/>
      <c r="L219" s="298"/>
      <c r="M219" s="298"/>
      <c r="N219" s="298"/>
      <c r="O219" s="307"/>
      <c r="P219" s="165"/>
      <c r="Q219" s="298"/>
      <c r="R219" s="307"/>
      <c r="S219" s="307"/>
      <c r="T219" s="307"/>
      <c r="U219" s="307"/>
      <c r="V219" s="380"/>
    </row>
    <row r="220" spans="1:22">
      <c r="A220" s="166"/>
      <c r="B220" s="167"/>
      <c r="C220" s="168"/>
      <c r="D220" s="169"/>
      <c r="E220" s="169"/>
      <c r="F220" s="169"/>
      <c r="G220" s="169"/>
      <c r="H220" s="169"/>
      <c r="I220" s="169"/>
      <c r="J220" s="170"/>
      <c r="K220" s="170"/>
      <c r="L220" s="169"/>
      <c r="M220" s="169"/>
      <c r="N220" s="169"/>
      <c r="O220" s="170"/>
      <c r="P220" s="170"/>
      <c r="Q220" s="169"/>
      <c r="R220" s="170"/>
      <c r="S220" s="170"/>
      <c r="T220" s="170"/>
      <c r="U220" s="170"/>
      <c r="V220" s="380"/>
    </row>
    <row r="221" spans="1:22" ht="15.75" thickBot="1">
      <c r="A221" s="310"/>
      <c r="B221" s="311"/>
      <c r="C221" s="312"/>
      <c r="D221" s="313"/>
      <c r="E221" s="313"/>
      <c r="F221" s="313"/>
      <c r="G221" s="313"/>
      <c r="H221" s="313"/>
      <c r="I221" s="313"/>
      <c r="J221" s="314"/>
      <c r="K221" s="314"/>
      <c r="L221" s="313"/>
      <c r="M221" s="313"/>
      <c r="N221" s="313"/>
      <c r="O221" s="314"/>
      <c r="P221" s="314"/>
      <c r="Q221" s="313"/>
      <c r="R221" s="314"/>
      <c r="S221" s="314"/>
      <c r="T221" s="314"/>
      <c r="U221" s="314"/>
      <c r="V221" s="380"/>
    </row>
    <row r="222" spans="1:22">
      <c r="A222" s="296"/>
      <c r="B222" s="246"/>
      <c r="C222" s="297"/>
      <c r="D222" s="298"/>
      <c r="E222" s="298"/>
      <c r="F222" s="298"/>
      <c r="G222" s="298"/>
      <c r="H222" s="298"/>
      <c r="I222" s="298"/>
      <c r="J222" s="307"/>
      <c r="K222" s="307"/>
      <c r="L222" s="298"/>
      <c r="M222" s="298"/>
      <c r="N222" s="298"/>
      <c r="O222" s="307"/>
      <c r="P222" s="165"/>
      <c r="Q222" s="298"/>
      <c r="R222" s="307"/>
      <c r="S222" s="307"/>
      <c r="T222" s="307"/>
      <c r="U222" s="307"/>
      <c r="V222" s="380"/>
    </row>
    <row r="223" spans="1:22">
      <c r="A223" s="166"/>
      <c r="B223" s="167"/>
      <c r="C223" s="168"/>
      <c r="D223" s="169"/>
      <c r="E223" s="169"/>
      <c r="F223" s="169"/>
      <c r="G223" s="169"/>
      <c r="H223" s="169"/>
      <c r="I223" s="169"/>
      <c r="J223" s="170"/>
      <c r="K223" s="170"/>
      <c r="L223" s="169"/>
      <c r="M223" s="169"/>
      <c r="N223" s="169"/>
      <c r="O223" s="170"/>
      <c r="P223" s="170"/>
      <c r="Q223" s="169"/>
      <c r="R223" s="170"/>
      <c r="S223" s="170"/>
      <c r="T223" s="170"/>
      <c r="U223" s="170"/>
      <c r="V223" s="380"/>
    </row>
    <row r="224" spans="1:22">
      <c r="A224" s="166"/>
      <c r="B224" s="199"/>
      <c r="C224" s="200"/>
      <c r="D224" s="201"/>
      <c r="E224" s="201"/>
      <c r="F224" s="201"/>
      <c r="G224" s="201"/>
      <c r="H224" s="201"/>
      <c r="I224" s="201"/>
      <c r="J224" s="202"/>
      <c r="K224" s="202"/>
      <c r="L224" s="201"/>
      <c r="M224" s="201"/>
      <c r="N224" s="201"/>
      <c r="O224" s="202"/>
      <c r="P224" s="202"/>
      <c r="Q224" s="201"/>
      <c r="R224" s="202"/>
      <c r="S224" s="202"/>
      <c r="T224" s="202"/>
      <c r="U224" s="202"/>
      <c r="V224" s="380"/>
    </row>
    <row r="225" spans="1:22">
      <c r="A225" s="166"/>
      <c r="B225" s="246"/>
      <c r="C225" s="297"/>
      <c r="D225" s="298"/>
      <c r="E225" s="298"/>
      <c r="F225" s="298"/>
      <c r="G225" s="298"/>
      <c r="H225" s="298"/>
      <c r="I225" s="298"/>
      <c r="J225" s="307"/>
      <c r="K225" s="307"/>
      <c r="L225" s="298"/>
      <c r="M225" s="298"/>
      <c r="N225" s="298"/>
      <c r="O225" s="307"/>
      <c r="P225" s="165"/>
      <c r="Q225" s="298"/>
      <c r="R225" s="307"/>
      <c r="S225" s="307"/>
      <c r="T225" s="307"/>
      <c r="U225" s="307"/>
      <c r="V225" s="380"/>
    </row>
    <row r="226" spans="1:22">
      <c r="A226" s="166"/>
      <c r="B226" s="167"/>
      <c r="C226" s="168"/>
      <c r="D226" s="169"/>
      <c r="E226" s="169"/>
      <c r="F226" s="169"/>
      <c r="G226" s="169"/>
      <c r="H226" s="169"/>
      <c r="I226" s="169"/>
      <c r="J226" s="170"/>
      <c r="K226" s="170"/>
      <c r="L226" s="169"/>
      <c r="M226" s="169"/>
      <c r="N226" s="169"/>
      <c r="O226" s="170"/>
      <c r="P226" s="170"/>
      <c r="Q226" s="169"/>
      <c r="R226" s="170"/>
      <c r="S226" s="170"/>
      <c r="T226" s="170"/>
      <c r="U226" s="170"/>
      <c r="V226" s="380"/>
    </row>
    <row r="227" spans="1:22">
      <c r="A227" s="166"/>
      <c r="B227" s="199"/>
      <c r="C227" s="200"/>
      <c r="D227" s="201"/>
      <c r="E227" s="201"/>
      <c r="F227" s="201"/>
      <c r="G227" s="201"/>
      <c r="H227" s="201"/>
      <c r="I227" s="201"/>
      <c r="J227" s="202"/>
      <c r="K227" s="202"/>
      <c r="L227" s="201"/>
      <c r="M227" s="201"/>
      <c r="N227" s="201"/>
      <c r="O227" s="202"/>
      <c r="P227" s="202"/>
      <c r="Q227" s="201"/>
      <c r="R227" s="202"/>
      <c r="S227" s="202"/>
      <c r="T227" s="202"/>
      <c r="U227" s="202"/>
      <c r="V227" s="380"/>
    </row>
    <row r="228" spans="1:22">
      <c r="A228" s="166"/>
      <c r="B228" s="246"/>
      <c r="C228" s="297"/>
      <c r="D228" s="298"/>
      <c r="E228" s="298"/>
      <c r="F228" s="298"/>
      <c r="G228" s="298"/>
      <c r="H228" s="298"/>
      <c r="I228" s="298"/>
      <c r="J228" s="307"/>
      <c r="K228" s="307"/>
      <c r="L228" s="298"/>
      <c r="M228" s="298"/>
      <c r="N228" s="298"/>
      <c r="O228" s="307"/>
      <c r="P228" s="165"/>
      <c r="Q228" s="298"/>
      <c r="R228" s="307"/>
      <c r="S228" s="307"/>
      <c r="T228" s="307"/>
      <c r="U228" s="307"/>
      <c r="V228" s="380"/>
    </row>
    <row r="229" spans="1:22">
      <c r="A229" s="166"/>
      <c r="B229" s="167"/>
      <c r="C229" s="168"/>
      <c r="D229" s="169"/>
      <c r="E229" s="169"/>
      <c r="F229" s="169"/>
      <c r="G229" s="169"/>
      <c r="H229" s="169"/>
      <c r="I229" s="169"/>
      <c r="J229" s="170"/>
      <c r="K229" s="170"/>
      <c r="L229" s="169"/>
      <c r="M229" s="169"/>
      <c r="N229" s="169"/>
      <c r="O229" s="170"/>
      <c r="P229" s="170"/>
      <c r="Q229" s="169"/>
      <c r="R229" s="170"/>
      <c r="S229" s="170"/>
      <c r="T229" s="170"/>
      <c r="U229" s="170"/>
      <c r="V229" s="380"/>
    </row>
    <row r="230" spans="1:22">
      <c r="A230" s="166"/>
      <c r="B230" s="199"/>
      <c r="C230" s="200"/>
      <c r="D230" s="201"/>
      <c r="E230" s="201"/>
      <c r="F230" s="201"/>
      <c r="G230" s="201"/>
      <c r="H230" s="201"/>
      <c r="I230" s="201"/>
      <c r="J230" s="202"/>
      <c r="K230" s="202"/>
      <c r="L230" s="201"/>
      <c r="M230" s="201"/>
      <c r="N230" s="201"/>
      <c r="O230" s="202"/>
      <c r="P230" s="202"/>
      <c r="Q230" s="201"/>
      <c r="R230" s="202"/>
      <c r="S230" s="202"/>
      <c r="T230" s="202"/>
      <c r="U230" s="202"/>
      <c r="V230" s="380"/>
    </row>
    <row r="231" spans="1:22">
      <c r="A231" s="166"/>
      <c r="B231" s="246"/>
      <c r="C231" s="297"/>
      <c r="D231" s="298"/>
      <c r="E231" s="298"/>
      <c r="F231" s="298"/>
      <c r="G231" s="298"/>
      <c r="H231" s="298"/>
      <c r="I231" s="298"/>
      <c r="J231" s="307"/>
      <c r="K231" s="307"/>
      <c r="L231" s="298"/>
      <c r="M231" s="298"/>
      <c r="N231" s="298"/>
      <c r="O231" s="307"/>
      <c r="P231" s="165"/>
      <c r="Q231" s="298"/>
      <c r="R231" s="307"/>
      <c r="S231" s="307"/>
      <c r="T231" s="307"/>
      <c r="U231" s="307"/>
      <c r="V231" s="380"/>
    </row>
    <row r="232" spans="1:22">
      <c r="A232" s="166"/>
      <c r="B232" s="167"/>
      <c r="C232" s="168"/>
      <c r="D232" s="169"/>
      <c r="E232" s="169"/>
      <c r="F232" s="169"/>
      <c r="G232" s="169"/>
      <c r="H232" s="169"/>
      <c r="I232" s="169"/>
      <c r="J232" s="170"/>
      <c r="K232" s="170"/>
      <c r="L232" s="169"/>
      <c r="M232" s="169"/>
      <c r="N232" s="169"/>
      <c r="O232" s="170"/>
      <c r="P232" s="170"/>
      <c r="Q232" s="169"/>
      <c r="R232" s="170"/>
      <c r="S232" s="170"/>
      <c r="T232" s="170"/>
      <c r="U232" s="170"/>
      <c r="V232" s="380"/>
    </row>
    <row r="233" spans="1:22">
      <c r="A233" s="166"/>
      <c r="B233" s="199"/>
      <c r="C233" s="200"/>
      <c r="D233" s="201"/>
      <c r="E233" s="201"/>
      <c r="F233" s="201"/>
      <c r="G233" s="201"/>
      <c r="H233" s="201"/>
      <c r="I233" s="201"/>
      <c r="J233" s="202"/>
      <c r="K233" s="202"/>
      <c r="L233" s="201"/>
      <c r="M233" s="201"/>
      <c r="N233" s="201"/>
      <c r="O233" s="202"/>
      <c r="P233" s="202"/>
      <c r="Q233" s="201"/>
      <c r="R233" s="202"/>
      <c r="S233" s="202"/>
      <c r="T233" s="202"/>
      <c r="U233" s="202"/>
      <c r="V233" s="380"/>
    </row>
    <row r="234" spans="1:22">
      <c r="A234" s="166"/>
      <c r="B234" s="246"/>
      <c r="C234" s="297"/>
      <c r="D234" s="298"/>
      <c r="E234" s="298"/>
      <c r="F234" s="298"/>
      <c r="G234" s="298"/>
      <c r="H234" s="298"/>
      <c r="I234" s="298"/>
      <c r="J234" s="307"/>
      <c r="K234" s="307"/>
      <c r="L234" s="298"/>
      <c r="M234" s="298"/>
      <c r="N234" s="298"/>
      <c r="O234" s="307"/>
      <c r="P234" s="165"/>
      <c r="Q234" s="298"/>
      <c r="R234" s="307"/>
      <c r="S234" s="307"/>
      <c r="T234" s="307"/>
      <c r="U234" s="307"/>
      <c r="V234" s="380"/>
    </row>
    <row r="235" spans="1:22">
      <c r="A235" s="166"/>
      <c r="B235" s="167"/>
      <c r="C235" s="168"/>
      <c r="D235" s="169"/>
      <c r="E235" s="169"/>
      <c r="F235" s="169"/>
      <c r="G235" s="169"/>
      <c r="H235" s="169"/>
      <c r="I235" s="169"/>
      <c r="J235" s="170"/>
      <c r="K235" s="170"/>
      <c r="L235" s="169"/>
      <c r="M235" s="169"/>
      <c r="N235" s="169"/>
      <c r="O235" s="170"/>
      <c r="P235" s="170"/>
      <c r="Q235" s="169"/>
      <c r="R235" s="170"/>
      <c r="S235" s="170"/>
      <c r="T235" s="170"/>
      <c r="U235" s="170"/>
      <c r="V235" s="380"/>
    </row>
    <row r="236" spans="1:22">
      <c r="A236" s="166"/>
      <c r="B236" s="199"/>
      <c r="C236" s="200"/>
      <c r="D236" s="201"/>
      <c r="E236" s="201"/>
      <c r="F236" s="201"/>
      <c r="G236" s="201"/>
      <c r="H236" s="201"/>
      <c r="I236" s="201"/>
      <c r="J236" s="202"/>
      <c r="K236" s="202"/>
      <c r="L236" s="201"/>
      <c r="M236" s="201"/>
      <c r="N236" s="201"/>
      <c r="O236" s="202"/>
      <c r="P236" s="202"/>
      <c r="Q236" s="201"/>
      <c r="R236" s="202"/>
      <c r="S236" s="202"/>
      <c r="T236" s="202"/>
      <c r="U236" s="202"/>
      <c r="V236" s="380"/>
    </row>
    <row r="237" spans="1:22">
      <c r="A237" s="166"/>
      <c r="B237" s="246"/>
      <c r="C237" s="297"/>
      <c r="D237" s="298"/>
      <c r="E237" s="298"/>
      <c r="F237" s="298"/>
      <c r="G237" s="298"/>
      <c r="H237" s="298"/>
      <c r="I237" s="298"/>
      <c r="J237" s="307"/>
      <c r="K237" s="307"/>
      <c r="L237" s="298"/>
      <c r="M237" s="298"/>
      <c r="N237" s="298"/>
      <c r="O237" s="307"/>
      <c r="P237" s="165"/>
      <c r="Q237" s="298"/>
      <c r="R237" s="307"/>
      <c r="S237" s="307"/>
      <c r="T237" s="307"/>
      <c r="U237" s="307"/>
      <c r="V237" s="380"/>
    </row>
    <row r="238" spans="1:22">
      <c r="A238" s="166"/>
      <c r="B238" s="167"/>
      <c r="C238" s="168"/>
      <c r="D238" s="169"/>
      <c r="E238" s="169"/>
      <c r="F238" s="169"/>
      <c r="G238" s="169"/>
      <c r="H238" s="169"/>
      <c r="I238" s="169"/>
      <c r="J238" s="170"/>
      <c r="K238" s="170"/>
      <c r="L238" s="169"/>
      <c r="M238" s="169"/>
      <c r="N238" s="169"/>
      <c r="O238" s="170"/>
      <c r="P238" s="170"/>
      <c r="Q238" s="169"/>
      <c r="R238" s="170"/>
      <c r="S238" s="170"/>
      <c r="T238" s="170"/>
      <c r="U238" s="170"/>
      <c r="V238" s="380"/>
    </row>
    <row r="239" spans="1:22" ht="15.75" thickBot="1">
      <c r="A239" s="166"/>
      <c r="B239" s="303"/>
      <c r="C239" s="304"/>
      <c r="D239" s="305"/>
      <c r="E239" s="305"/>
      <c r="F239" s="305"/>
      <c r="G239" s="305"/>
      <c r="H239" s="305"/>
      <c r="I239" s="305"/>
      <c r="J239" s="308"/>
      <c r="K239" s="308"/>
      <c r="L239" s="305"/>
      <c r="M239" s="305"/>
      <c r="N239" s="305"/>
      <c r="O239" s="308"/>
      <c r="P239" s="308"/>
      <c r="Q239" s="305"/>
      <c r="R239" s="308"/>
      <c r="S239" s="308"/>
      <c r="T239" s="308"/>
      <c r="U239" s="308"/>
      <c r="V239" s="380"/>
    </row>
    <row r="240" spans="1:22" ht="15.75" thickTop="1">
      <c r="A240" s="166"/>
      <c r="B240" s="167"/>
      <c r="C240" s="168"/>
      <c r="D240" s="169"/>
      <c r="E240" s="169"/>
      <c r="F240" s="169"/>
      <c r="G240" s="169"/>
      <c r="H240" s="169"/>
      <c r="I240" s="169"/>
      <c r="J240" s="170"/>
      <c r="K240" s="170"/>
      <c r="L240" s="169"/>
      <c r="M240" s="169"/>
      <c r="N240" s="169"/>
      <c r="O240" s="170"/>
      <c r="P240" s="170"/>
      <c r="Q240" s="169"/>
      <c r="R240" s="170"/>
      <c r="S240" s="170"/>
      <c r="T240" s="170"/>
      <c r="U240" s="170"/>
      <c r="V240" s="380"/>
    </row>
    <row r="241" spans="1:22">
      <c r="A241" s="166"/>
      <c r="B241" s="167"/>
      <c r="C241" s="168"/>
      <c r="D241" s="169"/>
      <c r="E241" s="169"/>
      <c r="F241" s="169"/>
      <c r="G241" s="169"/>
      <c r="H241" s="169"/>
      <c r="I241" s="169"/>
      <c r="J241" s="170"/>
      <c r="K241" s="170"/>
      <c r="L241" s="169"/>
      <c r="M241" s="169"/>
      <c r="N241" s="169"/>
      <c r="O241" s="170"/>
      <c r="P241" s="170"/>
      <c r="Q241" s="169"/>
      <c r="R241" s="170"/>
      <c r="S241" s="170"/>
      <c r="T241" s="170"/>
      <c r="U241" s="170"/>
      <c r="V241" s="380"/>
    </row>
    <row r="242" spans="1:22">
      <c r="A242" s="166"/>
      <c r="B242" s="199"/>
      <c r="C242" s="200"/>
      <c r="D242" s="201"/>
      <c r="E242" s="201"/>
      <c r="F242" s="201"/>
      <c r="G242" s="201"/>
      <c r="H242" s="201"/>
      <c r="I242" s="201"/>
      <c r="J242" s="202"/>
      <c r="K242" s="202"/>
      <c r="L242" s="201"/>
      <c r="M242" s="201"/>
      <c r="N242" s="201"/>
      <c r="O242" s="202"/>
      <c r="P242" s="202"/>
      <c r="Q242" s="201"/>
      <c r="R242" s="202"/>
      <c r="S242" s="202"/>
      <c r="T242" s="202"/>
      <c r="U242" s="202"/>
      <c r="V242" s="380"/>
    </row>
    <row r="243" spans="1:22">
      <c r="A243" s="166"/>
      <c r="B243" s="246"/>
      <c r="C243" s="297"/>
      <c r="D243" s="298"/>
      <c r="E243" s="298"/>
      <c r="F243" s="298"/>
      <c r="G243" s="298"/>
      <c r="H243" s="298"/>
      <c r="I243" s="298"/>
      <c r="J243" s="307"/>
      <c r="K243" s="307"/>
      <c r="L243" s="298"/>
      <c r="M243" s="298"/>
      <c r="N243" s="298"/>
      <c r="O243" s="307"/>
      <c r="P243" s="165"/>
      <c r="Q243" s="298"/>
      <c r="R243" s="307"/>
      <c r="S243" s="307"/>
      <c r="T243" s="307"/>
      <c r="U243" s="307"/>
      <c r="V243" s="380"/>
    </row>
    <row r="244" spans="1:22">
      <c r="A244" s="166"/>
      <c r="B244" s="167"/>
      <c r="C244" s="168"/>
      <c r="D244" s="169"/>
      <c r="E244" s="169"/>
      <c r="F244" s="169"/>
      <c r="G244" s="169"/>
      <c r="H244" s="169"/>
      <c r="I244" s="169"/>
      <c r="J244" s="170"/>
      <c r="K244" s="170"/>
      <c r="L244" s="169"/>
      <c r="M244" s="169"/>
      <c r="N244" s="169"/>
      <c r="O244" s="170"/>
      <c r="P244" s="170"/>
      <c r="Q244" s="169"/>
      <c r="R244" s="170"/>
      <c r="S244" s="170"/>
      <c r="T244" s="170"/>
      <c r="U244" s="170"/>
      <c r="V244" s="380"/>
    </row>
    <row r="245" spans="1:22">
      <c r="A245" s="166"/>
      <c r="B245" s="199"/>
      <c r="C245" s="200"/>
      <c r="D245" s="201"/>
      <c r="E245" s="201"/>
      <c r="F245" s="201"/>
      <c r="G245" s="201"/>
      <c r="H245" s="201"/>
      <c r="I245" s="201"/>
      <c r="J245" s="202"/>
      <c r="K245" s="202"/>
      <c r="L245" s="201"/>
      <c r="M245" s="201"/>
      <c r="N245" s="201"/>
      <c r="O245" s="202"/>
      <c r="P245" s="202"/>
      <c r="Q245" s="201"/>
      <c r="R245" s="202"/>
      <c r="S245" s="202"/>
      <c r="T245" s="202"/>
      <c r="U245" s="202"/>
      <c r="V245" s="380"/>
    </row>
    <row r="246" spans="1:22">
      <c r="A246" s="166"/>
      <c r="B246" s="246"/>
      <c r="C246" s="297"/>
      <c r="D246" s="298"/>
      <c r="E246" s="298"/>
      <c r="F246" s="298"/>
      <c r="G246" s="298"/>
      <c r="H246" s="298"/>
      <c r="I246" s="298"/>
      <c r="J246" s="307"/>
      <c r="K246" s="307"/>
      <c r="L246" s="298"/>
      <c r="M246" s="298"/>
      <c r="N246" s="298"/>
      <c r="O246" s="307"/>
      <c r="P246" s="165"/>
      <c r="Q246" s="298"/>
      <c r="R246" s="307"/>
      <c r="S246" s="307"/>
      <c r="T246" s="307"/>
      <c r="U246" s="307"/>
      <c r="V246" s="380"/>
    </row>
    <row r="247" spans="1:22">
      <c r="A247" s="166"/>
      <c r="B247" s="167"/>
      <c r="C247" s="168"/>
      <c r="D247" s="169"/>
      <c r="E247" s="169"/>
      <c r="F247" s="169"/>
      <c r="G247" s="169"/>
      <c r="H247" s="169"/>
      <c r="I247" s="169"/>
      <c r="J247" s="170"/>
      <c r="K247" s="170"/>
      <c r="L247" s="169"/>
      <c r="M247" s="169"/>
      <c r="N247" s="169"/>
      <c r="O247" s="170"/>
      <c r="P247" s="170"/>
      <c r="Q247" s="169"/>
      <c r="R247" s="170"/>
      <c r="S247" s="170"/>
      <c r="T247" s="170"/>
      <c r="U247" s="170"/>
      <c r="V247" s="380"/>
    </row>
    <row r="248" spans="1:22">
      <c r="A248" s="166"/>
      <c r="B248" s="199"/>
      <c r="C248" s="200"/>
      <c r="D248" s="201"/>
      <c r="E248" s="201"/>
      <c r="F248" s="201"/>
      <c r="G248" s="201"/>
      <c r="H248" s="201"/>
      <c r="I248" s="201"/>
      <c r="J248" s="202"/>
      <c r="K248" s="202"/>
      <c r="L248" s="201"/>
      <c r="M248" s="201"/>
      <c r="N248" s="201"/>
      <c r="O248" s="202"/>
      <c r="P248" s="202"/>
      <c r="Q248" s="201"/>
      <c r="R248" s="202"/>
      <c r="S248" s="202"/>
      <c r="T248" s="202"/>
      <c r="U248" s="202"/>
      <c r="V248" s="380"/>
    </row>
    <row r="249" spans="1:22">
      <c r="A249" s="166"/>
      <c r="B249" s="246"/>
      <c r="C249" s="297"/>
      <c r="D249" s="298"/>
      <c r="E249" s="298"/>
      <c r="F249" s="298"/>
      <c r="G249" s="298"/>
      <c r="H249" s="298"/>
      <c r="I249" s="298"/>
      <c r="J249" s="307"/>
      <c r="K249" s="307"/>
      <c r="L249" s="298"/>
      <c r="M249" s="298"/>
      <c r="N249" s="298"/>
      <c r="O249" s="307"/>
      <c r="P249" s="165"/>
      <c r="Q249" s="298"/>
      <c r="R249" s="307"/>
      <c r="S249" s="307"/>
      <c r="T249" s="307"/>
      <c r="U249" s="307"/>
      <c r="V249" s="380"/>
    </row>
    <row r="250" spans="1:22">
      <c r="A250" s="166"/>
      <c r="B250" s="167"/>
      <c r="C250" s="168"/>
      <c r="D250" s="169"/>
      <c r="E250" s="169"/>
      <c r="F250" s="169"/>
      <c r="G250" s="169"/>
      <c r="H250" s="169"/>
      <c r="I250" s="169"/>
      <c r="J250" s="170"/>
      <c r="K250" s="170"/>
      <c r="L250" s="169"/>
      <c r="M250" s="169"/>
      <c r="N250" s="169"/>
      <c r="O250" s="170"/>
      <c r="P250" s="170"/>
      <c r="Q250" s="169"/>
      <c r="R250" s="170"/>
      <c r="S250" s="170"/>
      <c r="T250" s="170"/>
      <c r="U250" s="170"/>
      <c r="V250" s="380"/>
    </row>
    <row r="251" spans="1:22">
      <c r="A251" s="166"/>
      <c r="B251" s="199"/>
      <c r="C251" s="200"/>
      <c r="D251" s="201"/>
      <c r="E251" s="201"/>
      <c r="F251" s="201"/>
      <c r="G251" s="201"/>
      <c r="H251" s="201"/>
      <c r="I251" s="201"/>
      <c r="J251" s="202"/>
      <c r="K251" s="202"/>
      <c r="L251" s="201"/>
      <c r="M251" s="201"/>
      <c r="N251" s="201"/>
      <c r="O251" s="202"/>
      <c r="P251" s="202"/>
      <c r="Q251" s="201"/>
      <c r="R251" s="202"/>
      <c r="S251" s="202"/>
      <c r="T251" s="202"/>
      <c r="U251" s="202"/>
      <c r="V251" s="380"/>
    </row>
    <row r="252" spans="1:22">
      <c r="A252" s="166"/>
      <c r="B252" s="246"/>
      <c r="C252" s="297"/>
      <c r="D252" s="298"/>
      <c r="E252" s="298"/>
      <c r="F252" s="298"/>
      <c r="G252" s="298"/>
      <c r="H252" s="298"/>
      <c r="I252" s="298"/>
      <c r="J252" s="307"/>
      <c r="K252" s="307"/>
      <c r="L252" s="298"/>
      <c r="M252" s="298"/>
      <c r="N252" s="298"/>
      <c r="O252" s="307"/>
      <c r="P252" s="165"/>
      <c r="Q252" s="298"/>
      <c r="R252" s="307"/>
      <c r="S252" s="307"/>
      <c r="T252" s="307"/>
      <c r="U252" s="307"/>
      <c r="V252" s="380"/>
    </row>
    <row r="253" spans="1:22">
      <c r="A253" s="166"/>
      <c r="B253" s="167"/>
      <c r="C253" s="168"/>
      <c r="D253" s="169"/>
      <c r="E253" s="169"/>
      <c r="F253" s="169"/>
      <c r="G253" s="169"/>
      <c r="H253" s="169"/>
      <c r="I253" s="169"/>
      <c r="J253" s="170"/>
      <c r="K253" s="170"/>
      <c r="L253" s="169"/>
      <c r="M253" s="169"/>
      <c r="N253" s="169"/>
      <c r="O253" s="170"/>
      <c r="P253" s="170"/>
      <c r="Q253" s="169"/>
      <c r="R253" s="170"/>
      <c r="S253" s="170"/>
      <c r="T253" s="170"/>
      <c r="U253" s="170"/>
      <c r="V253" s="380"/>
    </row>
    <row r="254" spans="1:22">
      <c r="A254" s="166"/>
      <c r="B254" s="199"/>
      <c r="C254" s="200"/>
      <c r="D254" s="201"/>
      <c r="E254" s="201"/>
      <c r="F254" s="201"/>
      <c r="G254" s="201"/>
      <c r="H254" s="201"/>
      <c r="I254" s="201"/>
      <c r="J254" s="202"/>
      <c r="K254" s="202"/>
      <c r="L254" s="201"/>
      <c r="M254" s="201"/>
      <c r="N254" s="201"/>
      <c r="O254" s="202"/>
      <c r="P254" s="202"/>
      <c r="Q254" s="201"/>
      <c r="R254" s="202"/>
      <c r="S254" s="202"/>
      <c r="T254" s="202"/>
      <c r="U254" s="202"/>
      <c r="V254" s="380"/>
    </row>
    <row r="255" spans="1:22">
      <c r="A255" s="166"/>
      <c r="B255" s="246"/>
      <c r="C255" s="297"/>
      <c r="D255" s="298"/>
      <c r="E255" s="298"/>
      <c r="F255" s="298"/>
      <c r="G255" s="298"/>
      <c r="H255" s="298"/>
      <c r="I255" s="298"/>
      <c r="J255" s="307"/>
      <c r="K255" s="307"/>
      <c r="L255" s="298"/>
      <c r="M255" s="298"/>
      <c r="N255" s="298"/>
      <c r="O255" s="307"/>
      <c r="P255" s="165"/>
      <c r="Q255" s="298"/>
      <c r="R255" s="307"/>
      <c r="S255" s="307"/>
      <c r="T255" s="307"/>
      <c r="U255" s="307"/>
      <c r="V255" s="380"/>
    </row>
    <row r="256" spans="1:22">
      <c r="A256" s="166"/>
      <c r="B256" s="167"/>
      <c r="C256" s="168"/>
      <c r="D256" s="169"/>
      <c r="E256" s="169"/>
      <c r="F256" s="169"/>
      <c r="G256" s="169"/>
      <c r="H256" s="169"/>
      <c r="I256" s="169"/>
      <c r="J256" s="170"/>
      <c r="K256" s="170"/>
      <c r="L256" s="169"/>
      <c r="M256" s="169"/>
      <c r="N256" s="169"/>
      <c r="O256" s="170"/>
      <c r="P256" s="170"/>
      <c r="Q256" s="169"/>
      <c r="R256" s="170"/>
      <c r="S256" s="170"/>
      <c r="T256" s="170"/>
      <c r="U256" s="170"/>
      <c r="V256" s="380"/>
    </row>
    <row r="257" spans="1:22" ht="15.75" thickBot="1">
      <c r="A257" s="310"/>
      <c r="B257" s="311"/>
      <c r="C257" s="312"/>
      <c r="D257" s="313"/>
      <c r="E257" s="313"/>
      <c r="F257" s="313"/>
      <c r="G257" s="313"/>
      <c r="H257" s="313"/>
      <c r="I257" s="313"/>
      <c r="J257" s="314"/>
      <c r="K257" s="314"/>
      <c r="L257" s="313"/>
      <c r="M257" s="313"/>
      <c r="N257" s="313"/>
      <c r="O257" s="314"/>
      <c r="P257" s="314"/>
      <c r="Q257" s="313"/>
      <c r="R257" s="314"/>
      <c r="S257" s="314"/>
      <c r="T257" s="314"/>
      <c r="U257" s="314"/>
      <c r="V257" s="380"/>
    </row>
    <row r="258" spans="1:22">
      <c r="A258" s="296"/>
      <c r="B258" s="246"/>
      <c r="C258" s="297"/>
      <c r="D258" s="298"/>
      <c r="E258" s="298"/>
      <c r="F258" s="298"/>
      <c r="G258" s="298"/>
      <c r="H258" s="298"/>
      <c r="I258" s="298"/>
      <c r="J258" s="307"/>
      <c r="K258" s="307"/>
      <c r="L258" s="298"/>
      <c r="M258" s="298"/>
      <c r="N258" s="298"/>
      <c r="O258" s="307"/>
      <c r="P258" s="165"/>
      <c r="Q258" s="298"/>
      <c r="R258" s="307"/>
      <c r="S258" s="307"/>
      <c r="T258" s="307"/>
      <c r="U258" s="307"/>
      <c r="V258" s="380"/>
    </row>
    <row r="259" spans="1:22">
      <c r="A259" s="166"/>
      <c r="B259" s="167"/>
      <c r="C259" s="168"/>
      <c r="D259" s="169"/>
      <c r="E259" s="169"/>
      <c r="F259" s="169"/>
      <c r="G259" s="169"/>
      <c r="H259" s="169"/>
      <c r="I259" s="169"/>
      <c r="J259" s="170"/>
      <c r="K259" s="170"/>
      <c r="L259" s="169"/>
      <c r="M259" s="169"/>
      <c r="N259" s="169"/>
      <c r="O259" s="170"/>
      <c r="P259" s="170"/>
      <c r="Q259" s="169"/>
      <c r="R259" s="170"/>
      <c r="S259" s="170"/>
      <c r="T259" s="170"/>
      <c r="U259" s="170"/>
      <c r="V259" s="380"/>
    </row>
    <row r="260" spans="1:22" s="173" customFormat="1">
      <c r="A260" s="166"/>
      <c r="B260" s="199"/>
      <c r="C260" s="200"/>
      <c r="D260" s="201"/>
      <c r="E260" s="201"/>
      <c r="F260" s="201"/>
      <c r="G260" s="201"/>
      <c r="H260" s="201"/>
      <c r="I260" s="201"/>
      <c r="J260" s="202"/>
      <c r="K260" s="202"/>
      <c r="L260" s="201"/>
      <c r="M260" s="201"/>
      <c r="N260" s="201"/>
      <c r="O260" s="202"/>
      <c r="P260" s="202"/>
      <c r="Q260" s="201"/>
      <c r="R260" s="202"/>
      <c r="S260" s="202"/>
      <c r="T260" s="202"/>
      <c r="U260" s="202"/>
      <c r="V260" s="380"/>
    </row>
    <row r="261" spans="1:22">
      <c r="A261" s="166"/>
      <c r="B261" s="246"/>
      <c r="C261" s="297"/>
      <c r="D261" s="298"/>
      <c r="E261" s="298"/>
      <c r="F261" s="298"/>
      <c r="G261" s="298"/>
      <c r="H261" s="298"/>
      <c r="I261" s="298"/>
      <c r="J261" s="307"/>
      <c r="K261" s="307"/>
      <c r="L261" s="298"/>
      <c r="M261" s="298"/>
      <c r="N261" s="298"/>
      <c r="O261" s="307"/>
      <c r="P261" s="165"/>
      <c r="Q261" s="298"/>
      <c r="R261" s="307"/>
      <c r="S261" s="307"/>
      <c r="T261" s="307"/>
      <c r="U261" s="307"/>
      <c r="V261" s="380"/>
    </row>
    <row r="262" spans="1:22">
      <c r="A262" s="166"/>
      <c r="B262" s="167"/>
      <c r="C262" s="168"/>
      <c r="D262" s="169"/>
      <c r="E262" s="169"/>
      <c r="F262" s="169"/>
      <c r="G262" s="169"/>
      <c r="H262" s="169"/>
      <c r="I262" s="169"/>
      <c r="J262" s="170"/>
      <c r="K262" s="170"/>
      <c r="L262" s="169"/>
      <c r="M262" s="169"/>
      <c r="N262" s="169"/>
      <c r="O262" s="170"/>
      <c r="P262" s="170"/>
      <c r="Q262" s="169"/>
      <c r="R262" s="170"/>
      <c r="S262" s="170"/>
      <c r="T262" s="170"/>
      <c r="U262" s="170"/>
      <c r="V262" s="380"/>
    </row>
    <row r="263" spans="1:22" s="173" customFormat="1">
      <c r="A263" s="166"/>
      <c r="B263" s="199"/>
      <c r="C263" s="200"/>
      <c r="D263" s="201"/>
      <c r="E263" s="201"/>
      <c r="F263" s="201"/>
      <c r="G263" s="201"/>
      <c r="H263" s="201"/>
      <c r="I263" s="201"/>
      <c r="J263" s="202"/>
      <c r="K263" s="202"/>
      <c r="L263" s="201"/>
      <c r="M263" s="201"/>
      <c r="N263" s="201"/>
      <c r="O263" s="202"/>
      <c r="P263" s="202"/>
      <c r="Q263" s="201"/>
      <c r="R263" s="202"/>
      <c r="S263" s="202"/>
      <c r="T263" s="202"/>
      <c r="U263" s="202"/>
      <c r="V263" s="380"/>
    </row>
    <row r="264" spans="1:22">
      <c r="A264" s="166"/>
      <c r="B264" s="246"/>
      <c r="C264" s="297"/>
      <c r="D264" s="298"/>
      <c r="E264" s="298"/>
      <c r="F264" s="298"/>
      <c r="G264" s="298"/>
      <c r="H264" s="298"/>
      <c r="I264" s="298"/>
      <c r="J264" s="307"/>
      <c r="K264" s="307"/>
      <c r="L264" s="298"/>
      <c r="M264" s="298"/>
      <c r="N264" s="298"/>
      <c r="O264" s="307"/>
      <c r="P264" s="165"/>
      <c r="Q264" s="298"/>
      <c r="R264" s="307"/>
      <c r="S264" s="307"/>
      <c r="T264" s="307"/>
      <c r="U264" s="307"/>
      <c r="V264" s="380"/>
    </row>
    <row r="265" spans="1:22">
      <c r="A265" s="166"/>
      <c r="B265" s="167"/>
      <c r="C265" s="168"/>
      <c r="D265" s="169"/>
      <c r="E265" s="169"/>
      <c r="F265" s="169"/>
      <c r="G265" s="169"/>
      <c r="H265" s="169"/>
      <c r="I265" s="169"/>
      <c r="J265" s="170"/>
      <c r="K265" s="170"/>
      <c r="L265" s="169"/>
      <c r="M265" s="169"/>
      <c r="N265" s="169"/>
      <c r="O265" s="170"/>
      <c r="P265" s="170"/>
      <c r="Q265" s="169"/>
      <c r="R265" s="170"/>
      <c r="S265" s="170"/>
      <c r="T265" s="170"/>
      <c r="U265" s="170"/>
      <c r="V265" s="380"/>
    </row>
    <row r="266" spans="1:22" s="173" customFormat="1">
      <c r="A266" s="166"/>
      <c r="B266" s="199"/>
      <c r="C266" s="200"/>
      <c r="D266" s="201"/>
      <c r="E266" s="201"/>
      <c r="F266" s="201"/>
      <c r="G266" s="201"/>
      <c r="H266" s="201"/>
      <c r="I266" s="201"/>
      <c r="J266" s="202"/>
      <c r="K266" s="202"/>
      <c r="L266" s="201"/>
      <c r="M266" s="201"/>
      <c r="N266" s="201"/>
      <c r="O266" s="202"/>
      <c r="P266" s="202"/>
      <c r="Q266" s="201"/>
      <c r="R266" s="202"/>
      <c r="S266" s="202"/>
      <c r="T266" s="202"/>
      <c r="U266" s="202"/>
      <c r="V266" s="380"/>
    </row>
    <row r="267" spans="1:22">
      <c r="A267" s="166"/>
      <c r="B267" s="246"/>
      <c r="C267" s="297"/>
      <c r="D267" s="298"/>
      <c r="E267" s="298"/>
      <c r="F267" s="298"/>
      <c r="G267" s="298"/>
      <c r="H267" s="298"/>
      <c r="I267" s="298"/>
      <c r="J267" s="307"/>
      <c r="K267" s="307"/>
      <c r="L267" s="298"/>
      <c r="M267" s="298"/>
      <c r="N267" s="298"/>
      <c r="O267" s="307"/>
      <c r="P267" s="165"/>
      <c r="Q267" s="298"/>
      <c r="R267" s="307"/>
      <c r="S267" s="307"/>
      <c r="T267" s="307"/>
      <c r="U267" s="307"/>
      <c r="V267" s="380"/>
    </row>
    <row r="268" spans="1:22">
      <c r="A268" s="166"/>
      <c r="B268" s="167"/>
      <c r="C268" s="168"/>
      <c r="D268" s="169"/>
      <c r="E268" s="169"/>
      <c r="F268" s="169"/>
      <c r="G268" s="169"/>
      <c r="H268" s="169"/>
      <c r="I268" s="169"/>
      <c r="J268" s="170"/>
      <c r="K268" s="170"/>
      <c r="L268" s="169"/>
      <c r="M268" s="169"/>
      <c r="N268" s="169"/>
      <c r="O268" s="170"/>
      <c r="P268" s="170"/>
      <c r="Q268" s="169"/>
      <c r="R268" s="170"/>
      <c r="S268" s="170"/>
      <c r="T268" s="170"/>
      <c r="U268" s="170"/>
      <c r="V268" s="380"/>
    </row>
    <row r="269" spans="1:22" s="173" customFormat="1">
      <c r="A269" s="166"/>
      <c r="B269" s="199"/>
      <c r="C269" s="200"/>
      <c r="D269" s="201"/>
      <c r="E269" s="201"/>
      <c r="F269" s="201"/>
      <c r="G269" s="201"/>
      <c r="H269" s="201"/>
      <c r="I269" s="201"/>
      <c r="J269" s="202"/>
      <c r="K269" s="202"/>
      <c r="L269" s="201"/>
      <c r="M269" s="201"/>
      <c r="N269" s="201"/>
      <c r="O269" s="202"/>
      <c r="P269" s="202"/>
      <c r="Q269" s="201"/>
      <c r="R269" s="202"/>
      <c r="S269" s="202"/>
      <c r="T269" s="202"/>
      <c r="U269" s="202"/>
      <c r="V269" s="380"/>
    </row>
    <row r="270" spans="1:22">
      <c r="A270" s="166"/>
      <c r="B270" s="246"/>
      <c r="C270" s="297"/>
      <c r="D270" s="298"/>
      <c r="E270" s="298"/>
      <c r="F270" s="298"/>
      <c r="G270" s="298"/>
      <c r="H270" s="298"/>
      <c r="I270" s="298"/>
      <c r="J270" s="307"/>
      <c r="K270" s="307"/>
      <c r="L270" s="298"/>
      <c r="M270" s="298"/>
      <c r="N270" s="298"/>
      <c r="O270" s="307"/>
      <c r="P270" s="165"/>
      <c r="Q270" s="298"/>
      <c r="R270" s="307"/>
      <c r="S270" s="307"/>
      <c r="T270" s="307"/>
      <c r="U270" s="307"/>
      <c r="V270" s="380"/>
    </row>
    <row r="271" spans="1:22">
      <c r="A271" s="166"/>
      <c r="B271" s="167"/>
      <c r="C271" s="168"/>
      <c r="D271" s="169"/>
      <c r="E271" s="169"/>
      <c r="F271" s="169"/>
      <c r="G271" s="169"/>
      <c r="H271" s="169"/>
      <c r="I271" s="169"/>
      <c r="J271" s="170"/>
      <c r="K271" s="170"/>
      <c r="L271" s="169"/>
      <c r="M271" s="169"/>
      <c r="N271" s="169"/>
      <c r="O271" s="170"/>
      <c r="P271" s="170"/>
      <c r="Q271" s="169"/>
      <c r="R271" s="170"/>
      <c r="S271" s="170"/>
      <c r="T271" s="170"/>
      <c r="U271" s="170"/>
      <c r="V271" s="380"/>
    </row>
    <row r="272" spans="1:22" s="173" customFormat="1">
      <c r="A272" s="166"/>
      <c r="B272" s="199"/>
      <c r="C272" s="200"/>
      <c r="D272" s="201"/>
      <c r="E272" s="201"/>
      <c r="F272" s="201"/>
      <c r="G272" s="201"/>
      <c r="H272" s="201"/>
      <c r="I272" s="201"/>
      <c r="J272" s="202"/>
      <c r="K272" s="202"/>
      <c r="L272" s="201"/>
      <c r="M272" s="201"/>
      <c r="N272" s="201"/>
      <c r="O272" s="202"/>
      <c r="P272" s="202"/>
      <c r="Q272" s="201"/>
      <c r="R272" s="202"/>
      <c r="S272" s="202"/>
      <c r="T272" s="202"/>
      <c r="U272" s="202"/>
      <c r="V272" s="380"/>
    </row>
    <row r="273" spans="1:22">
      <c r="A273" s="166"/>
      <c r="B273" s="246"/>
      <c r="C273" s="297"/>
      <c r="D273" s="298"/>
      <c r="E273" s="298"/>
      <c r="F273" s="298"/>
      <c r="G273" s="298"/>
      <c r="H273" s="298"/>
      <c r="I273" s="298"/>
      <c r="J273" s="307"/>
      <c r="K273" s="307"/>
      <c r="L273" s="298"/>
      <c r="M273" s="298"/>
      <c r="N273" s="298"/>
      <c r="O273" s="307"/>
      <c r="P273" s="165"/>
      <c r="Q273" s="298"/>
      <c r="R273" s="307"/>
      <c r="S273" s="307"/>
      <c r="T273" s="307"/>
      <c r="U273" s="307"/>
      <c r="V273" s="380"/>
    </row>
    <row r="274" spans="1:22">
      <c r="A274" s="166"/>
      <c r="B274" s="167"/>
      <c r="C274" s="168"/>
      <c r="D274" s="169"/>
      <c r="E274" s="169"/>
      <c r="F274" s="169"/>
      <c r="G274" s="169"/>
      <c r="H274" s="169"/>
      <c r="I274" s="169"/>
      <c r="J274" s="170"/>
      <c r="K274" s="170"/>
      <c r="L274" s="169"/>
      <c r="M274" s="169"/>
      <c r="N274" s="169"/>
      <c r="O274" s="170"/>
      <c r="P274" s="170"/>
      <c r="Q274" s="169"/>
      <c r="R274" s="170"/>
      <c r="S274" s="170"/>
      <c r="T274" s="170"/>
      <c r="U274" s="170"/>
      <c r="V274" s="380"/>
    </row>
    <row r="275" spans="1:22" s="173" customFormat="1" ht="15.75" thickBot="1">
      <c r="A275" s="166"/>
      <c r="B275" s="303"/>
      <c r="C275" s="304"/>
      <c r="D275" s="305"/>
      <c r="E275" s="305"/>
      <c r="F275" s="305"/>
      <c r="G275" s="305"/>
      <c r="H275" s="305"/>
      <c r="I275" s="305"/>
      <c r="J275" s="308"/>
      <c r="K275" s="308"/>
      <c r="L275" s="305"/>
      <c r="M275" s="305"/>
      <c r="N275" s="305"/>
      <c r="O275" s="308"/>
      <c r="P275" s="308"/>
      <c r="Q275" s="305"/>
      <c r="R275" s="308"/>
      <c r="S275" s="308"/>
      <c r="T275" s="308"/>
      <c r="U275" s="308"/>
      <c r="V275" s="380"/>
    </row>
    <row r="276" spans="1:22" ht="15.75" thickTop="1">
      <c r="A276" s="166"/>
      <c r="B276" s="167"/>
      <c r="C276" s="168"/>
      <c r="D276" s="169"/>
      <c r="E276" s="169"/>
      <c r="F276" s="169"/>
      <c r="G276" s="169"/>
      <c r="H276" s="169"/>
      <c r="I276" s="169"/>
      <c r="J276" s="170"/>
      <c r="K276" s="170"/>
      <c r="L276" s="169"/>
      <c r="M276" s="169"/>
      <c r="N276" s="169"/>
      <c r="O276" s="170"/>
      <c r="P276" s="170"/>
      <c r="Q276" s="169"/>
      <c r="R276" s="170"/>
      <c r="S276" s="170"/>
      <c r="T276" s="170"/>
      <c r="U276" s="170"/>
      <c r="V276" s="380"/>
    </row>
    <row r="277" spans="1:22">
      <c r="A277" s="166"/>
      <c r="B277" s="167"/>
      <c r="C277" s="168"/>
      <c r="D277" s="169"/>
      <c r="E277" s="169"/>
      <c r="F277" s="169"/>
      <c r="G277" s="169"/>
      <c r="H277" s="169"/>
      <c r="I277" s="169"/>
      <c r="J277" s="170"/>
      <c r="K277" s="170"/>
      <c r="L277" s="169"/>
      <c r="M277" s="169"/>
      <c r="N277" s="169"/>
      <c r="O277" s="170"/>
      <c r="P277" s="170"/>
      <c r="Q277" s="169"/>
      <c r="R277" s="170"/>
      <c r="S277" s="170"/>
      <c r="T277" s="170"/>
      <c r="U277" s="170"/>
      <c r="V277" s="380"/>
    </row>
    <row r="278" spans="1:22" s="173" customFormat="1">
      <c r="A278" s="166"/>
      <c r="B278" s="199"/>
      <c r="C278" s="200"/>
      <c r="D278" s="201"/>
      <c r="E278" s="201"/>
      <c r="F278" s="201"/>
      <c r="G278" s="656"/>
      <c r="H278" s="201"/>
      <c r="I278" s="201"/>
      <c r="J278" s="202"/>
      <c r="K278" s="202"/>
      <c r="L278" s="201"/>
      <c r="M278" s="201"/>
      <c r="N278" s="201"/>
      <c r="O278" s="202"/>
      <c r="P278" s="202"/>
      <c r="Q278" s="201"/>
      <c r="R278" s="202"/>
      <c r="S278" s="202"/>
      <c r="T278" s="202"/>
      <c r="U278" s="202"/>
      <c r="V278" s="380"/>
    </row>
    <row r="279" spans="1:22">
      <c r="A279" s="166"/>
      <c r="B279" s="246"/>
      <c r="C279" s="297"/>
      <c r="D279" s="298"/>
      <c r="E279" s="298"/>
      <c r="F279" s="298"/>
      <c r="G279" s="298"/>
      <c r="H279" s="298"/>
      <c r="I279" s="298"/>
      <c r="J279" s="307"/>
      <c r="K279" s="307"/>
      <c r="L279" s="298"/>
      <c r="M279" s="298"/>
      <c r="N279" s="298"/>
      <c r="O279" s="307"/>
      <c r="P279" s="165"/>
      <c r="Q279" s="298"/>
      <c r="R279" s="307"/>
      <c r="S279" s="307"/>
      <c r="T279" s="307"/>
      <c r="U279" s="307"/>
      <c r="V279" s="380"/>
    </row>
    <row r="280" spans="1:22">
      <c r="A280" s="166"/>
      <c r="B280" s="167"/>
      <c r="C280" s="168"/>
      <c r="D280" s="169"/>
      <c r="E280" s="169"/>
      <c r="F280" s="169"/>
      <c r="G280" s="169"/>
      <c r="H280" s="169"/>
      <c r="I280" s="169"/>
      <c r="J280" s="170"/>
      <c r="K280" s="170"/>
      <c r="L280" s="169"/>
      <c r="M280" s="169"/>
      <c r="N280" s="169"/>
      <c r="O280" s="170"/>
      <c r="P280" s="170"/>
      <c r="Q280" s="169"/>
      <c r="R280" s="170"/>
      <c r="S280" s="170"/>
      <c r="T280" s="170"/>
      <c r="U280" s="170"/>
      <c r="V280" s="380"/>
    </row>
    <row r="281" spans="1:22" s="173" customFormat="1">
      <c r="A281" s="166"/>
      <c r="B281" s="199"/>
      <c r="C281" s="200"/>
      <c r="D281" s="201"/>
      <c r="E281" s="201"/>
      <c r="F281" s="201"/>
      <c r="G281" s="656"/>
      <c r="H281" s="201"/>
      <c r="I281" s="201"/>
      <c r="J281" s="202"/>
      <c r="K281" s="202"/>
      <c r="L281" s="201"/>
      <c r="M281" s="201"/>
      <c r="N281" s="201"/>
      <c r="O281" s="202"/>
      <c r="P281" s="202"/>
      <c r="Q281" s="201"/>
      <c r="R281" s="202"/>
      <c r="S281" s="202"/>
      <c r="T281" s="202"/>
      <c r="U281" s="202"/>
      <c r="V281" s="380"/>
    </row>
    <row r="282" spans="1:22">
      <c r="A282" s="166"/>
      <c r="B282" s="246"/>
      <c r="C282" s="297"/>
      <c r="D282" s="298"/>
      <c r="E282" s="298"/>
      <c r="F282" s="298"/>
      <c r="G282" s="298"/>
      <c r="H282" s="298"/>
      <c r="I282" s="298"/>
      <c r="J282" s="307"/>
      <c r="K282" s="307"/>
      <c r="L282" s="298"/>
      <c r="M282" s="298"/>
      <c r="N282" s="298"/>
      <c r="O282" s="307"/>
      <c r="P282" s="165"/>
      <c r="Q282" s="298"/>
      <c r="R282" s="307"/>
      <c r="S282" s="307"/>
      <c r="T282" s="307"/>
      <c r="U282" s="307"/>
      <c r="V282" s="380"/>
    </row>
    <row r="283" spans="1:22">
      <c r="A283" s="166"/>
      <c r="B283" s="167"/>
      <c r="C283" s="168"/>
      <c r="D283" s="169"/>
      <c r="E283" s="169"/>
      <c r="F283" s="169"/>
      <c r="G283" s="169"/>
      <c r="H283" s="169"/>
      <c r="I283" s="169"/>
      <c r="J283" s="170"/>
      <c r="K283" s="170"/>
      <c r="L283" s="169"/>
      <c r="M283" s="169"/>
      <c r="N283" s="169"/>
      <c r="O283" s="170"/>
      <c r="P283" s="170"/>
      <c r="Q283" s="169"/>
      <c r="R283" s="170"/>
      <c r="S283" s="170"/>
      <c r="T283" s="170"/>
      <c r="U283" s="170"/>
      <c r="V283" s="380"/>
    </row>
    <row r="284" spans="1:22" s="173" customFormat="1">
      <c r="A284" s="166"/>
      <c r="B284" s="199"/>
      <c r="C284" s="200"/>
      <c r="D284" s="201"/>
      <c r="E284" s="201"/>
      <c r="F284" s="201"/>
      <c r="G284" s="201"/>
      <c r="H284" s="201"/>
      <c r="I284" s="201"/>
      <c r="J284" s="202"/>
      <c r="K284" s="202"/>
      <c r="L284" s="201"/>
      <c r="M284" s="201"/>
      <c r="N284" s="201"/>
      <c r="O284" s="202"/>
      <c r="P284" s="202"/>
      <c r="Q284" s="201"/>
      <c r="R284" s="202"/>
      <c r="S284" s="202"/>
      <c r="T284" s="202"/>
      <c r="U284" s="202"/>
      <c r="V284" s="380"/>
    </row>
    <row r="285" spans="1:22">
      <c r="A285" s="166"/>
      <c r="B285" s="246"/>
      <c r="C285" s="297"/>
      <c r="D285" s="298"/>
      <c r="E285" s="298"/>
      <c r="F285" s="298"/>
      <c r="G285" s="298"/>
      <c r="H285" s="298"/>
      <c r="I285" s="298"/>
      <c r="J285" s="307"/>
      <c r="K285" s="307"/>
      <c r="L285" s="298"/>
      <c r="M285" s="298"/>
      <c r="N285" s="298"/>
      <c r="O285" s="307"/>
      <c r="P285" s="165"/>
      <c r="Q285" s="298"/>
      <c r="R285" s="307"/>
      <c r="S285" s="307"/>
      <c r="T285" s="307"/>
      <c r="U285" s="307"/>
      <c r="V285" s="380"/>
    </row>
    <row r="286" spans="1:22">
      <c r="A286" s="166"/>
      <c r="B286" s="167"/>
      <c r="C286" s="168"/>
      <c r="D286" s="169"/>
      <c r="E286" s="169"/>
      <c r="F286" s="169"/>
      <c r="G286" s="169"/>
      <c r="H286" s="169"/>
      <c r="I286" s="169"/>
      <c r="J286" s="170"/>
      <c r="K286" s="170"/>
      <c r="L286" s="169"/>
      <c r="M286" s="169"/>
      <c r="N286" s="169"/>
      <c r="O286" s="170"/>
      <c r="P286" s="170"/>
      <c r="Q286" s="169"/>
      <c r="R286" s="170"/>
      <c r="S286" s="170"/>
      <c r="T286" s="170"/>
      <c r="U286" s="170"/>
      <c r="V286" s="380"/>
    </row>
    <row r="287" spans="1:22" s="173" customFormat="1">
      <c r="A287" s="166"/>
      <c r="B287" s="199"/>
      <c r="C287" s="200"/>
      <c r="D287" s="201"/>
      <c r="E287" s="201"/>
      <c r="F287" s="201"/>
      <c r="G287" s="201"/>
      <c r="H287" s="201"/>
      <c r="I287" s="201"/>
      <c r="J287" s="202"/>
      <c r="K287" s="202"/>
      <c r="L287" s="201"/>
      <c r="M287" s="201"/>
      <c r="N287" s="201"/>
      <c r="O287" s="202"/>
      <c r="P287" s="202"/>
      <c r="Q287" s="201"/>
      <c r="R287" s="202"/>
      <c r="S287" s="202"/>
      <c r="T287" s="202"/>
      <c r="U287" s="202"/>
      <c r="V287" s="380"/>
    </row>
    <row r="288" spans="1:22">
      <c r="A288" s="166"/>
      <c r="B288" s="246"/>
      <c r="C288" s="297"/>
      <c r="D288" s="298"/>
      <c r="E288" s="298"/>
      <c r="F288" s="298"/>
      <c r="G288" s="298"/>
      <c r="H288" s="298"/>
      <c r="I288" s="298"/>
      <c r="J288" s="307"/>
      <c r="K288" s="307"/>
      <c r="L288" s="298"/>
      <c r="M288" s="298"/>
      <c r="N288" s="298"/>
      <c r="O288" s="307"/>
      <c r="P288" s="165"/>
      <c r="Q288" s="298"/>
      <c r="R288" s="307"/>
      <c r="S288" s="307"/>
      <c r="T288" s="307"/>
      <c r="U288" s="307"/>
      <c r="V288" s="380"/>
    </row>
    <row r="289" spans="1:22">
      <c r="A289" s="166"/>
      <c r="B289" s="167"/>
      <c r="C289" s="168"/>
      <c r="D289" s="169"/>
      <c r="E289" s="169"/>
      <c r="F289" s="169"/>
      <c r="G289" s="169"/>
      <c r="H289" s="169"/>
      <c r="I289" s="169"/>
      <c r="J289" s="170"/>
      <c r="K289" s="170"/>
      <c r="L289" s="169"/>
      <c r="M289" s="169"/>
      <c r="N289" s="169"/>
      <c r="O289" s="170"/>
      <c r="P289" s="170"/>
      <c r="Q289" s="169"/>
      <c r="R289" s="170"/>
      <c r="S289" s="170"/>
      <c r="T289" s="170"/>
      <c r="U289" s="170"/>
      <c r="V289" s="380"/>
    </row>
    <row r="290" spans="1:22" s="173" customFormat="1">
      <c r="A290" s="166"/>
      <c r="B290" s="199"/>
      <c r="C290" s="200"/>
      <c r="D290" s="201"/>
      <c r="E290" s="201"/>
      <c r="F290" s="201"/>
      <c r="G290" s="201"/>
      <c r="H290" s="201"/>
      <c r="I290" s="201"/>
      <c r="J290" s="202"/>
      <c r="K290" s="202"/>
      <c r="L290" s="201"/>
      <c r="M290" s="201"/>
      <c r="N290" s="201"/>
      <c r="O290" s="202"/>
      <c r="P290" s="202"/>
      <c r="Q290" s="201"/>
      <c r="R290" s="202"/>
      <c r="S290" s="202"/>
      <c r="T290" s="202"/>
      <c r="U290" s="202"/>
      <c r="V290" s="380"/>
    </row>
    <row r="291" spans="1:22">
      <c r="A291" s="166"/>
      <c r="B291" s="246"/>
      <c r="C291" s="297"/>
      <c r="D291" s="298"/>
      <c r="E291" s="298"/>
      <c r="F291" s="298"/>
      <c r="G291" s="298"/>
      <c r="H291" s="298"/>
      <c r="I291" s="298"/>
      <c r="J291" s="307"/>
      <c r="K291" s="307"/>
      <c r="L291" s="298"/>
      <c r="M291" s="298"/>
      <c r="N291" s="298"/>
      <c r="O291" s="307"/>
      <c r="P291" s="165"/>
      <c r="Q291" s="298"/>
      <c r="R291" s="307"/>
      <c r="S291" s="307"/>
      <c r="T291" s="307"/>
      <c r="U291" s="307"/>
      <c r="V291" s="380"/>
    </row>
    <row r="292" spans="1:22">
      <c r="A292" s="166"/>
      <c r="B292" s="167"/>
      <c r="C292" s="168"/>
      <c r="D292" s="169"/>
      <c r="E292" s="169"/>
      <c r="F292" s="169"/>
      <c r="G292" s="169"/>
      <c r="H292" s="169"/>
      <c r="I292" s="169"/>
      <c r="J292" s="170"/>
      <c r="K292" s="170"/>
      <c r="L292" s="169"/>
      <c r="M292" s="169"/>
      <c r="N292" s="169"/>
      <c r="O292" s="170"/>
      <c r="P292" s="170"/>
      <c r="Q292" s="169"/>
      <c r="R292" s="170"/>
      <c r="S292" s="170"/>
      <c r="T292" s="170"/>
      <c r="U292" s="170"/>
      <c r="V292" s="380"/>
    </row>
    <row r="293" spans="1:22" s="173" customFormat="1" ht="15.75" thickBot="1">
      <c r="A293" s="310"/>
      <c r="B293" s="311"/>
      <c r="C293" s="312"/>
      <c r="D293" s="313"/>
      <c r="E293" s="313"/>
      <c r="F293" s="313"/>
      <c r="G293" s="313"/>
      <c r="H293" s="313"/>
      <c r="I293" s="313"/>
      <c r="J293" s="314"/>
      <c r="K293" s="314"/>
      <c r="L293" s="313"/>
      <c r="M293" s="313"/>
      <c r="N293" s="313"/>
      <c r="O293" s="314"/>
      <c r="P293" s="314"/>
      <c r="Q293" s="313"/>
      <c r="R293" s="314"/>
      <c r="S293" s="314"/>
      <c r="T293" s="314"/>
      <c r="U293" s="314"/>
      <c r="V293" s="380"/>
    </row>
    <row r="294" spans="1:22">
      <c r="A294" s="296"/>
      <c r="B294" s="246"/>
      <c r="C294" s="297"/>
      <c r="D294" s="298"/>
      <c r="E294" s="298"/>
      <c r="F294" s="298"/>
      <c r="G294" s="298"/>
      <c r="H294" s="298"/>
      <c r="I294" s="298"/>
      <c r="J294" s="307"/>
      <c r="K294" s="307"/>
      <c r="L294" s="298"/>
      <c r="M294" s="298"/>
      <c r="N294" s="298"/>
      <c r="O294" s="307"/>
      <c r="P294" s="165"/>
      <c r="Q294" s="298"/>
      <c r="R294" s="307"/>
      <c r="S294" s="307"/>
      <c r="T294" s="307"/>
      <c r="U294" s="307"/>
      <c r="V294" s="380"/>
    </row>
    <row r="295" spans="1:22">
      <c r="A295" s="166"/>
      <c r="B295" s="167"/>
      <c r="C295" s="168"/>
      <c r="D295" s="169"/>
      <c r="E295" s="169"/>
      <c r="F295" s="169"/>
      <c r="G295" s="169"/>
      <c r="H295" s="169"/>
      <c r="I295" s="169"/>
      <c r="J295" s="170"/>
      <c r="K295" s="170"/>
      <c r="L295" s="169"/>
      <c r="M295" s="169"/>
      <c r="N295" s="169"/>
      <c r="O295" s="170"/>
      <c r="P295" s="170"/>
      <c r="Q295" s="169"/>
      <c r="R295" s="170"/>
      <c r="S295" s="170"/>
      <c r="T295" s="170"/>
      <c r="U295" s="170"/>
      <c r="V295" s="380"/>
    </row>
    <row r="296" spans="1:22" s="173" customFormat="1">
      <c r="A296" s="166"/>
      <c r="B296" s="199"/>
      <c r="C296" s="200"/>
      <c r="D296" s="201"/>
      <c r="E296" s="201"/>
      <c r="F296" s="201"/>
      <c r="G296" s="201"/>
      <c r="H296" s="201"/>
      <c r="I296" s="201"/>
      <c r="J296" s="202"/>
      <c r="K296" s="202"/>
      <c r="L296" s="201"/>
      <c r="M296" s="201"/>
      <c r="N296" s="201"/>
      <c r="O296" s="202"/>
      <c r="P296" s="202"/>
      <c r="Q296" s="201"/>
      <c r="R296" s="202"/>
      <c r="S296" s="202"/>
      <c r="T296" s="202"/>
      <c r="U296" s="202"/>
      <c r="V296" s="380"/>
    </row>
    <row r="297" spans="1:22">
      <c r="A297" s="166"/>
      <c r="B297" s="246"/>
      <c r="C297" s="297"/>
      <c r="D297" s="298"/>
      <c r="E297" s="298"/>
      <c r="F297" s="298"/>
      <c r="G297" s="298"/>
      <c r="H297" s="298"/>
      <c r="I297" s="298"/>
      <c r="J297" s="307"/>
      <c r="K297" s="307"/>
      <c r="L297" s="298"/>
      <c r="M297" s="298"/>
      <c r="N297" s="298"/>
      <c r="O297" s="307"/>
      <c r="P297" s="165"/>
      <c r="Q297" s="298"/>
      <c r="R297" s="307"/>
      <c r="S297" s="307"/>
      <c r="T297" s="307"/>
      <c r="U297" s="307"/>
      <c r="V297" s="380"/>
    </row>
    <row r="298" spans="1:22">
      <c r="A298" s="166"/>
      <c r="B298" s="167"/>
      <c r="C298" s="168"/>
      <c r="D298" s="169"/>
      <c r="E298" s="169"/>
      <c r="F298" s="169"/>
      <c r="G298" s="659"/>
      <c r="H298" s="169"/>
      <c r="I298" s="169"/>
      <c r="J298" s="170"/>
      <c r="K298" s="170"/>
      <c r="L298" s="169"/>
      <c r="M298" s="169"/>
      <c r="N298" s="169"/>
      <c r="O298" s="170"/>
      <c r="P298" s="170"/>
      <c r="Q298" s="169"/>
      <c r="R298" s="170"/>
      <c r="S298" s="170"/>
      <c r="T298" s="170"/>
      <c r="U298" s="170"/>
      <c r="V298" s="380"/>
    </row>
    <row r="299" spans="1:22" s="173" customFormat="1">
      <c r="A299" s="166"/>
      <c r="B299" s="199"/>
      <c r="C299" s="200"/>
      <c r="D299" s="201"/>
      <c r="E299" s="201"/>
      <c r="F299" s="201"/>
      <c r="G299" s="201"/>
      <c r="H299" s="201"/>
      <c r="I299" s="201"/>
      <c r="J299" s="202"/>
      <c r="K299" s="202"/>
      <c r="L299" s="201"/>
      <c r="M299" s="201"/>
      <c r="N299" s="201"/>
      <c r="O299" s="202"/>
      <c r="P299" s="202"/>
      <c r="Q299" s="201"/>
      <c r="R299" s="202"/>
      <c r="S299" s="202"/>
      <c r="T299" s="202"/>
      <c r="U299" s="202"/>
      <c r="V299" s="380"/>
    </row>
    <row r="300" spans="1:22">
      <c r="A300" s="166"/>
      <c r="B300" s="246"/>
      <c r="C300" s="297"/>
      <c r="D300" s="298"/>
      <c r="E300" s="298"/>
      <c r="F300" s="298"/>
      <c r="G300" s="298"/>
      <c r="H300" s="298"/>
      <c r="I300" s="298"/>
      <c r="J300" s="307"/>
      <c r="K300" s="307"/>
      <c r="L300" s="298"/>
      <c r="M300" s="298"/>
      <c r="N300" s="298"/>
      <c r="O300" s="307"/>
      <c r="P300" s="165"/>
      <c r="Q300" s="298"/>
      <c r="R300" s="307"/>
      <c r="S300" s="307"/>
      <c r="T300" s="307"/>
      <c r="U300" s="307"/>
      <c r="V300" s="380"/>
    </row>
    <row r="301" spans="1:22">
      <c r="A301" s="166"/>
      <c r="B301" s="167"/>
      <c r="C301" s="168"/>
      <c r="D301" s="169"/>
      <c r="E301" s="169"/>
      <c r="F301" s="169"/>
      <c r="G301" s="169"/>
      <c r="H301" s="169"/>
      <c r="I301" s="169"/>
      <c r="J301" s="170"/>
      <c r="K301" s="170"/>
      <c r="L301" s="169"/>
      <c r="M301" s="169"/>
      <c r="N301" s="169"/>
      <c r="O301" s="170"/>
      <c r="P301" s="170"/>
      <c r="Q301" s="169"/>
      <c r="R301" s="170"/>
      <c r="S301" s="170"/>
      <c r="T301" s="170"/>
      <c r="U301" s="170"/>
      <c r="V301" s="380"/>
    </row>
    <row r="302" spans="1:22" s="173" customFormat="1">
      <c r="A302" s="166"/>
      <c r="B302" s="199"/>
      <c r="C302" s="200"/>
      <c r="D302" s="201"/>
      <c r="E302" s="201"/>
      <c r="F302" s="201"/>
      <c r="G302" s="201"/>
      <c r="H302" s="201"/>
      <c r="I302" s="201"/>
      <c r="J302" s="202"/>
      <c r="K302" s="202"/>
      <c r="L302" s="201"/>
      <c r="M302" s="201"/>
      <c r="N302" s="201"/>
      <c r="O302" s="202"/>
      <c r="P302" s="202"/>
      <c r="Q302" s="201"/>
      <c r="R302" s="202"/>
      <c r="S302" s="202"/>
      <c r="T302" s="202"/>
      <c r="U302" s="202"/>
      <c r="V302" s="380"/>
    </row>
    <row r="303" spans="1:22">
      <c r="A303" s="166"/>
      <c r="B303" s="246"/>
      <c r="C303" s="297"/>
      <c r="D303" s="298"/>
      <c r="E303" s="298"/>
      <c r="F303" s="298"/>
      <c r="G303" s="298"/>
      <c r="H303" s="298"/>
      <c r="I303" s="298"/>
      <c r="J303" s="307"/>
      <c r="K303" s="307"/>
      <c r="L303" s="298"/>
      <c r="M303" s="298"/>
      <c r="N303" s="298"/>
      <c r="O303" s="307"/>
      <c r="P303" s="165"/>
      <c r="Q303" s="298"/>
      <c r="R303" s="307"/>
      <c r="S303" s="307"/>
      <c r="T303" s="307"/>
      <c r="U303" s="307"/>
      <c r="V303" s="380"/>
    </row>
    <row r="304" spans="1:22">
      <c r="A304" s="166"/>
      <c r="B304" s="167"/>
      <c r="C304" s="168"/>
      <c r="D304" s="169"/>
      <c r="E304" s="169"/>
      <c r="F304" s="169"/>
      <c r="G304" s="169"/>
      <c r="H304" s="169"/>
      <c r="I304" s="169"/>
      <c r="J304" s="170"/>
      <c r="K304" s="170"/>
      <c r="L304" s="169"/>
      <c r="M304" s="169"/>
      <c r="N304" s="169"/>
      <c r="O304" s="170"/>
      <c r="P304" s="170"/>
      <c r="Q304" s="169"/>
      <c r="R304" s="170"/>
      <c r="S304" s="170"/>
      <c r="T304" s="170"/>
      <c r="U304" s="170"/>
      <c r="V304" s="380"/>
    </row>
    <row r="305" spans="1:22" s="173" customFormat="1">
      <c r="A305" s="166"/>
      <c r="B305" s="199"/>
      <c r="C305" s="200"/>
      <c r="D305" s="201"/>
      <c r="E305" s="201"/>
      <c r="F305" s="201"/>
      <c r="G305" s="201"/>
      <c r="H305" s="201"/>
      <c r="I305" s="201"/>
      <c r="J305" s="202"/>
      <c r="K305" s="202"/>
      <c r="L305" s="201"/>
      <c r="M305" s="201"/>
      <c r="N305" s="201"/>
      <c r="O305" s="202"/>
      <c r="P305" s="202"/>
      <c r="Q305" s="201"/>
      <c r="R305" s="202"/>
      <c r="S305" s="202"/>
      <c r="T305" s="202"/>
      <c r="U305" s="202"/>
      <c r="V305" s="380"/>
    </row>
    <row r="306" spans="1:22">
      <c r="A306" s="166"/>
      <c r="B306" s="246"/>
      <c r="C306" s="297"/>
      <c r="D306" s="298"/>
      <c r="E306" s="298"/>
      <c r="F306" s="298"/>
      <c r="G306" s="298"/>
      <c r="H306" s="298"/>
      <c r="I306" s="298"/>
      <c r="J306" s="307"/>
      <c r="K306" s="307"/>
      <c r="L306" s="298"/>
      <c r="M306" s="298"/>
      <c r="N306" s="298"/>
      <c r="O306" s="307"/>
      <c r="P306" s="165"/>
      <c r="Q306" s="298"/>
      <c r="R306" s="307"/>
      <c r="S306" s="307"/>
      <c r="T306" s="307"/>
      <c r="U306" s="307"/>
      <c r="V306" s="380"/>
    </row>
    <row r="307" spans="1:22">
      <c r="A307" s="166"/>
      <c r="B307" s="167"/>
      <c r="C307" s="168"/>
      <c r="D307" s="169"/>
      <c r="E307" s="169"/>
      <c r="F307" s="169"/>
      <c r="G307" s="169"/>
      <c r="H307" s="169"/>
      <c r="I307" s="169"/>
      <c r="J307" s="170"/>
      <c r="K307" s="170"/>
      <c r="L307" s="169"/>
      <c r="M307" s="169"/>
      <c r="N307" s="169"/>
      <c r="O307" s="170"/>
      <c r="P307" s="170"/>
      <c r="Q307" s="169"/>
      <c r="R307" s="170"/>
      <c r="S307" s="170"/>
      <c r="T307" s="170"/>
      <c r="U307" s="170"/>
      <c r="V307" s="380"/>
    </row>
    <row r="308" spans="1:22" s="173" customFormat="1">
      <c r="A308" s="166"/>
      <c r="B308" s="199"/>
      <c r="C308" s="200"/>
      <c r="D308" s="201"/>
      <c r="E308" s="201"/>
      <c r="F308" s="201"/>
      <c r="G308" s="201"/>
      <c r="H308" s="201"/>
      <c r="I308" s="201"/>
      <c r="J308" s="202"/>
      <c r="K308" s="202"/>
      <c r="L308" s="201"/>
      <c r="M308" s="201"/>
      <c r="N308" s="201"/>
      <c r="O308" s="202"/>
      <c r="P308" s="202"/>
      <c r="Q308" s="201"/>
      <c r="R308" s="202"/>
      <c r="S308" s="202"/>
      <c r="T308" s="202"/>
      <c r="U308" s="202"/>
      <c r="V308" s="380"/>
    </row>
    <row r="309" spans="1:22">
      <c r="A309" s="166"/>
      <c r="B309" s="246"/>
      <c r="C309" s="297"/>
      <c r="D309" s="298"/>
      <c r="E309" s="298"/>
      <c r="F309" s="298"/>
      <c r="G309" s="298"/>
      <c r="H309" s="298"/>
      <c r="I309" s="298"/>
      <c r="J309" s="307"/>
      <c r="K309" s="307"/>
      <c r="L309" s="298"/>
      <c r="M309" s="298"/>
      <c r="N309" s="298"/>
      <c r="O309" s="307"/>
      <c r="P309" s="165"/>
      <c r="Q309" s="298"/>
      <c r="R309" s="307"/>
      <c r="S309" s="307"/>
      <c r="T309" s="307"/>
      <c r="U309" s="307"/>
      <c r="V309" s="380"/>
    </row>
    <row r="310" spans="1:22">
      <c r="A310" s="166"/>
      <c r="B310" s="167"/>
      <c r="C310" s="168"/>
      <c r="D310" s="169"/>
      <c r="E310" s="169"/>
      <c r="F310" s="169"/>
      <c r="G310" s="169"/>
      <c r="H310" s="169"/>
      <c r="I310" s="169"/>
      <c r="J310" s="170"/>
      <c r="K310" s="170"/>
      <c r="L310" s="169"/>
      <c r="M310" s="169"/>
      <c r="N310" s="169"/>
      <c r="O310" s="170"/>
      <c r="P310" s="170"/>
      <c r="Q310" s="169"/>
      <c r="R310" s="170"/>
      <c r="S310" s="170"/>
      <c r="T310" s="170"/>
      <c r="U310" s="170"/>
      <c r="V310" s="380"/>
    </row>
    <row r="311" spans="1:22" s="173" customFormat="1" ht="15.75" thickBot="1">
      <c r="A311" s="166"/>
      <c r="B311" s="303"/>
      <c r="C311" s="304"/>
      <c r="D311" s="305"/>
      <c r="E311" s="305"/>
      <c r="F311" s="305"/>
      <c r="G311" s="305"/>
      <c r="H311" s="305"/>
      <c r="I311" s="305"/>
      <c r="J311" s="308"/>
      <c r="K311" s="308"/>
      <c r="L311" s="305"/>
      <c r="M311" s="305"/>
      <c r="N311" s="305"/>
      <c r="O311" s="308"/>
      <c r="P311" s="308"/>
      <c r="Q311" s="305"/>
      <c r="R311" s="308"/>
      <c r="S311" s="308"/>
      <c r="T311" s="308"/>
      <c r="U311" s="308"/>
      <c r="V311" s="380"/>
    </row>
    <row r="312" spans="1:22" ht="15.75" thickTop="1">
      <c r="A312" s="166"/>
      <c r="B312" s="167"/>
      <c r="C312" s="168"/>
      <c r="D312" s="169"/>
      <c r="E312" s="169"/>
      <c r="F312" s="169"/>
      <c r="G312" s="169"/>
      <c r="H312" s="169"/>
      <c r="I312" s="169"/>
      <c r="J312" s="170"/>
      <c r="K312" s="170"/>
      <c r="L312" s="169"/>
      <c r="M312" s="169"/>
      <c r="N312" s="169"/>
      <c r="O312" s="170"/>
      <c r="P312" s="170"/>
      <c r="Q312" s="169"/>
      <c r="R312" s="170"/>
      <c r="S312" s="170"/>
      <c r="T312" s="170"/>
      <c r="U312" s="170"/>
      <c r="V312" s="380"/>
    </row>
    <row r="313" spans="1:22">
      <c r="A313" s="166"/>
      <c r="B313" s="167"/>
      <c r="C313" s="168"/>
      <c r="D313" s="169"/>
      <c r="E313" s="169"/>
      <c r="F313" s="169"/>
      <c r="G313" s="169"/>
      <c r="H313" s="169"/>
      <c r="I313" s="169"/>
      <c r="J313" s="170"/>
      <c r="K313" s="170"/>
      <c r="L313" s="169"/>
      <c r="M313" s="169"/>
      <c r="N313" s="169"/>
      <c r="O313" s="170"/>
      <c r="P313" s="170"/>
      <c r="Q313" s="169"/>
      <c r="R313" s="170"/>
      <c r="S313" s="170"/>
      <c r="T313" s="170"/>
      <c r="U313" s="170"/>
      <c r="V313" s="380"/>
    </row>
    <row r="314" spans="1:22" s="173" customFormat="1">
      <c r="A314" s="166"/>
      <c r="B314" s="199"/>
      <c r="C314" s="200"/>
      <c r="D314" s="201"/>
      <c r="E314" s="201"/>
      <c r="F314" s="656"/>
      <c r="G314" s="201"/>
      <c r="H314" s="201"/>
      <c r="I314" s="201"/>
      <c r="J314" s="202"/>
      <c r="K314" s="202"/>
      <c r="L314" s="201"/>
      <c r="M314" s="201"/>
      <c r="N314" s="201"/>
      <c r="O314" s="202"/>
      <c r="P314" s="202"/>
      <c r="Q314" s="201"/>
      <c r="R314" s="202"/>
      <c r="S314" s="202"/>
      <c r="T314" s="202"/>
      <c r="U314" s="202"/>
      <c r="V314" s="380"/>
    </row>
    <row r="315" spans="1:22">
      <c r="A315" s="166"/>
      <c r="B315" s="246"/>
      <c r="C315" s="297"/>
      <c r="D315" s="298"/>
      <c r="E315" s="298"/>
      <c r="F315" s="298"/>
      <c r="G315" s="298"/>
      <c r="H315" s="298"/>
      <c r="I315" s="298"/>
      <c r="J315" s="307"/>
      <c r="K315" s="307"/>
      <c r="L315" s="298"/>
      <c r="M315" s="298"/>
      <c r="N315" s="298"/>
      <c r="O315" s="307"/>
      <c r="P315" s="165"/>
      <c r="Q315" s="298"/>
      <c r="R315" s="307"/>
      <c r="S315" s="307"/>
      <c r="T315" s="307"/>
      <c r="U315" s="307"/>
      <c r="V315" s="380"/>
    </row>
    <row r="316" spans="1:22">
      <c r="A316" s="166"/>
      <c r="B316" s="167"/>
      <c r="C316" s="168"/>
      <c r="D316" s="169"/>
      <c r="E316" s="169"/>
      <c r="F316" s="169"/>
      <c r="G316" s="169"/>
      <c r="H316" s="169"/>
      <c r="I316" s="169"/>
      <c r="J316" s="170"/>
      <c r="K316" s="170"/>
      <c r="L316" s="169"/>
      <c r="M316" s="169"/>
      <c r="N316" s="169"/>
      <c r="O316" s="170"/>
      <c r="P316" s="170"/>
      <c r="Q316" s="169"/>
      <c r="R316" s="170"/>
      <c r="S316" s="170"/>
      <c r="T316" s="170"/>
      <c r="U316" s="170"/>
      <c r="V316" s="380"/>
    </row>
    <row r="317" spans="1:22" s="173" customFormat="1">
      <c r="A317" s="166"/>
      <c r="B317" s="199"/>
      <c r="C317" s="200"/>
      <c r="D317" s="201"/>
      <c r="E317" s="201"/>
      <c r="F317" s="201"/>
      <c r="G317" s="201"/>
      <c r="H317" s="201"/>
      <c r="I317" s="201"/>
      <c r="J317" s="202"/>
      <c r="K317" s="202"/>
      <c r="L317" s="201"/>
      <c r="M317" s="201"/>
      <c r="N317" s="201"/>
      <c r="O317" s="202"/>
      <c r="P317" s="202"/>
      <c r="Q317" s="201"/>
      <c r="R317" s="202"/>
      <c r="S317" s="202"/>
      <c r="T317" s="202"/>
      <c r="U317" s="202"/>
      <c r="V317" s="380"/>
    </row>
    <row r="318" spans="1:22">
      <c r="A318" s="166"/>
      <c r="B318" s="246"/>
      <c r="C318" s="297"/>
      <c r="D318" s="298"/>
      <c r="E318" s="298"/>
      <c r="F318" s="298"/>
      <c r="G318" s="298"/>
      <c r="H318" s="298"/>
      <c r="I318" s="298"/>
      <c r="J318" s="307"/>
      <c r="K318" s="307"/>
      <c r="L318" s="298"/>
      <c r="M318" s="298"/>
      <c r="N318" s="298"/>
      <c r="O318" s="307"/>
      <c r="P318" s="165"/>
      <c r="Q318" s="298"/>
      <c r="R318" s="307"/>
      <c r="S318" s="307"/>
      <c r="T318" s="307"/>
      <c r="U318" s="307"/>
      <c r="V318" s="380"/>
    </row>
    <row r="319" spans="1:22">
      <c r="A319" s="166"/>
      <c r="B319" s="167"/>
      <c r="C319" s="168"/>
      <c r="D319" s="169"/>
      <c r="E319" s="169"/>
      <c r="F319" s="169"/>
      <c r="G319" s="169"/>
      <c r="H319" s="169"/>
      <c r="I319" s="169"/>
      <c r="J319" s="170"/>
      <c r="K319" s="170"/>
      <c r="L319" s="169"/>
      <c r="M319" s="169"/>
      <c r="N319" s="169"/>
      <c r="O319" s="170"/>
      <c r="P319" s="170"/>
      <c r="Q319" s="169"/>
      <c r="R319" s="170"/>
      <c r="S319" s="170"/>
      <c r="T319" s="170"/>
      <c r="U319" s="170"/>
      <c r="V319" s="380"/>
    </row>
    <row r="320" spans="1:22" s="173" customFormat="1">
      <c r="A320" s="166"/>
      <c r="B320" s="199"/>
      <c r="C320" s="200"/>
      <c r="D320" s="201"/>
      <c r="E320" s="201"/>
      <c r="F320" s="656"/>
      <c r="G320" s="201"/>
      <c r="H320" s="201"/>
      <c r="I320" s="201"/>
      <c r="J320" s="202"/>
      <c r="K320" s="202"/>
      <c r="L320" s="201"/>
      <c r="M320" s="201"/>
      <c r="N320" s="201"/>
      <c r="O320" s="202"/>
      <c r="P320" s="202"/>
      <c r="Q320" s="201"/>
      <c r="R320" s="202"/>
      <c r="S320" s="202"/>
      <c r="T320" s="202"/>
      <c r="U320" s="202"/>
      <c r="V320" s="380"/>
    </row>
    <row r="321" spans="1:22">
      <c r="A321" s="166"/>
      <c r="B321" s="246"/>
      <c r="C321" s="297"/>
      <c r="D321" s="298"/>
      <c r="E321" s="298"/>
      <c r="F321" s="298"/>
      <c r="G321" s="298"/>
      <c r="H321" s="298"/>
      <c r="I321" s="298"/>
      <c r="J321" s="307"/>
      <c r="K321" s="307"/>
      <c r="L321" s="298"/>
      <c r="M321" s="298"/>
      <c r="N321" s="298"/>
      <c r="O321" s="307"/>
      <c r="P321" s="165"/>
      <c r="Q321" s="298"/>
      <c r="R321" s="307"/>
      <c r="S321" s="307"/>
      <c r="T321" s="307"/>
      <c r="U321" s="307"/>
      <c r="V321" s="380"/>
    </row>
    <row r="322" spans="1:22">
      <c r="A322" s="166"/>
      <c r="B322" s="167"/>
      <c r="C322" s="168"/>
      <c r="D322" s="169"/>
      <c r="E322" s="169"/>
      <c r="F322" s="169"/>
      <c r="G322" s="169"/>
      <c r="H322" s="169"/>
      <c r="I322" s="169"/>
      <c r="J322" s="170"/>
      <c r="K322" s="170"/>
      <c r="L322" s="169"/>
      <c r="M322" s="169"/>
      <c r="N322" s="169"/>
      <c r="O322" s="170"/>
      <c r="P322" s="170"/>
      <c r="Q322" s="169"/>
      <c r="R322" s="170"/>
      <c r="S322" s="170"/>
      <c r="T322" s="170"/>
      <c r="U322" s="170"/>
      <c r="V322" s="380"/>
    </row>
    <row r="323" spans="1:22" s="173" customFormat="1">
      <c r="A323" s="166"/>
      <c r="B323" s="199"/>
      <c r="C323" s="200"/>
      <c r="D323" s="201"/>
      <c r="E323" s="201"/>
      <c r="F323" s="201"/>
      <c r="G323" s="201"/>
      <c r="H323" s="201"/>
      <c r="I323" s="201"/>
      <c r="J323" s="202"/>
      <c r="K323" s="202"/>
      <c r="L323" s="201"/>
      <c r="M323" s="201"/>
      <c r="N323" s="201"/>
      <c r="O323" s="202"/>
      <c r="P323" s="202"/>
      <c r="Q323" s="201"/>
      <c r="R323" s="202"/>
      <c r="S323" s="202"/>
      <c r="T323" s="202"/>
      <c r="U323" s="202"/>
      <c r="V323" s="380"/>
    </row>
    <row r="324" spans="1:22">
      <c r="A324" s="166"/>
      <c r="B324" s="246"/>
      <c r="C324" s="297"/>
      <c r="D324" s="298"/>
      <c r="E324" s="298"/>
      <c r="F324" s="298"/>
      <c r="G324" s="298"/>
      <c r="H324" s="298"/>
      <c r="I324" s="298"/>
      <c r="J324" s="307"/>
      <c r="K324" s="307"/>
      <c r="L324" s="298"/>
      <c r="M324" s="298"/>
      <c r="N324" s="298"/>
      <c r="O324" s="307"/>
      <c r="P324" s="165"/>
      <c r="Q324" s="298"/>
      <c r="R324" s="307"/>
      <c r="S324" s="307"/>
      <c r="T324" s="307"/>
      <c r="U324" s="307"/>
      <c r="V324" s="380"/>
    </row>
    <row r="325" spans="1:22">
      <c r="A325" s="166"/>
      <c r="B325" s="167"/>
      <c r="C325" s="168"/>
      <c r="D325" s="169"/>
      <c r="E325" s="169"/>
      <c r="F325" s="169"/>
      <c r="G325" s="169"/>
      <c r="H325" s="169"/>
      <c r="I325" s="169"/>
      <c r="J325" s="170"/>
      <c r="K325" s="170"/>
      <c r="L325" s="169"/>
      <c r="M325" s="169"/>
      <c r="N325" s="169"/>
      <c r="O325" s="170"/>
      <c r="P325" s="170"/>
      <c r="Q325" s="169"/>
      <c r="R325" s="170"/>
      <c r="S325" s="170"/>
      <c r="T325" s="170"/>
      <c r="U325" s="170"/>
      <c r="V325" s="380"/>
    </row>
    <row r="326" spans="1:22" s="173" customFormat="1">
      <c r="A326" s="166"/>
      <c r="B326" s="199"/>
      <c r="C326" s="200"/>
      <c r="D326" s="201"/>
      <c r="E326" s="201"/>
      <c r="F326" s="201"/>
      <c r="G326" s="201"/>
      <c r="H326" s="201"/>
      <c r="I326" s="201"/>
      <c r="J326" s="202"/>
      <c r="K326" s="202"/>
      <c r="L326" s="201"/>
      <c r="M326" s="201"/>
      <c r="N326" s="201"/>
      <c r="O326" s="202"/>
      <c r="P326" s="202"/>
      <c r="Q326" s="201"/>
      <c r="R326" s="202"/>
      <c r="S326" s="202"/>
      <c r="T326" s="202"/>
      <c r="U326" s="202"/>
      <c r="V326" s="380"/>
    </row>
    <row r="327" spans="1:22">
      <c r="A327" s="166"/>
      <c r="B327" s="246"/>
      <c r="C327" s="297"/>
      <c r="D327" s="298"/>
      <c r="E327" s="298"/>
      <c r="F327" s="298"/>
      <c r="G327" s="298"/>
      <c r="H327" s="298"/>
      <c r="I327" s="298"/>
      <c r="J327" s="307"/>
      <c r="K327" s="307"/>
      <c r="L327" s="298"/>
      <c r="M327" s="298"/>
      <c r="N327" s="298"/>
      <c r="O327" s="307"/>
      <c r="P327" s="165"/>
      <c r="Q327" s="298"/>
      <c r="R327" s="307"/>
      <c r="S327" s="307"/>
      <c r="T327" s="307"/>
      <c r="U327" s="307"/>
      <c r="V327" s="380"/>
    </row>
    <row r="328" spans="1:22">
      <c r="A328" s="166"/>
      <c r="B328" s="167"/>
      <c r="C328" s="168"/>
      <c r="D328" s="169"/>
      <c r="E328" s="169"/>
      <c r="F328" s="169"/>
      <c r="G328" s="169"/>
      <c r="H328" s="169"/>
      <c r="I328" s="169"/>
      <c r="J328" s="170"/>
      <c r="K328" s="170"/>
      <c r="L328" s="169"/>
      <c r="M328" s="169"/>
      <c r="N328" s="169"/>
      <c r="O328" s="170"/>
      <c r="P328" s="170"/>
      <c r="Q328" s="169"/>
      <c r="R328" s="170"/>
      <c r="S328" s="170"/>
      <c r="T328" s="170"/>
      <c r="U328" s="170"/>
      <c r="V328" s="380"/>
    </row>
    <row r="329" spans="1:22" s="173" customFormat="1" ht="15.75" thickBot="1">
      <c r="A329" s="310"/>
      <c r="B329" s="311"/>
      <c r="C329" s="312"/>
      <c r="D329" s="313"/>
      <c r="E329" s="313"/>
      <c r="F329" s="313"/>
      <c r="G329" s="313"/>
      <c r="H329" s="313"/>
      <c r="I329" s="313"/>
      <c r="J329" s="314"/>
      <c r="K329" s="314"/>
      <c r="L329" s="313"/>
      <c r="M329" s="313"/>
      <c r="N329" s="313"/>
      <c r="O329" s="314"/>
      <c r="P329" s="314"/>
      <c r="Q329" s="313"/>
      <c r="R329" s="314"/>
      <c r="S329" s="314"/>
      <c r="T329" s="314"/>
      <c r="U329" s="314"/>
      <c r="V329" s="380"/>
    </row>
    <row r="330" spans="1:22">
      <c r="A330" s="296"/>
      <c r="B330" s="246"/>
      <c r="C330" s="297"/>
      <c r="D330" s="298"/>
      <c r="E330" s="298"/>
      <c r="F330" s="298"/>
      <c r="G330" s="298"/>
      <c r="H330" s="298"/>
      <c r="I330" s="298"/>
      <c r="J330" s="307"/>
      <c r="K330" s="307"/>
      <c r="L330" s="298"/>
      <c r="M330" s="298"/>
      <c r="N330" s="298"/>
      <c r="O330" s="307"/>
      <c r="P330" s="165"/>
      <c r="Q330" s="298"/>
      <c r="R330" s="307"/>
      <c r="S330" s="307"/>
      <c r="T330" s="307"/>
      <c r="U330" s="307"/>
      <c r="V330" s="380"/>
    </row>
    <row r="331" spans="1:22">
      <c r="A331" s="166"/>
      <c r="B331" s="167"/>
      <c r="C331" s="168"/>
      <c r="D331" s="169"/>
      <c r="E331" s="169"/>
      <c r="F331" s="169"/>
      <c r="G331" s="169"/>
      <c r="H331" s="169"/>
      <c r="I331" s="169"/>
      <c r="J331" s="170"/>
      <c r="K331" s="170"/>
      <c r="L331" s="169"/>
      <c r="M331" s="169"/>
      <c r="N331" s="169"/>
      <c r="O331" s="170"/>
      <c r="P331" s="170"/>
      <c r="Q331" s="169"/>
      <c r="R331" s="170"/>
      <c r="S331" s="170"/>
      <c r="T331" s="170"/>
      <c r="U331" s="170"/>
      <c r="V331" s="380"/>
    </row>
    <row r="332" spans="1:22">
      <c r="A332" s="166"/>
      <c r="B332" s="199"/>
      <c r="C332" s="200"/>
      <c r="D332" s="201"/>
      <c r="E332" s="201"/>
      <c r="F332" s="201"/>
      <c r="G332" s="201"/>
      <c r="H332" s="201"/>
      <c r="I332" s="201"/>
      <c r="J332" s="202"/>
      <c r="K332" s="202"/>
      <c r="L332" s="201"/>
      <c r="M332" s="201"/>
      <c r="N332" s="201"/>
      <c r="O332" s="202"/>
      <c r="P332" s="202"/>
      <c r="Q332" s="201"/>
      <c r="R332" s="202"/>
      <c r="S332" s="202"/>
      <c r="T332" s="202"/>
      <c r="U332" s="202"/>
      <c r="V332" s="380"/>
    </row>
    <row r="333" spans="1:22">
      <c r="A333" s="166"/>
      <c r="B333" s="246"/>
      <c r="C333" s="297"/>
      <c r="D333" s="298"/>
      <c r="E333" s="298"/>
      <c r="F333" s="298"/>
      <c r="G333" s="298"/>
      <c r="H333" s="298"/>
      <c r="I333" s="298"/>
      <c r="J333" s="307"/>
      <c r="K333" s="307"/>
      <c r="L333" s="298"/>
      <c r="M333" s="298"/>
      <c r="N333" s="298"/>
      <c r="O333" s="307"/>
      <c r="P333" s="165"/>
      <c r="Q333" s="298"/>
      <c r="R333" s="307"/>
      <c r="S333" s="307"/>
      <c r="T333" s="307"/>
      <c r="U333" s="307"/>
      <c r="V333" s="380"/>
    </row>
    <row r="334" spans="1:22">
      <c r="A334" s="166"/>
      <c r="B334" s="167"/>
      <c r="C334" s="168"/>
      <c r="D334" s="169"/>
      <c r="E334" s="169"/>
      <c r="F334" s="169"/>
      <c r="G334" s="169"/>
      <c r="H334" s="169"/>
      <c r="I334" s="169"/>
      <c r="J334" s="170"/>
      <c r="K334" s="170"/>
      <c r="L334" s="169"/>
      <c r="M334" s="169"/>
      <c r="N334" s="169"/>
      <c r="O334" s="170"/>
      <c r="P334" s="170"/>
      <c r="Q334" s="169"/>
      <c r="R334" s="170"/>
      <c r="S334" s="170"/>
      <c r="T334" s="170"/>
      <c r="U334" s="170"/>
      <c r="V334" s="380"/>
    </row>
    <row r="335" spans="1:22">
      <c r="A335" s="166"/>
      <c r="B335" s="199"/>
      <c r="C335" s="200"/>
      <c r="D335" s="201"/>
      <c r="E335" s="201"/>
      <c r="F335" s="201"/>
      <c r="G335" s="201"/>
      <c r="H335" s="201"/>
      <c r="I335" s="201"/>
      <c r="J335" s="202"/>
      <c r="K335" s="202"/>
      <c r="L335" s="201"/>
      <c r="M335" s="201"/>
      <c r="N335" s="201"/>
      <c r="O335" s="202"/>
      <c r="P335" s="202"/>
      <c r="Q335" s="201"/>
      <c r="R335" s="202"/>
      <c r="S335" s="202"/>
      <c r="T335" s="202"/>
      <c r="U335" s="202"/>
      <c r="V335" s="380"/>
    </row>
    <row r="336" spans="1:22">
      <c r="A336" s="166"/>
      <c r="B336" s="246"/>
      <c r="C336" s="297"/>
      <c r="D336" s="298"/>
      <c r="E336" s="298"/>
      <c r="F336" s="298"/>
      <c r="G336" s="298"/>
      <c r="H336" s="298"/>
      <c r="I336" s="298"/>
      <c r="J336" s="307"/>
      <c r="K336" s="307"/>
      <c r="L336" s="298"/>
      <c r="M336" s="298"/>
      <c r="N336" s="298"/>
      <c r="O336" s="307"/>
      <c r="P336" s="165"/>
      <c r="Q336" s="298"/>
      <c r="R336" s="307"/>
      <c r="S336" s="307"/>
      <c r="T336" s="307"/>
      <c r="U336" s="307"/>
      <c r="V336" s="380"/>
    </row>
    <row r="337" spans="1:22">
      <c r="A337" s="166"/>
      <c r="B337" s="167"/>
      <c r="C337" s="168"/>
      <c r="D337" s="169"/>
      <c r="E337" s="169"/>
      <c r="F337" s="169"/>
      <c r="G337" s="169"/>
      <c r="H337" s="169"/>
      <c r="I337" s="169"/>
      <c r="J337" s="170"/>
      <c r="K337" s="170"/>
      <c r="L337" s="169"/>
      <c r="M337" s="169"/>
      <c r="N337" s="169"/>
      <c r="O337" s="170"/>
      <c r="P337" s="170"/>
      <c r="Q337" s="169"/>
      <c r="R337" s="170"/>
      <c r="S337" s="170"/>
      <c r="T337" s="170"/>
      <c r="U337" s="170"/>
      <c r="V337" s="380"/>
    </row>
    <row r="338" spans="1:22">
      <c r="A338" s="166"/>
      <c r="B338" s="199"/>
      <c r="C338" s="200"/>
      <c r="D338" s="201"/>
      <c r="E338" s="201"/>
      <c r="F338" s="201"/>
      <c r="G338" s="201"/>
      <c r="H338" s="201"/>
      <c r="I338" s="201"/>
      <c r="J338" s="202"/>
      <c r="K338" s="202"/>
      <c r="L338" s="201"/>
      <c r="M338" s="201"/>
      <c r="N338" s="201"/>
      <c r="O338" s="202"/>
      <c r="P338" s="202"/>
      <c r="Q338" s="201"/>
      <c r="R338" s="202"/>
      <c r="S338" s="202"/>
      <c r="T338" s="202"/>
      <c r="U338" s="202"/>
      <c r="V338" s="380"/>
    </row>
    <row r="339" spans="1:22">
      <c r="A339" s="166"/>
      <c r="B339" s="246"/>
      <c r="C339" s="297"/>
      <c r="D339" s="298"/>
      <c r="E339" s="298"/>
      <c r="F339" s="298"/>
      <c r="G339" s="298"/>
      <c r="H339" s="298"/>
      <c r="I339" s="298"/>
      <c r="J339" s="307"/>
      <c r="K339" s="307"/>
      <c r="L339" s="298"/>
      <c r="M339" s="298"/>
      <c r="N339" s="298"/>
      <c r="O339" s="307"/>
      <c r="P339" s="165"/>
      <c r="Q339" s="298"/>
      <c r="R339" s="307"/>
      <c r="S339" s="307"/>
      <c r="T339" s="307"/>
      <c r="U339" s="307"/>
      <c r="V339" s="380"/>
    </row>
    <row r="340" spans="1:22">
      <c r="A340" s="166"/>
      <c r="B340" s="167"/>
      <c r="C340" s="168"/>
      <c r="D340" s="169"/>
      <c r="E340" s="169"/>
      <c r="F340" s="659"/>
      <c r="G340" s="169"/>
      <c r="H340" s="169"/>
      <c r="I340" s="169"/>
      <c r="J340" s="170"/>
      <c r="K340" s="170"/>
      <c r="L340" s="169"/>
      <c r="M340" s="169"/>
      <c r="N340" s="169"/>
      <c r="O340" s="170"/>
      <c r="P340" s="170"/>
      <c r="Q340" s="169"/>
      <c r="R340" s="170"/>
      <c r="S340" s="170"/>
      <c r="T340" s="170"/>
      <c r="U340" s="170"/>
      <c r="V340" s="380"/>
    </row>
    <row r="341" spans="1:22">
      <c r="A341" s="166"/>
      <c r="B341" s="199"/>
      <c r="C341" s="200"/>
      <c r="D341" s="201"/>
      <c r="E341" s="201"/>
      <c r="F341" s="201"/>
      <c r="G341" s="201"/>
      <c r="H341" s="201"/>
      <c r="I341" s="201"/>
      <c r="J341" s="202"/>
      <c r="K341" s="202"/>
      <c r="L341" s="201"/>
      <c r="M341" s="201"/>
      <c r="N341" s="201"/>
      <c r="O341" s="202"/>
      <c r="P341" s="202"/>
      <c r="Q341" s="201"/>
      <c r="R341" s="202"/>
      <c r="S341" s="202"/>
      <c r="T341" s="202"/>
      <c r="U341" s="202"/>
      <c r="V341" s="380"/>
    </row>
    <row r="342" spans="1:22">
      <c r="A342" s="166"/>
      <c r="B342" s="246"/>
      <c r="C342" s="297"/>
      <c r="D342" s="298"/>
      <c r="E342" s="298"/>
      <c r="F342" s="298"/>
      <c r="G342" s="298"/>
      <c r="H342" s="298"/>
      <c r="I342" s="298"/>
      <c r="J342" s="307"/>
      <c r="K342" s="307"/>
      <c r="L342" s="298"/>
      <c r="M342" s="298"/>
      <c r="N342" s="298"/>
      <c r="O342" s="307"/>
      <c r="P342" s="165"/>
      <c r="Q342" s="298"/>
      <c r="R342" s="307"/>
      <c r="S342" s="307"/>
      <c r="T342" s="307"/>
      <c r="U342" s="307"/>
      <c r="V342" s="380"/>
    </row>
    <row r="343" spans="1:22">
      <c r="A343" s="166"/>
      <c r="B343" s="167"/>
      <c r="C343" s="168"/>
      <c r="D343" s="169"/>
      <c r="E343" s="169"/>
      <c r="F343" s="169"/>
      <c r="G343" s="169"/>
      <c r="H343" s="169"/>
      <c r="I343" s="169"/>
      <c r="J343" s="170"/>
      <c r="K343" s="170"/>
      <c r="L343" s="169"/>
      <c r="M343" s="169"/>
      <c r="N343" s="169"/>
      <c r="O343" s="170"/>
      <c r="P343" s="170"/>
      <c r="Q343" s="169"/>
      <c r="R343" s="170"/>
      <c r="S343" s="170"/>
      <c r="T343" s="170"/>
      <c r="U343" s="170"/>
      <c r="V343" s="380"/>
    </row>
    <row r="344" spans="1:22">
      <c r="A344" s="166"/>
      <c r="B344" s="199"/>
      <c r="C344" s="200"/>
      <c r="D344" s="201"/>
      <c r="E344" s="201"/>
      <c r="F344" s="201"/>
      <c r="G344" s="201"/>
      <c r="H344" s="201"/>
      <c r="I344" s="201"/>
      <c r="J344" s="202"/>
      <c r="K344" s="202"/>
      <c r="L344" s="201"/>
      <c r="M344" s="201"/>
      <c r="N344" s="201"/>
      <c r="O344" s="202"/>
      <c r="P344" s="202"/>
      <c r="Q344" s="201"/>
      <c r="R344" s="202"/>
      <c r="S344" s="202"/>
      <c r="T344" s="202"/>
      <c r="U344" s="202"/>
      <c r="V344" s="380"/>
    </row>
    <row r="345" spans="1:22">
      <c r="A345" s="166"/>
      <c r="B345" s="246"/>
      <c r="C345" s="297"/>
      <c r="D345" s="298"/>
      <c r="E345" s="298"/>
      <c r="F345" s="298"/>
      <c r="G345" s="298"/>
      <c r="H345" s="298"/>
      <c r="I345" s="298"/>
      <c r="J345" s="307"/>
      <c r="K345" s="307"/>
      <c r="L345" s="298"/>
      <c r="M345" s="298"/>
      <c r="N345" s="298"/>
      <c r="O345" s="307"/>
      <c r="P345" s="165"/>
      <c r="Q345" s="298"/>
      <c r="R345" s="307"/>
      <c r="S345" s="307"/>
      <c r="T345" s="307"/>
      <c r="U345" s="307"/>
      <c r="V345" s="380"/>
    </row>
    <row r="346" spans="1:22">
      <c r="A346" s="166"/>
      <c r="B346" s="167"/>
      <c r="C346" s="168"/>
      <c r="D346" s="169"/>
      <c r="E346" s="169"/>
      <c r="F346" s="169"/>
      <c r="G346" s="169"/>
      <c r="H346" s="169"/>
      <c r="I346" s="169"/>
      <c r="J346" s="170"/>
      <c r="K346" s="170"/>
      <c r="L346" s="169"/>
      <c r="M346" s="169"/>
      <c r="N346" s="169"/>
      <c r="O346" s="170"/>
      <c r="P346" s="170"/>
      <c r="Q346" s="169"/>
      <c r="R346" s="170"/>
      <c r="S346" s="170"/>
      <c r="T346" s="170"/>
      <c r="U346" s="170"/>
      <c r="V346" s="380"/>
    </row>
    <row r="347" spans="1:22" ht="15.75" thickBot="1">
      <c r="A347" s="166"/>
      <c r="B347" s="303"/>
      <c r="C347" s="304"/>
      <c r="D347" s="305"/>
      <c r="E347" s="305"/>
      <c r="F347" s="305"/>
      <c r="G347" s="305"/>
      <c r="H347" s="305"/>
      <c r="I347" s="305"/>
      <c r="J347" s="308"/>
      <c r="K347" s="308"/>
      <c r="L347" s="305"/>
      <c r="M347" s="305"/>
      <c r="N347" s="305"/>
      <c r="O347" s="308"/>
      <c r="P347" s="308"/>
      <c r="Q347" s="305"/>
      <c r="R347" s="308"/>
      <c r="S347" s="308"/>
      <c r="T347" s="308"/>
      <c r="U347" s="308"/>
      <c r="V347" s="380"/>
    </row>
    <row r="348" spans="1:22" ht="15.75" thickTop="1">
      <c r="A348" s="166"/>
      <c r="B348" s="167"/>
      <c r="C348" s="168"/>
      <c r="D348" s="169"/>
      <c r="E348" s="169"/>
      <c r="F348" s="169"/>
      <c r="G348" s="169"/>
      <c r="H348" s="169"/>
      <c r="I348" s="169"/>
      <c r="J348" s="170"/>
      <c r="K348" s="170"/>
      <c r="L348" s="169"/>
      <c r="M348" s="169"/>
      <c r="N348" s="169"/>
      <c r="O348" s="170"/>
      <c r="P348" s="170"/>
      <c r="Q348" s="169"/>
      <c r="R348" s="170"/>
      <c r="S348" s="170"/>
      <c r="T348" s="170"/>
      <c r="U348" s="170"/>
      <c r="V348" s="380"/>
    </row>
    <row r="349" spans="1:22">
      <c r="A349" s="166"/>
      <c r="B349" s="167"/>
      <c r="C349" s="168"/>
      <c r="D349" s="169"/>
      <c r="E349" s="169"/>
      <c r="F349" s="169"/>
      <c r="G349" s="169"/>
      <c r="H349" s="169"/>
      <c r="I349" s="169"/>
      <c r="J349" s="170"/>
      <c r="K349" s="170"/>
      <c r="L349" s="169"/>
      <c r="M349" s="169"/>
      <c r="N349" s="169"/>
      <c r="O349" s="170"/>
      <c r="P349" s="170"/>
      <c r="Q349" s="169"/>
      <c r="R349" s="170"/>
      <c r="S349" s="170"/>
      <c r="T349" s="170"/>
      <c r="U349" s="170"/>
      <c r="V349" s="380"/>
    </row>
    <row r="350" spans="1:22">
      <c r="A350" s="166"/>
      <c r="B350" s="199"/>
      <c r="C350" s="200"/>
      <c r="D350" s="201"/>
      <c r="E350" s="201"/>
      <c r="F350" s="201"/>
      <c r="G350" s="201"/>
      <c r="H350" s="656"/>
      <c r="I350" s="201"/>
      <c r="J350" s="202"/>
      <c r="K350" s="202"/>
      <c r="L350" s="201"/>
      <c r="M350" s="201"/>
      <c r="N350" s="201"/>
      <c r="O350" s="202"/>
      <c r="P350" s="202"/>
      <c r="Q350" s="201"/>
      <c r="R350" s="202"/>
      <c r="S350" s="202"/>
      <c r="T350" s="202"/>
      <c r="U350" s="202"/>
      <c r="V350" s="380"/>
    </row>
    <row r="351" spans="1:22">
      <c r="A351" s="166"/>
      <c r="B351" s="246"/>
      <c r="C351" s="297"/>
      <c r="D351" s="298"/>
      <c r="E351" s="298"/>
      <c r="F351" s="298"/>
      <c r="G351" s="298"/>
      <c r="H351" s="298"/>
      <c r="I351" s="298"/>
      <c r="J351" s="307"/>
      <c r="K351" s="307"/>
      <c r="L351" s="298"/>
      <c r="M351" s="298"/>
      <c r="N351" s="298"/>
      <c r="O351" s="307"/>
      <c r="P351" s="165"/>
      <c r="Q351" s="298"/>
      <c r="R351" s="307"/>
      <c r="S351" s="307"/>
      <c r="T351" s="307"/>
      <c r="U351" s="307"/>
      <c r="V351" s="380"/>
    </row>
    <row r="352" spans="1:22">
      <c r="A352" s="166"/>
      <c r="B352" s="167"/>
      <c r="C352" s="168"/>
      <c r="D352" s="169"/>
      <c r="E352" s="169"/>
      <c r="F352" s="169"/>
      <c r="G352" s="169"/>
      <c r="H352" s="659"/>
      <c r="I352" s="169"/>
      <c r="J352" s="170"/>
      <c r="K352" s="170"/>
      <c r="L352" s="169"/>
      <c r="M352" s="169"/>
      <c r="N352" s="169"/>
      <c r="O352" s="170"/>
      <c r="P352" s="170"/>
      <c r="Q352" s="169"/>
      <c r="R352" s="170"/>
      <c r="S352" s="170"/>
      <c r="T352" s="170"/>
      <c r="U352" s="170"/>
      <c r="V352" s="380"/>
    </row>
    <row r="353" spans="1:22">
      <c r="A353" s="166"/>
      <c r="B353" s="199"/>
      <c r="C353" s="200"/>
      <c r="D353" s="201"/>
      <c r="E353" s="201"/>
      <c r="F353" s="656"/>
      <c r="G353" s="201"/>
      <c r="H353" s="656"/>
      <c r="I353" s="201"/>
      <c r="J353" s="202"/>
      <c r="K353" s="202"/>
      <c r="L353" s="201"/>
      <c r="M353" s="201"/>
      <c r="N353" s="201"/>
      <c r="O353" s="202"/>
      <c r="P353" s="202"/>
      <c r="Q353" s="201"/>
      <c r="R353" s="202"/>
      <c r="S353" s="202"/>
      <c r="T353" s="202"/>
      <c r="U353" s="202"/>
      <c r="V353" s="380"/>
    </row>
    <row r="354" spans="1:22">
      <c r="A354" s="166"/>
      <c r="B354" s="246"/>
      <c r="C354" s="297"/>
      <c r="D354" s="298"/>
      <c r="E354" s="298"/>
      <c r="F354" s="298"/>
      <c r="G354" s="298"/>
      <c r="H354" s="298"/>
      <c r="I354" s="298"/>
      <c r="J354" s="307"/>
      <c r="K354" s="307"/>
      <c r="L354" s="298"/>
      <c r="M354" s="298"/>
      <c r="N354" s="298"/>
      <c r="O354" s="307"/>
      <c r="P354" s="165"/>
      <c r="Q354" s="298"/>
      <c r="R354" s="307"/>
      <c r="S354" s="307"/>
      <c r="T354" s="307"/>
      <c r="U354" s="307"/>
      <c r="V354" s="380"/>
    </row>
    <row r="355" spans="1:22">
      <c r="A355" s="166"/>
      <c r="B355" s="167"/>
      <c r="C355" s="168"/>
      <c r="D355" s="169"/>
      <c r="E355" s="169"/>
      <c r="F355" s="169"/>
      <c r="G355" s="169"/>
      <c r="H355" s="169"/>
      <c r="I355" s="169"/>
      <c r="J355" s="170"/>
      <c r="K355" s="170"/>
      <c r="L355" s="169"/>
      <c r="M355" s="169"/>
      <c r="N355" s="169"/>
      <c r="O355" s="170"/>
      <c r="P355" s="170"/>
      <c r="Q355" s="169"/>
      <c r="R355" s="170"/>
      <c r="S355" s="170"/>
      <c r="T355" s="170"/>
      <c r="U355" s="170"/>
      <c r="V355" s="380"/>
    </row>
    <row r="356" spans="1:22">
      <c r="A356" s="166"/>
      <c r="B356" s="199"/>
      <c r="C356" s="200"/>
      <c r="D356" s="201"/>
      <c r="E356" s="201"/>
      <c r="F356" s="656"/>
      <c r="G356" s="201"/>
      <c r="H356" s="656"/>
      <c r="I356" s="201"/>
      <c r="J356" s="202"/>
      <c r="K356" s="202"/>
      <c r="L356" s="201"/>
      <c r="M356" s="201"/>
      <c r="N356" s="201"/>
      <c r="O356" s="202"/>
      <c r="P356" s="202"/>
      <c r="Q356" s="201"/>
      <c r="R356" s="202"/>
      <c r="S356" s="202"/>
      <c r="T356" s="202"/>
      <c r="U356" s="202"/>
      <c r="V356" s="380"/>
    </row>
    <row r="357" spans="1:22">
      <c r="A357" s="166"/>
      <c r="B357" s="246"/>
      <c r="C357" s="297"/>
      <c r="D357" s="298"/>
      <c r="E357" s="298"/>
      <c r="F357" s="298"/>
      <c r="G357" s="298"/>
      <c r="H357" s="298"/>
      <c r="I357" s="298"/>
      <c r="J357" s="307"/>
      <c r="K357" s="307"/>
      <c r="L357" s="298"/>
      <c r="M357" s="298"/>
      <c r="N357" s="298"/>
      <c r="O357" s="307"/>
      <c r="P357" s="165"/>
      <c r="Q357" s="298"/>
      <c r="R357" s="307"/>
      <c r="S357" s="307"/>
      <c r="T357" s="307"/>
      <c r="U357" s="307"/>
      <c r="V357" s="380"/>
    </row>
    <row r="358" spans="1:22">
      <c r="A358" s="166"/>
      <c r="B358" s="167"/>
      <c r="C358" s="168"/>
      <c r="D358" s="169"/>
      <c r="E358" s="169"/>
      <c r="F358" s="169"/>
      <c r="G358" s="169"/>
      <c r="H358" s="169"/>
      <c r="I358" s="169"/>
      <c r="J358" s="170"/>
      <c r="K358" s="170"/>
      <c r="L358" s="169"/>
      <c r="M358" s="169"/>
      <c r="N358" s="169"/>
      <c r="O358" s="170"/>
      <c r="P358" s="170"/>
      <c r="Q358" s="169"/>
      <c r="R358" s="170"/>
      <c r="S358" s="170"/>
      <c r="T358" s="170"/>
      <c r="U358" s="170"/>
      <c r="V358" s="380"/>
    </row>
    <row r="359" spans="1:22">
      <c r="A359" s="166"/>
      <c r="B359" s="199"/>
      <c r="C359" s="200"/>
      <c r="D359" s="201"/>
      <c r="E359" s="201"/>
      <c r="F359" s="201"/>
      <c r="G359" s="201"/>
      <c r="H359" s="201"/>
      <c r="I359" s="201"/>
      <c r="J359" s="202"/>
      <c r="K359" s="202"/>
      <c r="L359" s="201"/>
      <c r="M359" s="201"/>
      <c r="N359" s="201"/>
      <c r="O359" s="202"/>
      <c r="P359" s="202"/>
      <c r="Q359" s="201"/>
      <c r="R359" s="202"/>
      <c r="S359" s="202"/>
      <c r="T359" s="202"/>
      <c r="U359" s="202"/>
      <c r="V359" s="380"/>
    </row>
    <row r="360" spans="1:22">
      <c r="A360" s="166"/>
      <c r="B360" s="246"/>
      <c r="C360" s="297"/>
      <c r="D360" s="298"/>
      <c r="E360" s="298"/>
      <c r="F360" s="298"/>
      <c r="G360" s="298"/>
      <c r="H360" s="298"/>
      <c r="I360" s="298"/>
      <c r="J360" s="307"/>
      <c r="K360" s="307"/>
      <c r="L360" s="298"/>
      <c r="M360" s="298"/>
      <c r="N360" s="298"/>
      <c r="O360" s="307"/>
      <c r="P360" s="165"/>
      <c r="Q360" s="298"/>
      <c r="R360" s="307"/>
      <c r="S360" s="307"/>
      <c r="T360" s="307"/>
      <c r="U360" s="307"/>
      <c r="V360" s="380"/>
    </row>
    <row r="361" spans="1:22">
      <c r="A361" s="166"/>
      <c r="B361" s="167"/>
      <c r="C361" s="168"/>
      <c r="D361" s="169"/>
      <c r="E361" s="169"/>
      <c r="F361" s="169"/>
      <c r="G361" s="169"/>
      <c r="H361" s="169"/>
      <c r="I361" s="169"/>
      <c r="J361" s="170"/>
      <c r="K361" s="170"/>
      <c r="L361" s="169"/>
      <c r="M361" s="169"/>
      <c r="N361" s="169"/>
      <c r="O361" s="170"/>
      <c r="P361" s="170"/>
      <c r="Q361" s="169"/>
      <c r="R361" s="170"/>
      <c r="S361" s="170"/>
      <c r="T361" s="170"/>
      <c r="U361" s="170"/>
      <c r="V361" s="380"/>
    </row>
    <row r="362" spans="1:22">
      <c r="A362" s="166"/>
      <c r="B362" s="199"/>
      <c r="C362" s="200"/>
      <c r="D362" s="201"/>
      <c r="E362" s="201"/>
      <c r="F362" s="201"/>
      <c r="G362" s="201"/>
      <c r="H362" s="201"/>
      <c r="I362" s="201"/>
      <c r="J362" s="202"/>
      <c r="K362" s="202"/>
      <c r="L362" s="201"/>
      <c r="M362" s="201"/>
      <c r="N362" s="201"/>
      <c r="O362" s="202"/>
      <c r="P362" s="202"/>
      <c r="Q362" s="201"/>
      <c r="R362" s="202"/>
      <c r="S362" s="202"/>
      <c r="T362" s="202"/>
      <c r="U362" s="202"/>
      <c r="V362" s="380"/>
    </row>
    <row r="363" spans="1:22">
      <c r="A363" s="166"/>
      <c r="B363" s="246"/>
      <c r="C363" s="297"/>
      <c r="D363" s="298"/>
      <c r="E363" s="298"/>
      <c r="F363" s="298"/>
      <c r="G363" s="298"/>
      <c r="H363" s="298"/>
      <c r="I363" s="298"/>
      <c r="J363" s="307"/>
      <c r="K363" s="307"/>
      <c r="L363" s="298"/>
      <c r="M363" s="298"/>
      <c r="N363" s="298"/>
      <c r="O363" s="307"/>
      <c r="P363" s="165"/>
      <c r="Q363" s="298"/>
      <c r="R363" s="307"/>
      <c r="S363" s="307"/>
      <c r="T363" s="307"/>
      <c r="U363" s="307"/>
      <c r="V363" s="380"/>
    </row>
    <row r="364" spans="1:22">
      <c r="A364" s="166"/>
      <c r="B364" s="167"/>
      <c r="C364" s="168"/>
      <c r="D364" s="169"/>
      <c r="E364" s="169"/>
      <c r="F364" s="169"/>
      <c r="G364" s="169"/>
      <c r="H364" s="169"/>
      <c r="I364" s="169"/>
      <c r="J364" s="170"/>
      <c r="K364" s="170"/>
      <c r="L364" s="169"/>
      <c r="M364" s="169"/>
      <c r="N364" s="169"/>
      <c r="O364" s="170"/>
      <c r="P364" s="170"/>
      <c r="Q364" s="169"/>
      <c r="R364" s="170"/>
      <c r="S364" s="170"/>
      <c r="T364" s="170"/>
      <c r="U364" s="170"/>
      <c r="V364" s="380"/>
    </row>
    <row r="365" spans="1:22" ht="15.75" thickBot="1">
      <c r="A365" s="310"/>
      <c r="B365" s="311"/>
      <c r="C365" s="312"/>
      <c r="D365" s="313"/>
      <c r="E365" s="313"/>
      <c r="F365" s="313"/>
      <c r="G365" s="313"/>
      <c r="H365" s="313"/>
      <c r="I365" s="313"/>
      <c r="J365" s="314"/>
      <c r="K365" s="314"/>
      <c r="L365" s="313"/>
      <c r="M365" s="313"/>
      <c r="N365" s="313"/>
      <c r="O365" s="314"/>
      <c r="P365" s="314"/>
      <c r="Q365" s="313"/>
      <c r="R365" s="314"/>
      <c r="S365" s="314"/>
      <c r="T365" s="314"/>
      <c r="U365" s="314"/>
      <c r="V365" s="380"/>
    </row>
    <row r="366" spans="1:22">
      <c r="A366" s="296"/>
      <c r="B366" s="246"/>
      <c r="C366" s="297"/>
      <c r="D366" s="298"/>
      <c r="E366" s="298"/>
      <c r="F366" s="298"/>
      <c r="G366" s="298"/>
      <c r="H366" s="298"/>
      <c r="I366" s="298"/>
      <c r="J366" s="307"/>
      <c r="K366" s="307"/>
      <c r="L366" s="298"/>
      <c r="M366" s="298"/>
      <c r="N366" s="298"/>
      <c r="O366" s="307"/>
      <c r="P366" s="165"/>
      <c r="Q366" s="298"/>
      <c r="R366" s="307"/>
      <c r="S366" s="307"/>
      <c r="T366" s="307"/>
      <c r="U366" s="307"/>
      <c r="V366" s="380"/>
    </row>
    <row r="367" spans="1:22">
      <c r="A367" s="166"/>
      <c r="B367" s="167"/>
      <c r="C367" s="168"/>
      <c r="D367" s="169"/>
      <c r="E367" s="169"/>
      <c r="F367" s="169"/>
      <c r="G367" s="169"/>
      <c r="H367" s="169"/>
      <c r="I367" s="169"/>
      <c r="J367" s="170"/>
      <c r="K367" s="170"/>
      <c r="L367" s="169"/>
      <c r="M367" s="169"/>
      <c r="N367" s="169"/>
      <c r="O367" s="170"/>
      <c r="P367" s="170"/>
      <c r="Q367" s="169"/>
      <c r="R367" s="170"/>
      <c r="S367" s="170"/>
      <c r="T367" s="170"/>
      <c r="U367" s="170"/>
      <c r="V367" s="380"/>
    </row>
    <row r="368" spans="1:22">
      <c r="A368" s="166"/>
      <c r="B368" s="199"/>
      <c r="C368" s="200"/>
      <c r="D368" s="201"/>
      <c r="E368" s="201"/>
      <c r="F368" s="201"/>
      <c r="G368" s="201"/>
      <c r="H368" s="201"/>
      <c r="I368" s="201"/>
      <c r="J368" s="202"/>
      <c r="K368" s="202"/>
      <c r="L368" s="201"/>
      <c r="M368" s="201"/>
      <c r="N368" s="201"/>
      <c r="O368" s="202"/>
      <c r="P368" s="202"/>
      <c r="Q368" s="201"/>
      <c r="R368" s="202"/>
      <c r="S368" s="202"/>
      <c r="T368" s="202"/>
      <c r="U368" s="202"/>
      <c r="V368" s="380"/>
    </row>
    <row r="369" spans="1:22">
      <c r="A369" s="166"/>
      <c r="B369" s="246"/>
      <c r="C369" s="297"/>
      <c r="D369" s="298"/>
      <c r="E369" s="298"/>
      <c r="F369" s="298"/>
      <c r="G369" s="298"/>
      <c r="H369" s="298"/>
      <c r="I369" s="298"/>
      <c r="J369" s="307"/>
      <c r="K369" s="307"/>
      <c r="L369" s="298"/>
      <c r="M369" s="298"/>
      <c r="N369" s="298"/>
      <c r="O369" s="307"/>
      <c r="P369" s="165"/>
      <c r="Q369" s="298"/>
      <c r="R369" s="307"/>
      <c r="S369" s="307"/>
      <c r="T369" s="307"/>
      <c r="U369" s="307"/>
      <c r="V369" s="380"/>
    </row>
    <row r="370" spans="1:22">
      <c r="A370" s="166"/>
      <c r="B370" s="167"/>
      <c r="C370" s="168"/>
      <c r="D370" s="169"/>
      <c r="E370" s="169"/>
      <c r="F370" s="169"/>
      <c r="G370" s="169"/>
      <c r="H370" s="169"/>
      <c r="I370" s="169"/>
      <c r="J370" s="170"/>
      <c r="K370" s="170"/>
      <c r="L370" s="169"/>
      <c r="M370" s="169"/>
      <c r="N370" s="169"/>
      <c r="O370" s="170"/>
      <c r="P370" s="170"/>
      <c r="Q370" s="169"/>
      <c r="R370" s="170"/>
      <c r="S370" s="170"/>
      <c r="T370" s="170"/>
      <c r="U370" s="170"/>
      <c r="V370" s="380"/>
    </row>
    <row r="371" spans="1:22">
      <c r="A371" s="166"/>
      <c r="B371" s="199"/>
      <c r="C371" s="200"/>
      <c r="D371" s="201"/>
      <c r="E371" s="201"/>
      <c r="F371" s="201"/>
      <c r="G371" s="201"/>
      <c r="H371" s="201"/>
      <c r="I371" s="201"/>
      <c r="J371" s="202"/>
      <c r="K371" s="202"/>
      <c r="L371" s="201"/>
      <c r="M371" s="201"/>
      <c r="N371" s="201"/>
      <c r="O371" s="202"/>
      <c r="P371" s="202"/>
      <c r="Q371" s="201"/>
      <c r="R371" s="202"/>
      <c r="S371" s="202"/>
      <c r="T371" s="202"/>
      <c r="U371" s="202"/>
      <c r="V371" s="380"/>
    </row>
    <row r="372" spans="1:22">
      <c r="A372" s="166"/>
      <c r="B372" s="246"/>
      <c r="C372" s="297"/>
      <c r="D372" s="298"/>
      <c r="E372" s="298"/>
      <c r="F372" s="298"/>
      <c r="G372" s="298"/>
      <c r="H372" s="298"/>
      <c r="I372" s="298"/>
      <c r="J372" s="307"/>
      <c r="K372" s="307"/>
      <c r="L372" s="298"/>
      <c r="M372" s="298"/>
      <c r="N372" s="298"/>
      <c r="O372" s="307"/>
      <c r="P372" s="165"/>
      <c r="Q372" s="298"/>
      <c r="R372" s="307"/>
      <c r="S372" s="307"/>
      <c r="T372" s="307"/>
      <c r="U372" s="307"/>
      <c r="V372" s="380"/>
    </row>
    <row r="373" spans="1:22">
      <c r="A373" s="166"/>
      <c r="B373" s="167"/>
      <c r="C373" s="168"/>
      <c r="D373" s="169"/>
      <c r="E373" s="169"/>
      <c r="F373" s="169"/>
      <c r="G373" s="169"/>
      <c r="H373" s="169"/>
      <c r="I373" s="169"/>
      <c r="J373" s="170"/>
      <c r="K373" s="170"/>
      <c r="L373" s="169"/>
      <c r="M373" s="169"/>
      <c r="N373" s="169"/>
      <c r="O373" s="170"/>
      <c r="P373" s="170"/>
      <c r="Q373" s="169"/>
      <c r="R373" s="170"/>
      <c r="S373" s="170"/>
      <c r="T373" s="170"/>
      <c r="U373" s="170"/>
      <c r="V373" s="380"/>
    </row>
    <row r="374" spans="1:22">
      <c r="A374" s="166"/>
      <c r="B374" s="199"/>
      <c r="C374" s="200"/>
      <c r="D374" s="201"/>
      <c r="E374" s="201"/>
      <c r="F374" s="201"/>
      <c r="G374" s="201"/>
      <c r="H374" s="201"/>
      <c r="I374" s="201"/>
      <c r="J374" s="202"/>
      <c r="K374" s="202"/>
      <c r="L374" s="201"/>
      <c r="M374" s="201"/>
      <c r="N374" s="201"/>
      <c r="O374" s="202"/>
      <c r="P374" s="202"/>
      <c r="Q374" s="201"/>
      <c r="R374" s="202"/>
      <c r="S374" s="202"/>
      <c r="T374" s="202"/>
      <c r="U374" s="202"/>
      <c r="V374" s="380"/>
    </row>
    <row r="375" spans="1:22">
      <c r="A375" s="166"/>
      <c r="B375" s="246"/>
      <c r="C375" s="297"/>
      <c r="D375" s="298"/>
      <c r="E375" s="298"/>
      <c r="F375" s="298"/>
      <c r="G375" s="298"/>
      <c r="H375" s="298"/>
      <c r="I375" s="298"/>
      <c r="J375" s="307"/>
      <c r="K375" s="307"/>
      <c r="L375" s="298"/>
      <c r="M375" s="298"/>
      <c r="N375" s="298"/>
      <c r="O375" s="307"/>
      <c r="P375" s="165"/>
      <c r="Q375" s="298"/>
      <c r="R375" s="307"/>
      <c r="S375" s="307"/>
      <c r="T375" s="307"/>
      <c r="U375" s="307"/>
      <c r="V375" s="380"/>
    </row>
    <row r="376" spans="1:22">
      <c r="A376" s="166"/>
      <c r="B376" s="167"/>
      <c r="C376" s="168"/>
      <c r="D376" s="169"/>
      <c r="E376" s="169"/>
      <c r="F376" s="169"/>
      <c r="G376" s="169"/>
      <c r="H376" s="169"/>
      <c r="I376" s="169"/>
      <c r="J376" s="170"/>
      <c r="K376" s="170"/>
      <c r="L376" s="169"/>
      <c r="M376" s="169"/>
      <c r="N376" s="169"/>
      <c r="O376" s="170"/>
      <c r="P376" s="170"/>
      <c r="Q376" s="169"/>
      <c r="R376" s="170"/>
      <c r="S376" s="170"/>
      <c r="T376" s="170"/>
      <c r="U376" s="170"/>
      <c r="V376" s="380"/>
    </row>
    <row r="377" spans="1:22">
      <c r="A377" s="166"/>
      <c r="B377" s="199"/>
      <c r="C377" s="200"/>
      <c r="D377" s="201"/>
      <c r="E377" s="201"/>
      <c r="F377" s="201"/>
      <c r="G377" s="201"/>
      <c r="H377" s="201"/>
      <c r="I377" s="201"/>
      <c r="J377" s="202"/>
      <c r="K377" s="202"/>
      <c r="L377" s="201"/>
      <c r="M377" s="201"/>
      <c r="N377" s="201"/>
      <c r="O377" s="202"/>
      <c r="P377" s="202"/>
      <c r="Q377" s="201"/>
      <c r="R377" s="202"/>
      <c r="S377" s="202"/>
      <c r="T377" s="202"/>
      <c r="U377" s="202"/>
      <c r="V377" s="380"/>
    </row>
    <row r="378" spans="1:22">
      <c r="A378" s="166"/>
      <c r="B378" s="246"/>
      <c r="C378" s="297"/>
      <c r="D378" s="298"/>
      <c r="E378" s="298"/>
      <c r="F378" s="298"/>
      <c r="G378" s="298"/>
      <c r="H378" s="298"/>
      <c r="I378" s="298"/>
      <c r="J378" s="307"/>
      <c r="K378" s="307"/>
      <c r="L378" s="298"/>
      <c r="M378" s="298"/>
      <c r="N378" s="298"/>
      <c r="O378" s="307"/>
      <c r="P378" s="165"/>
      <c r="Q378" s="298"/>
      <c r="R378" s="307"/>
      <c r="S378" s="307"/>
      <c r="T378" s="307"/>
      <c r="U378" s="307"/>
      <c r="V378" s="380"/>
    </row>
    <row r="379" spans="1:22">
      <c r="A379" s="166"/>
      <c r="B379" s="167"/>
      <c r="C379" s="168"/>
      <c r="D379" s="169"/>
      <c r="E379" s="169"/>
      <c r="F379" s="659"/>
      <c r="G379" s="169"/>
      <c r="H379" s="169"/>
      <c r="I379" s="169"/>
      <c r="J379" s="170"/>
      <c r="K379" s="170"/>
      <c r="L379" s="169"/>
      <c r="M379" s="169"/>
      <c r="N379" s="169"/>
      <c r="O379" s="170"/>
      <c r="P379" s="170"/>
      <c r="Q379" s="169"/>
      <c r="R379" s="170"/>
      <c r="S379" s="170"/>
      <c r="T379" s="170"/>
      <c r="U379" s="170"/>
      <c r="V379" s="380"/>
    </row>
    <row r="380" spans="1:22">
      <c r="A380" s="166"/>
      <c r="B380" s="199"/>
      <c r="C380" s="200"/>
      <c r="D380" s="201"/>
      <c r="E380" s="201"/>
      <c r="F380" s="201"/>
      <c r="G380" s="201"/>
      <c r="H380" s="201"/>
      <c r="I380" s="201"/>
      <c r="J380" s="202"/>
      <c r="K380" s="202"/>
      <c r="L380" s="201"/>
      <c r="M380" s="201"/>
      <c r="N380" s="201"/>
      <c r="O380" s="202"/>
      <c r="P380" s="202"/>
      <c r="Q380" s="201"/>
      <c r="R380" s="202"/>
      <c r="S380" s="202"/>
      <c r="T380" s="202"/>
      <c r="U380" s="202"/>
      <c r="V380" s="380"/>
    </row>
    <row r="381" spans="1:22">
      <c r="A381" s="166"/>
      <c r="B381" s="246"/>
      <c r="C381" s="297"/>
      <c r="D381" s="298"/>
      <c r="E381" s="298"/>
      <c r="F381" s="298"/>
      <c r="G381" s="298"/>
      <c r="H381" s="298"/>
      <c r="I381" s="298"/>
      <c r="J381" s="307"/>
      <c r="K381" s="307"/>
      <c r="L381" s="298"/>
      <c r="M381" s="298"/>
      <c r="N381" s="298"/>
      <c r="O381" s="307"/>
      <c r="P381" s="165"/>
      <c r="Q381" s="298"/>
      <c r="R381" s="307"/>
      <c r="S381" s="307"/>
      <c r="T381" s="307"/>
      <c r="U381" s="307"/>
      <c r="V381" s="380"/>
    </row>
    <row r="382" spans="1:22">
      <c r="A382" s="166"/>
      <c r="B382" s="167"/>
      <c r="C382" s="168"/>
      <c r="D382" s="169"/>
      <c r="E382" s="169"/>
      <c r="F382" s="169"/>
      <c r="G382" s="169"/>
      <c r="H382" s="169"/>
      <c r="I382" s="169"/>
      <c r="J382" s="170"/>
      <c r="K382" s="170"/>
      <c r="L382" s="169"/>
      <c r="M382" s="169"/>
      <c r="N382" s="169"/>
      <c r="O382" s="170"/>
      <c r="P382" s="170"/>
      <c r="Q382" s="169"/>
      <c r="R382" s="170"/>
      <c r="S382" s="170"/>
      <c r="T382" s="170"/>
      <c r="U382" s="170"/>
      <c r="V382" s="380"/>
    </row>
    <row r="383" spans="1:22" ht="15.75" thickBot="1">
      <c r="A383" s="166"/>
      <c r="B383" s="303"/>
      <c r="C383" s="304"/>
      <c r="D383" s="305"/>
      <c r="E383" s="305"/>
      <c r="F383" s="305"/>
      <c r="G383" s="305"/>
      <c r="H383" s="305"/>
      <c r="I383" s="305"/>
      <c r="J383" s="308"/>
      <c r="K383" s="308"/>
      <c r="L383" s="305"/>
      <c r="M383" s="305"/>
      <c r="N383" s="305"/>
      <c r="O383" s="308"/>
      <c r="P383" s="308"/>
      <c r="Q383" s="305"/>
      <c r="R383" s="308"/>
      <c r="S383" s="308"/>
      <c r="T383" s="308"/>
      <c r="U383" s="308"/>
      <c r="V383" s="380"/>
    </row>
    <row r="384" spans="1:22" ht="15.75" thickTop="1">
      <c r="A384" s="166"/>
      <c r="B384" s="167"/>
      <c r="C384" s="168"/>
      <c r="D384" s="169"/>
      <c r="E384" s="169"/>
      <c r="F384" s="169"/>
      <c r="G384" s="169"/>
      <c r="H384" s="169"/>
      <c r="I384" s="169"/>
      <c r="J384" s="170"/>
      <c r="K384" s="170"/>
      <c r="L384" s="169"/>
      <c r="M384" s="169"/>
      <c r="N384" s="169"/>
      <c r="O384" s="170"/>
      <c r="P384" s="170"/>
      <c r="Q384" s="169"/>
      <c r="R384" s="170"/>
      <c r="S384" s="170"/>
      <c r="T384" s="170"/>
      <c r="U384" s="170"/>
      <c r="V384" s="380"/>
    </row>
    <row r="385" spans="1:22">
      <c r="A385" s="166"/>
      <c r="B385" s="167"/>
      <c r="C385" s="168"/>
      <c r="D385" s="169"/>
      <c r="E385" s="169"/>
      <c r="F385" s="169"/>
      <c r="G385" s="169"/>
      <c r="H385" s="169"/>
      <c r="I385" s="169"/>
      <c r="J385" s="170"/>
      <c r="K385" s="170"/>
      <c r="L385" s="169"/>
      <c r="M385" s="169"/>
      <c r="N385" s="169"/>
      <c r="O385" s="170"/>
      <c r="P385" s="170"/>
      <c r="Q385" s="169"/>
      <c r="R385" s="170"/>
      <c r="S385" s="170"/>
      <c r="T385" s="170"/>
      <c r="U385" s="170"/>
      <c r="V385" s="380"/>
    </row>
    <row r="386" spans="1:22">
      <c r="A386" s="166"/>
      <c r="B386" s="199"/>
      <c r="C386" s="658"/>
      <c r="D386" s="201"/>
      <c r="E386" s="201"/>
      <c r="F386" s="201"/>
      <c r="G386" s="201"/>
      <c r="H386" s="201"/>
      <c r="I386" s="201"/>
      <c r="J386" s="202"/>
      <c r="K386" s="202"/>
      <c r="L386" s="201"/>
      <c r="M386" s="201"/>
      <c r="N386" s="201"/>
      <c r="O386" s="202"/>
      <c r="P386" s="202"/>
      <c r="Q386" s="201"/>
      <c r="R386" s="202"/>
      <c r="S386" s="202"/>
      <c r="T386" s="202"/>
      <c r="U386" s="202"/>
      <c r="V386" s="380"/>
    </row>
    <row r="387" spans="1:22">
      <c r="A387" s="166"/>
      <c r="B387" s="246"/>
      <c r="C387" s="297"/>
      <c r="D387" s="298"/>
      <c r="E387" s="298"/>
      <c r="F387" s="298"/>
      <c r="G387" s="298"/>
      <c r="H387" s="298"/>
      <c r="I387" s="298"/>
      <c r="J387" s="307"/>
      <c r="K387" s="307"/>
      <c r="L387" s="298"/>
      <c r="M387" s="298"/>
      <c r="N387" s="298"/>
      <c r="O387" s="307"/>
      <c r="P387" s="165"/>
      <c r="Q387" s="298"/>
      <c r="R387" s="307"/>
      <c r="S387" s="307"/>
      <c r="T387" s="307"/>
      <c r="U387" s="307"/>
      <c r="V387" s="380"/>
    </row>
    <row r="388" spans="1:22">
      <c r="A388" s="166"/>
      <c r="B388" s="167"/>
      <c r="C388" s="168"/>
      <c r="D388" s="169"/>
      <c r="E388" s="169"/>
      <c r="F388" s="169"/>
      <c r="G388" s="169"/>
      <c r="H388" s="169"/>
      <c r="I388" s="169"/>
      <c r="J388" s="170"/>
      <c r="K388" s="170"/>
      <c r="L388" s="169"/>
      <c r="M388" s="169"/>
      <c r="N388" s="169"/>
      <c r="O388" s="170"/>
      <c r="P388" s="170"/>
      <c r="Q388" s="169"/>
      <c r="R388" s="170"/>
      <c r="S388" s="170"/>
      <c r="T388" s="170"/>
      <c r="U388" s="170"/>
      <c r="V388" s="380"/>
    </row>
    <row r="389" spans="1:22">
      <c r="A389" s="166"/>
      <c r="B389" s="199"/>
      <c r="C389" s="658"/>
      <c r="D389" s="201"/>
      <c r="E389" s="201"/>
      <c r="F389" s="201"/>
      <c r="G389" s="201"/>
      <c r="H389" s="201"/>
      <c r="I389" s="201"/>
      <c r="J389" s="202"/>
      <c r="K389" s="202"/>
      <c r="L389" s="201"/>
      <c r="M389" s="201"/>
      <c r="N389" s="201"/>
      <c r="O389" s="202"/>
      <c r="P389" s="202"/>
      <c r="Q389" s="201"/>
      <c r="R389" s="202"/>
      <c r="S389" s="202"/>
      <c r="T389" s="202"/>
      <c r="U389" s="202"/>
      <c r="V389" s="380"/>
    </row>
    <row r="390" spans="1:22">
      <c r="A390" s="166"/>
      <c r="B390" s="246"/>
      <c r="C390" s="297"/>
      <c r="D390" s="298"/>
      <c r="E390" s="298"/>
      <c r="F390" s="298"/>
      <c r="G390" s="298"/>
      <c r="H390" s="298"/>
      <c r="I390" s="298"/>
      <c r="J390" s="307"/>
      <c r="K390" s="307"/>
      <c r="L390" s="298"/>
      <c r="M390" s="298"/>
      <c r="N390" s="298"/>
      <c r="O390" s="307"/>
      <c r="P390" s="165"/>
      <c r="Q390" s="298"/>
      <c r="R390" s="307"/>
      <c r="S390" s="307"/>
      <c r="T390" s="307"/>
      <c r="U390" s="307"/>
      <c r="V390" s="380"/>
    </row>
    <row r="391" spans="1:22">
      <c r="A391" s="166"/>
      <c r="B391" s="167"/>
      <c r="C391" s="168"/>
      <c r="D391" s="169"/>
      <c r="E391" s="169"/>
      <c r="F391" s="169"/>
      <c r="G391" s="169"/>
      <c r="H391" s="169"/>
      <c r="I391" s="169"/>
      <c r="J391" s="170"/>
      <c r="K391" s="170"/>
      <c r="L391" s="169"/>
      <c r="M391" s="169"/>
      <c r="N391" s="169"/>
      <c r="O391" s="170"/>
      <c r="P391" s="170"/>
      <c r="Q391" s="169"/>
      <c r="R391" s="170"/>
      <c r="S391" s="170"/>
      <c r="T391" s="170"/>
      <c r="U391" s="170"/>
      <c r="V391" s="380"/>
    </row>
    <row r="392" spans="1:22">
      <c r="A392" s="166"/>
      <c r="B392" s="199"/>
      <c r="C392" s="658"/>
      <c r="D392" s="201"/>
      <c r="E392" s="201"/>
      <c r="F392" s="201"/>
      <c r="G392" s="656"/>
      <c r="H392" s="201"/>
      <c r="I392" s="201"/>
      <c r="J392" s="202"/>
      <c r="K392" s="202"/>
      <c r="L392" s="201"/>
      <c r="M392" s="201"/>
      <c r="N392" s="201"/>
      <c r="O392" s="202"/>
      <c r="P392" s="202"/>
      <c r="Q392" s="201"/>
      <c r="R392" s="202"/>
      <c r="S392" s="202"/>
      <c r="T392" s="202"/>
      <c r="U392" s="202"/>
      <c r="V392" s="380"/>
    </row>
    <row r="393" spans="1:22">
      <c r="A393" s="166"/>
      <c r="B393" s="246"/>
      <c r="C393" s="297"/>
      <c r="D393" s="298"/>
      <c r="E393" s="298"/>
      <c r="F393" s="298"/>
      <c r="G393" s="298"/>
      <c r="H393" s="298"/>
      <c r="I393" s="298"/>
      <c r="J393" s="307"/>
      <c r="K393" s="307"/>
      <c r="L393" s="298"/>
      <c r="M393" s="298"/>
      <c r="N393" s="298"/>
      <c r="O393" s="307"/>
      <c r="P393" s="165"/>
      <c r="Q393" s="298"/>
      <c r="R393" s="307"/>
      <c r="S393" s="307"/>
      <c r="T393" s="307"/>
      <c r="U393" s="307"/>
      <c r="V393" s="380"/>
    </row>
    <row r="394" spans="1:22">
      <c r="A394" s="166"/>
      <c r="B394" s="167"/>
      <c r="C394" s="168"/>
      <c r="D394" s="169"/>
      <c r="E394" s="169"/>
      <c r="F394" s="169"/>
      <c r="G394" s="169"/>
      <c r="H394" s="169"/>
      <c r="I394" s="169"/>
      <c r="J394" s="170"/>
      <c r="K394" s="170"/>
      <c r="L394" s="169"/>
      <c r="M394" s="169"/>
      <c r="N394" s="169"/>
      <c r="O394" s="170"/>
      <c r="P394" s="170"/>
      <c r="Q394" s="169"/>
      <c r="R394" s="170"/>
      <c r="S394" s="170"/>
      <c r="T394" s="170"/>
      <c r="U394" s="170"/>
      <c r="V394" s="380"/>
    </row>
    <row r="395" spans="1:22">
      <c r="A395" s="166"/>
      <c r="B395" s="199"/>
      <c r="C395" s="658"/>
      <c r="D395" s="201"/>
      <c r="E395" s="201"/>
      <c r="F395" s="201"/>
      <c r="G395" s="201"/>
      <c r="H395" s="201"/>
      <c r="I395" s="201"/>
      <c r="J395" s="202"/>
      <c r="K395" s="202"/>
      <c r="L395" s="201"/>
      <c r="M395" s="201"/>
      <c r="N395" s="201"/>
      <c r="O395" s="202"/>
      <c r="P395" s="202"/>
      <c r="Q395" s="201"/>
      <c r="R395" s="202"/>
      <c r="S395" s="202"/>
      <c r="T395" s="202"/>
      <c r="U395" s="202"/>
      <c r="V395" s="380"/>
    </row>
    <row r="396" spans="1:22">
      <c r="A396" s="166"/>
      <c r="B396" s="246"/>
      <c r="C396" s="297"/>
      <c r="D396" s="298"/>
      <c r="E396" s="298"/>
      <c r="F396" s="298"/>
      <c r="G396" s="298"/>
      <c r="H396" s="298"/>
      <c r="I396" s="298"/>
      <c r="J396" s="307"/>
      <c r="K396" s="307"/>
      <c r="L396" s="298"/>
      <c r="M396" s="298"/>
      <c r="N396" s="298"/>
      <c r="O396" s="307"/>
      <c r="P396" s="165"/>
      <c r="Q396" s="298"/>
      <c r="R396" s="307"/>
      <c r="S396" s="307"/>
      <c r="T396" s="307"/>
      <c r="U396" s="307"/>
      <c r="V396" s="380"/>
    </row>
    <row r="397" spans="1:22">
      <c r="A397" s="166"/>
      <c r="B397" s="167"/>
      <c r="C397" s="168"/>
      <c r="D397" s="169"/>
      <c r="E397" s="169"/>
      <c r="F397" s="169"/>
      <c r="G397" s="169"/>
      <c r="H397" s="169"/>
      <c r="I397" s="169"/>
      <c r="J397" s="170"/>
      <c r="K397" s="170"/>
      <c r="L397" s="169"/>
      <c r="M397" s="169"/>
      <c r="N397" s="169"/>
      <c r="O397" s="170"/>
      <c r="P397" s="170"/>
      <c r="Q397" s="169"/>
      <c r="R397" s="170"/>
      <c r="S397" s="170"/>
      <c r="T397" s="170"/>
      <c r="U397" s="170"/>
      <c r="V397" s="380"/>
    </row>
    <row r="398" spans="1:22">
      <c r="A398" s="166"/>
      <c r="B398" s="199"/>
      <c r="C398" s="200"/>
      <c r="D398" s="201"/>
      <c r="E398" s="201"/>
      <c r="F398" s="201"/>
      <c r="G398" s="201"/>
      <c r="H398" s="201"/>
      <c r="I398" s="201"/>
      <c r="J398" s="202"/>
      <c r="K398" s="202"/>
      <c r="L398" s="201"/>
      <c r="M398" s="201"/>
      <c r="N398" s="201"/>
      <c r="O398" s="202"/>
      <c r="P398" s="202"/>
      <c r="Q398" s="201"/>
      <c r="R398" s="202"/>
      <c r="S398" s="202"/>
      <c r="T398" s="202"/>
      <c r="U398" s="202"/>
      <c r="V398" s="380"/>
    </row>
    <row r="399" spans="1:22">
      <c r="A399" s="166"/>
      <c r="B399" s="246"/>
      <c r="C399" s="297"/>
      <c r="D399" s="298"/>
      <c r="E399" s="298"/>
      <c r="F399" s="298"/>
      <c r="G399" s="298"/>
      <c r="H399" s="298"/>
      <c r="I399" s="298"/>
      <c r="J399" s="307"/>
      <c r="K399" s="307"/>
      <c r="L399" s="298"/>
      <c r="M399" s="298"/>
      <c r="N399" s="298"/>
      <c r="O399" s="307"/>
      <c r="P399" s="165"/>
      <c r="Q399" s="298"/>
      <c r="R399" s="307"/>
      <c r="S399" s="307"/>
      <c r="T399" s="307"/>
      <c r="U399" s="307"/>
      <c r="V399" s="380"/>
    </row>
    <row r="400" spans="1:22">
      <c r="A400" s="166"/>
      <c r="B400" s="167"/>
      <c r="C400" s="168"/>
      <c r="D400" s="169"/>
      <c r="E400" s="169"/>
      <c r="F400" s="169"/>
      <c r="G400" s="169"/>
      <c r="H400" s="169"/>
      <c r="I400" s="169"/>
      <c r="J400" s="170"/>
      <c r="K400" s="170"/>
      <c r="L400" s="169"/>
      <c r="M400" s="169"/>
      <c r="N400" s="169"/>
      <c r="O400" s="170"/>
      <c r="P400" s="170"/>
      <c r="Q400" s="169"/>
      <c r="R400" s="170"/>
      <c r="S400" s="170"/>
      <c r="T400" s="170"/>
      <c r="U400" s="170"/>
      <c r="V400" s="380"/>
    </row>
    <row r="401" spans="1:22" ht="15.75" thickBot="1">
      <c r="A401" s="310"/>
      <c r="B401" s="311"/>
      <c r="C401" s="312"/>
      <c r="D401" s="313"/>
      <c r="E401" s="313"/>
      <c r="F401" s="313"/>
      <c r="G401" s="313"/>
      <c r="H401" s="313"/>
      <c r="I401" s="313"/>
      <c r="J401" s="314"/>
      <c r="K401" s="314"/>
      <c r="L401" s="313"/>
      <c r="M401" s="313"/>
      <c r="N401" s="313"/>
      <c r="O401" s="314"/>
      <c r="P401" s="314"/>
      <c r="Q401" s="313"/>
      <c r="R401" s="314"/>
      <c r="S401" s="314"/>
      <c r="T401" s="314"/>
      <c r="U401" s="314"/>
      <c r="V401" s="380"/>
    </row>
    <row r="402" spans="1:22">
      <c r="A402" s="296"/>
      <c r="B402" s="246"/>
      <c r="C402" s="297"/>
      <c r="D402" s="298"/>
      <c r="E402" s="298"/>
      <c r="F402" s="298"/>
      <c r="G402" s="298"/>
      <c r="H402" s="298"/>
      <c r="I402" s="298"/>
      <c r="J402" s="307"/>
      <c r="K402" s="307"/>
      <c r="L402" s="298"/>
      <c r="M402" s="298"/>
      <c r="N402" s="298"/>
      <c r="O402" s="307"/>
      <c r="P402" s="165"/>
      <c r="Q402" s="298"/>
      <c r="R402" s="307"/>
      <c r="S402" s="307"/>
      <c r="T402" s="307"/>
      <c r="U402" s="307"/>
      <c r="V402" s="380"/>
    </row>
    <row r="403" spans="1:22">
      <c r="A403" s="166"/>
      <c r="B403" s="167"/>
      <c r="C403" s="168"/>
      <c r="D403" s="169"/>
      <c r="E403" s="169"/>
      <c r="F403" s="169"/>
      <c r="G403" s="169"/>
      <c r="H403" s="169"/>
      <c r="I403" s="169"/>
      <c r="J403" s="170"/>
      <c r="K403" s="170"/>
      <c r="L403" s="169"/>
      <c r="M403" s="169"/>
      <c r="N403" s="169"/>
      <c r="O403" s="170"/>
      <c r="P403" s="170"/>
      <c r="Q403" s="169"/>
      <c r="R403" s="170"/>
      <c r="S403" s="170"/>
      <c r="T403" s="170"/>
      <c r="U403" s="170"/>
      <c r="V403" s="380"/>
    </row>
    <row r="404" spans="1:22">
      <c r="A404" s="166"/>
      <c r="B404" s="199"/>
      <c r="C404" s="658"/>
      <c r="D404" s="201"/>
      <c r="E404" s="201"/>
      <c r="F404" s="201"/>
      <c r="G404" s="201"/>
      <c r="H404" s="201"/>
      <c r="I404" s="201"/>
      <c r="J404" s="202"/>
      <c r="K404" s="202"/>
      <c r="L404" s="656"/>
      <c r="M404" s="656"/>
      <c r="N404" s="656"/>
      <c r="O404" s="202"/>
      <c r="P404" s="202"/>
      <c r="Q404" s="201"/>
      <c r="R404" s="202"/>
      <c r="S404" s="202"/>
      <c r="T404" s="202"/>
      <c r="U404" s="202"/>
      <c r="V404" s="380"/>
    </row>
    <row r="405" spans="1:22">
      <c r="A405" s="166"/>
      <c r="B405" s="246"/>
      <c r="C405" s="297"/>
      <c r="D405" s="298"/>
      <c r="E405" s="298"/>
      <c r="F405" s="298"/>
      <c r="G405" s="298"/>
      <c r="H405" s="298"/>
      <c r="I405" s="298"/>
      <c r="J405" s="307"/>
      <c r="K405" s="307"/>
      <c r="L405" s="298"/>
      <c r="M405" s="298"/>
      <c r="N405" s="298"/>
      <c r="O405" s="307"/>
      <c r="P405" s="165"/>
      <c r="Q405" s="298"/>
      <c r="R405" s="307"/>
      <c r="S405" s="307"/>
      <c r="T405" s="307"/>
      <c r="U405" s="307"/>
      <c r="V405" s="380"/>
    </row>
    <row r="406" spans="1:22">
      <c r="A406" s="166"/>
      <c r="B406" s="167"/>
      <c r="C406" s="168"/>
      <c r="D406" s="169"/>
      <c r="E406" s="169"/>
      <c r="F406" s="169"/>
      <c r="G406" s="169"/>
      <c r="H406" s="169"/>
      <c r="I406" s="169"/>
      <c r="J406" s="170"/>
      <c r="K406" s="170"/>
      <c r="L406" s="169"/>
      <c r="M406" s="169"/>
      <c r="N406" s="169"/>
      <c r="O406" s="170"/>
      <c r="P406" s="170"/>
      <c r="Q406" s="169"/>
      <c r="R406" s="170"/>
      <c r="S406" s="170"/>
      <c r="T406" s="170"/>
      <c r="U406" s="170"/>
      <c r="V406" s="380"/>
    </row>
    <row r="407" spans="1:22">
      <c r="A407" s="166"/>
      <c r="B407" s="199"/>
      <c r="C407" s="200"/>
      <c r="D407" s="201"/>
      <c r="E407" s="201"/>
      <c r="F407" s="201"/>
      <c r="G407" s="201"/>
      <c r="H407" s="201"/>
      <c r="I407" s="201"/>
      <c r="J407" s="202"/>
      <c r="K407" s="202"/>
      <c r="L407" s="201"/>
      <c r="M407" s="201"/>
      <c r="N407" s="201"/>
      <c r="O407" s="202"/>
      <c r="P407" s="202"/>
      <c r="Q407" s="201"/>
      <c r="R407" s="202"/>
      <c r="S407" s="202"/>
      <c r="T407" s="202"/>
      <c r="U407" s="202"/>
      <c r="V407" s="380"/>
    </row>
    <row r="408" spans="1:22">
      <c r="A408" s="166"/>
      <c r="B408" s="246"/>
      <c r="C408" s="297"/>
      <c r="D408" s="298"/>
      <c r="E408" s="298"/>
      <c r="F408" s="298"/>
      <c r="G408" s="298"/>
      <c r="H408" s="298"/>
      <c r="I408" s="298"/>
      <c r="J408" s="307"/>
      <c r="K408" s="307"/>
      <c r="L408" s="298"/>
      <c r="M408" s="298"/>
      <c r="N408" s="298"/>
      <c r="O408" s="307"/>
      <c r="P408" s="165"/>
      <c r="Q408" s="298"/>
      <c r="R408" s="307"/>
      <c r="S408" s="307"/>
      <c r="T408" s="307"/>
      <c r="U408" s="307"/>
      <c r="V408" s="380"/>
    </row>
    <row r="409" spans="1:22">
      <c r="A409" s="166"/>
      <c r="B409" s="167"/>
      <c r="C409" s="168"/>
      <c r="D409" s="169"/>
      <c r="E409" s="169"/>
      <c r="F409" s="169"/>
      <c r="G409" s="169"/>
      <c r="H409" s="169"/>
      <c r="I409" s="169"/>
      <c r="J409" s="170"/>
      <c r="K409" s="170"/>
      <c r="L409" s="169"/>
      <c r="M409" s="169"/>
      <c r="N409" s="169"/>
      <c r="O409" s="170"/>
      <c r="P409" s="170"/>
      <c r="Q409" s="169"/>
      <c r="R409" s="170"/>
      <c r="S409" s="170"/>
      <c r="T409" s="170"/>
      <c r="U409" s="170"/>
      <c r="V409" s="380"/>
    </row>
    <row r="410" spans="1:22">
      <c r="A410" s="166"/>
      <c r="B410" s="199"/>
      <c r="C410" s="200"/>
      <c r="D410" s="201"/>
      <c r="E410" s="201"/>
      <c r="F410" s="201"/>
      <c r="G410" s="201"/>
      <c r="H410" s="201"/>
      <c r="I410" s="201"/>
      <c r="J410" s="202"/>
      <c r="K410" s="202"/>
      <c r="L410" s="656"/>
      <c r="M410" s="201"/>
      <c r="N410" s="201"/>
      <c r="O410" s="202"/>
      <c r="P410" s="202"/>
      <c r="Q410" s="201"/>
      <c r="R410" s="202"/>
      <c r="S410" s="202"/>
      <c r="T410" s="202"/>
      <c r="U410" s="202"/>
      <c r="V410" s="380"/>
    </row>
    <row r="411" spans="1:22">
      <c r="A411" s="166"/>
      <c r="B411" s="246"/>
      <c r="C411" s="297"/>
      <c r="D411" s="298"/>
      <c r="E411" s="298"/>
      <c r="F411" s="298"/>
      <c r="G411" s="298"/>
      <c r="H411" s="298"/>
      <c r="I411" s="298"/>
      <c r="J411" s="307"/>
      <c r="K411" s="307"/>
      <c r="L411" s="298"/>
      <c r="M411" s="298"/>
      <c r="N411" s="298"/>
      <c r="O411" s="307"/>
      <c r="P411" s="165"/>
      <c r="Q411" s="298"/>
      <c r="R411" s="307"/>
      <c r="S411" s="307"/>
      <c r="T411" s="307"/>
      <c r="U411" s="307"/>
      <c r="V411" s="380"/>
    </row>
    <row r="412" spans="1:22">
      <c r="A412" s="166"/>
      <c r="B412" s="167"/>
      <c r="C412" s="168"/>
      <c r="D412" s="169"/>
      <c r="E412" s="169"/>
      <c r="F412" s="169"/>
      <c r="G412" s="169"/>
      <c r="H412" s="169"/>
      <c r="I412" s="169"/>
      <c r="J412" s="170"/>
      <c r="K412" s="170"/>
      <c r="L412" s="169"/>
      <c r="M412" s="169"/>
      <c r="N412" s="169"/>
      <c r="O412" s="170"/>
      <c r="P412" s="170"/>
      <c r="Q412" s="169"/>
      <c r="R412" s="170"/>
      <c r="S412" s="170"/>
      <c r="T412" s="170"/>
      <c r="U412" s="170"/>
      <c r="V412" s="380"/>
    </row>
    <row r="413" spans="1:22">
      <c r="A413" s="166"/>
      <c r="B413" s="199"/>
      <c r="C413" s="200"/>
      <c r="D413" s="201"/>
      <c r="E413" s="201"/>
      <c r="F413" s="201"/>
      <c r="G413" s="201"/>
      <c r="H413" s="201"/>
      <c r="I413" s="201"/>
      <c r="J413" s="202"/>
      <c r="K413" s="202"/>
      <c r="L413" s="201"/>
      <c r="M413" s="201"/>
      <c r="N413" s="201"/>
      <c r="O413" s="202"/>
      <c r="P413" s="202"/>
      <c r="Q413" s="201"/>
      <c r="R413" s="202"/>
      <c r="S413" s="202"/>
      <c r="T413" s="202"/>
      <c r="U413" s="202"/>
      <c r="V413" s="380"/>
    </row>
    <row r="414" spans="1:22">
      <c r="A414" s="166"/>
      <c r="B414" s="246"/>
      <c r="C414" s="297"/>
      <c r="D414" s="298"/>
      <c r="E414" s="298"/>
      <c r="F414" s="298"/>
      <c r="G414" s="298"/>
      <c r="H414" s="298"/>
      <c r="I414" s="298"/>
      <c r="J414" s="307"/>
      <c r="K414" s="307"/>
      <c r="L414" s="298"/>
      <c r="M414" s="298"/>
      <c r="N414" s="298"/>
      <c r="O414" s="307"/>
      <c r="P414" s="165"/>
      <c r="Q414" s="298"/>
      <c r="R414" s="307"/>
      <c r="S414" s="307"/>
      <c r="T414" s="307"/>
      <c r="U414" s="307"/>
      <c r="V414" s="380"/>
    </row>
    <row r="415" spans="1:22">
      <c r="A415" s="166"/>
      <c r="B415" s="167"/>
      <c r="C415" s="168"/>
      <c r="D415" s="169"/>
      <c r="E415" s="169"/>
      <c r="F415" s="169"/>
      <c r="G415" s="169"/>
      <c r="H415" s="169"/>
      <c r="I415" s="169"/>
      <c r="J415" s="170"/>
      <c r="K415" s="170"/>
      <c r="L415" s="169"/>
      <c r="M415" s="169"/>
      <c r="N415" s="169"/>
      <c r="O415" s="170"/>
      <c r="P415" s="170"/>
      <c r="Q415" s="169"/>
      <c r="R415" s="170"/>
      <c r="S415" s="170"/>
      <c r="T415" s="170"/>
      <c r="U415" s="170"/>
      <c r="V415" s="380"/>
    </row>
    <row r="416" spans="1:22">
      <c r="A416" s="166"/>
      <c r="B416" s="199"/>
      <c r="C416" s="200"/>
      <c r="D416" s="201"/>
      <c r="E416" s="201"/>
      <c r="F416" s="201"/>
      <c r="G416" s="201"/>
      <c r="H416" s="201"/>
      <c r="I416" s="201"/>
      <c r="J416" s="202"/>
      <c r="K416" s="202"/>
      <c r="L416" s="201"/>
      <c r="M416" s="201"/>
      <c r="N416" s="201"/>
      <c r="O416" s="202"/>
      <c r="P416" s="202"/>
      <c r="Q416" s="201"/>
      <c r="R416" s="202"/>
      <c r="S416" s="202"/>
      <c r="T416" s="202"/>
      <c r="U416" s="202"/>
      <c r="V416" s="380"/>
    </row>
    <row r="417" spans="1:22">
      <c r="A417" s="166"/>
      <c r="B417" s="246"/>
      <c r="C417" s="297"/>
      <c r="D417" s="298"/>
      <c r="E417" s="298"/>
      <c r="F417" s="298"/>
      <c r="G417" s="298"/>
      <c r="H417" s="298"/>
      <c r="I417" s="298"/>
      <c r="J417" s="307"/>
      <c r="K417" s="307"/>
      <c r="L417" s="298"/>
      <c r="M417" s="298"/>
      <c r="N417" s="298"/>
      <c r="O417" s="307"/>
      <c r="P417" s="165"/>
      <c r="Q417" s="298"/>
      <c r="R417" s="307"/>
      <c r="S417" s="307"/>
      <c r="T417" s="307"/>
      <c r="U417" s="307"/>
      <c r="V417" s="380"/>
    </row>
    <row r="418" spans="1:22">
      <c r="A418" s="166"/>
      <c r="B418" s="167"/>
      <c r="C418" s="168"/>
      <c r="D418" s="169"/>
      <c r="E418" s="169"/>
      <c r="F418" s="169"/>
      <c r="G418" s="169"/>
      <c r="H418" s="169"/>
      <c r="I418" s="169"/>
      <c r="J418" s="170"/>
      <c r="K418" s="170"/>
      <c r="L418" s="169"/>
      <c r="M418" s="169"/>
      <c r="N418" s="169"/>
      <c r="O418" s="170"/>
      <c r="P418" s="170"/>
      <c r="Q418" s="169"/>
      <c r="R418" s="170"/>
      <c r="S418" s="170"/>
      <c r="T418" s="170"/>
      <c r="U418" s="170"/>
      <c r="V418" s="380"/>
    </row>
    <row r="419" spans="1:22" ht="15.75" thickBot="1">
      <c r="A419" s="166"/>
      <c r="B419" s="303"/>
      <c r="C419" s="304"/>
      <c r="D419" s="305"/>
      <c r="E419" s="305"/>
      <c r="F419" s="305"/>
      <c r="G419" s="305"/>
      <c r="H419" s="305"/>
      <c r="I419" s="305"/>
      <c r="J419" s="308"/>
      <c r="K419" s="308"/>
      <c r="L419" s="305"/>
      <c r="M419" s="305"/>
      <c r="N419" s="305"/>
      <c r="O419" s="308"/>
      <c r="P419" s="308"/>
      <c r="Q419" s="305"/>
      <c r="R419" s="308"/>
      <c r="S419" s="308"/>
      <c r="T419" s="308"/>
      <c r="U419" s="308"/>
      <c r="V419" s="380"/>
    </row>
    <row r="420" spans="1:22" ht="15.75" thickTop="1">
      <c r="A420" s="166"/>
      <c r="B420" s="167"/>
      <c r="C420" s="168"/>
      <c r="D420" s="169"/>
      <c r="E420" s="169"/>
      <c r="F420" s="169"/>
      <c r="G420" s="169"/>
      <c r="H420" s="169"/>
      <c r="I420" s="169"/>
      <c r="J420" s="170"/>
      <c r="K420" s="170"/>
      <c r="L420" s="169"/>
      <c r="M420" s="169"/>
      <c r="N420" s="169"/>
      <c r="O420" s="170"/>
      <c r="P420" s="170"/>
      <c r="Q420" s="169"/>
      <c r="R420" s="170"/>
      <c r="S420" s="170"/>
      <c r="T420" s="170"/>
      <c r="U420" s="170"/>
      <c r="V420" s="380"/>
    </row>
    <row r="421" spans="1:22">
      <c r="A421" s="166"/>
      <c r="B421" s="167"/>
      <c r="C421" s="168"/>
      <c r="D421" s="169"/>
      <c r="E421" s="169"/>
      <c r="F421" s="169"/>
      <c r="G421" s="169"/>
      <c r="H421" s="169"/>
      <c r="I421" s="169"/>
      <c r="J421" s="170"/>
      <c r="K421" s="170"/>
      <c r="L421" s="169"/>
      <c r="M421" s="169"/>
      <c r="N421" s="169"/>
      <c r="O421" s="170"/>
      <c r="P421" s="170"/>
      <c r="Q421" s="169"/>
      <c r="R421" s="170"/>
      <c r="S421" s="170"/>
      <c r="T421" s="170"/>
      <c r="U421" s="170"/>
      <c r="V421" s="380"/>
    </row>
    <row r="422" spans="1:22">
      <c r="A422" s="166"/>
      <c r="B422" s="199"/>
      <c r="C422" s="200"/>
      <c r="D422" s="201"/>
      <c r="E422" s="656"/>
      <c r="F422" s="201"/>
      <c r="G422" s="201"/>
      <c r="H422" s="656"/>
      <c r="I422" s="201"/>
      <c r="J422" s="202"/>
      <c r="K422" s="202"/>
      <c r="L422" s="201"/>
      <c r="M422" s="201"/>
      <c r="N422" s="201"/>
      <c r="O422" s="202"/>
      <c r="P422" s="202"/>
      <c r="Q422" s="201"/>
      <c r="R422" s="202"/>
      <c r="S422" s="202"/>
      <c r="T422" s="202"/>
      <c r="U422" s="202"/>
      <c r="V422" s="380"/>
    </row>
    <row r="423" spans="1:22">
      <c r="A423" s="166"/>
      <c r="B423" s="246"/>
      <c r="C423" s="297"/>
      <c r="D423" s="298"/>
      <c r="E423" s="298"/>
      <c r="F423" s="298"/>
      <c r="G423" s="298"/>
      <c r="H423" s="298"/>
      <c r="I423" s="298"/>
      <c r="J423" s="307"/>
      <c r="K423" s="307"/>
      <c r="L423" s="298"/>
      <c r="M423" s="298"/>
      <c r="N423" s="298"/>
      <c r="O423" s="307"/>
      <c r="P423" s="165"/>
      <c r="Q423" s="298"/>
      <c r="R423" s="307"/>
      <c r="S423" s="307"/>
      <c r="T423" s="307"/>
      <c r="U423" s="307"/>
      <c r="V423" s="380"/>
    </row>
    <row r="424" spans="1:22">
      <c r="A424" s="166"/>
      <c r="B424" s="167"/>
      <c r="C424" s="168"/>
      <c r="D424" s="169"/>
      <c r="E424" s="169"/>
      <c r="F424" s="169"/>
      <c r="G424" s="169"/>
      <c r="H424" s="169"/>
      <c r="I424" s="169"/>
      <c r="J424" s="170"/>
      <c r="K424" s="170"/>
      <c r="L424" s="169"/>
      <c r="M424" s="169"/>
      <c r="N424" s="169"/>
      <c r="O424" s="170"/>
      <c r="P424" s="170"/>
      <c r="Q424" s="169"/>
      <c r="R424" s="170"/>
      <c r="S424" s="170"/>
      <c r="T424" s="170"/>
      <c r="U424" s="170"/>
      <c r="V424" s="380"/>
    </row>
    <row r="425" spans="1:22">
      <c r="A425" s="166"/>
      <c r="B425" s="199"/>
      <c r="C425" s="200"/>
      <c r="D425" s="201"/>
      <c r="E425" s="656"/>
      <c r="F425" s="201"/>
      <c r="G425" s="656"/>
      <c r="H425" s="656"/>
      <c r="I425" s="201"/>
      <c r="J425" s="202"/>
      <c r="K425" s="202"/>
      <c r="L425" s="201"/>
      <c r="M425" s="201"/>
      <c r="N425" s="201"/>
      <c r="O425" s="202"/>
      <c r="P425" s="202"/>
      <c r="Q425" s="201"/>
      <c r="R425" s="202"/>
      <c r="S425" s="202"/>
      <c r="T425" s="202"/>
      <c r="U425" s="202"/>
      <c r="V425" s="380"/>
    </row>
    <row r="426" spans="1:22">
      <c r="A426" s="166"/>
      <c r="B426" s="246"/>
      <c r="C426" s="297"/>
      <c r="D426" s="298"/>
      <c r="E426" s="298"/>
      <c r="F426" s="298"/>
      <c r="G426" s="298"/>
      <c r="H426" s="298"/>
      <c r="I426" s="298"/>
      <c r="J426" s="307"/>
      <c r="K426" s="307"/>
      <c r="L426" s="298"/>
      <c r="M426" s="298"/>
      <c r="N426" s="298"/>
      <c r="O426" s="307"/>
      <c r="P426" s="165"/>
      <c r="Q426" s="298"/>
      <c r="R426" s="307"/>
      <c r="S426" s="307"/>
      <c r="T426" s="307"/>
      <c r="U426" s="307"/>
      <c r="V426" s="380"/>
    </row>
    <row r="427" spans="1:22">
      <c r="A427" s="166"/>
      <c r="B427" s="167"/>
      <c r="C427" s="168"/>
      <c r="D427" s="169"/>
      <c r="E427" s="169"/>
      <c r="F427" s="169"/>
      <c r="G427" s="169"/>
      <c r="H427" s="169"/>
      <c r="I427" s="169"/>
      <c r="J427" s="170"/>
      <c r="K427" s="170"/>
      <c r="L427" s="169"/>
      <c r="M427" s="169"/>
      <c r="N427" s="169"/>
      <c r="O427" s="170"/>
      <c r="P427" s="170"/>
      <c r="Q427" s="169"/>
      <c r="R427" s="170"/>
      <c r="S427" s="170"/>
      <c r="T427" s="170"/>
      <c r="U427" s="170"/>
      <c r="V427" s="380"/>
    </row>
    <row r="428" spans="1:22">
      <c r="A428" s="166"/>
      <c r="B428" s="199"/>
      <c r="C428" s="200"/>
      <c r="D428" s="201"/>
      <c r="E428" s="201"/>
      <c r="F428" s="201"/>
      <c r="G428" s="201"/>
      <c r="H428" s="656"/>
      <c r="I428" s="201"/>
      <c r="J428" s="202"/>
      <c r="K428" s="202"/>
      <c r="L428" s="201"/>
      <c r="M428" s="201"/>
      <c r="N428" s="201"/>
      <c r="O428" s="202"/>
      <c r="P428" s="202"/>
      <c r="Q428" s="201"/>
      <c r="R428" s="202"/>
      <c r="S428" s="202"/>
      <c r="T428" s="202"/>
      <c r="U428" s="202"/>
      <c r="V428" s="380"/>
    </row>
    <row r="429" spans="1:22">
      <c r="A429" s="166"/>
      <c r="B429" s="246"/>
      <c r="C429" s="297"/>
      <c r="D429" s="298"/>
      <c r="E429" s="298"/>
      <c r="F429" s="298"/>
      <c r="G429" s="298"/>
      <c r="H429" s="298"/>
      <c r="I429" s="298"/>
      <c r="J429" s="307"/>
      <c r="K429" s="307"/>
      <c r="L429" s="298"/>
      <c r="M429" s="298"/>
      <c r="N429" s="298"/>
      <c r="O429" s="307"/>
      <c r="P429" s="165"/>
      <c r="Q429" s="298"/>
      <c r="R429" s="307"/>
      <c r="S429" s="307"/>
      <c r="T429" s="307"/>
      <c r="U429" s="307"/>
      <c r="V429" s="380"/>
    </row>
    <row r="430" spans="1:22">
      <c r="A430" s="166"/>
      <c r="B430" s="167"/>
      <c r="C430" s="168"/>
      <c r="D430" s="169"/>
      <c r="E430" s="169"/>
      <c r="F430" s="169"/>
      <c r="G430" s="169"/>
      <c r="H430" s="169"/>
      <c r="I430" s="169"/>
      <c r="J430" s="170"/>
      <c r="K430" s="170"/>
      <c r="L430" s="169"/>
      <c r="M430" s="169"/>
      <c r="N430" s="169"/>
      <c r="O430" s="170"/>
      <c r="P430" s="170"/>
      <c r="Q430" s="169"/>
      <c r="R430" s="170"/>
      <c r="S430" s="170"/>
      <c r="T430" s="170"/>
      <c r="U430" s="170"/>
      <c r="V430" s="380"/>
    </row>
    <row r="431" spans="1:22">
      <c r="A431" s="166"/>
      <c r="B431" s="199"/>
      <c r="C431" s="200"/>
      <c r="D431" s="201"/>
      <c r="E431" s="201"/>
      <c r="F431" s="201"/>
      <c r="G431" s="201"/>
      <c r="H431" s="201"/>
      <c r="I431" s="201"/>
      <c r="J431" s="202"/>
      <c r="K431" s="202"/>
      <c r="L431" s="201"/>
      <c r="M431" s="201"/>
      <c r="N431" s="201"/>
      <c r="O431" s="202"/>
      <c r="P431" s="202"/>
      <c r="Q431" s="201"/>
      <c r="R431" s="202"/>
      <c r="S431" s="202"/>
      <c r="T431" s="202"/>
      <c r="U431" s="202"/>
      <c r="V431" s="380"/>
    </row>
    <row r="432" spans="1:22">
      <c r="A432" s="166"/>
      <c r="B432" s="246"/>
      <c r="C432" s="297"/>
      <c r="D432" s="298"/>
      <c r="E432" s="298"/>
      <c r="F432" s="298"/>
      <c r="G432" s="298"/>
      <c r="H432" s="298"/>
      <c r="I432" s="298"/>
      <c r="J432" s="307"/>
      <c r="K432" s="307"/>
      <c r="L432" s="298"/>
      <c r="M432" s="298"/>
      <c r="N432" s="298"/>
      <c r="O432" s="307"/>
      <c r="P432" s="165"/>
      <c r="Q432" s="298"/>
      <c r="R432" s="307"/>
      <c r="S432" s="307"/>
      <c r="T432" s="307"/>
      <c r="U432" s="307"/>
      <c r="V432" s="380"/>
    </row>
    <row r="433" spans="1:22">
      <c r="A433" s="166"/>
      <c r="B433" s="167"/>
      <c r="C433" s="168"/>
      <c r="D433" s="169"/>
      <c r="E433" s="169"/>
      <c r="F433" s="169"/>
      <c r="G433" s="169"/>
      <c r="H433" s="169"/>
      <c r="I433" s="169"/>
      <c r="J433" s="170"/>
      <c r="K433" s="170"/>
      <c r="L433" s="169"/>
      <c r="M433" s="169"/>
      <c r="N433" s="169"/>
      <c r="O433" s="170"/>
      <c r="P433" s="170"/>
      <c r="Q433" s="169"/>
      <c r="R433" s="170"/>
      <c r="S433" s="170"/>
      <c r="T433" s="170"/>
      <c r="U433" s="170"/>
      <c r="V433" s="380"/>
    </row>
    <row r="434" spans="1:22">
      <c r="A434" s="166"/>
      <c r="B434" s="199"/>
      <c r="C434" s="200"/>
      <c r="D434" s="201"/>
      <c r="E434" s="201"/>
      <c r="F434" s="201"/>
      <c r="G434" s="201"/>
      <c r="H434" s="201"/>
      <c r="I434" s="201"/>
      <c r="J434" s="202"/>
      <c r="K434" s="202"/>
      <c r="L434" s="201"/>
      <c r="M434" s="201"/>
      <c r="N434" s="201"/>
      <c r="O434" s="202"/>
      <c r="P434" s="202"/>
      <c r="Q434" s="201"/>
      <c r="R434" s="202"/>
      <c r="S434" s="202"/>
      <c r="T434" s="202"/>
      <c r="U434" s="202"/>
      <c r="V434" s="380"/>
    </row>
    <row r="435" spans="1:22">
      <c r="A435" s="166"/>
      <c r="B435" s="246"/>
      <c r="C435" s="297"/>
      <c r="D435" s="298"/>
      <c r="E435" s="298"/>
      <c r="F435" s="298"/>
      <c r="G435" s="298"/>
      <c r="H435" s="298"/>
      <c r="I435" s="298"/>
      <c r="J435" s="307"/>
      <c r="K435" s="307"/>
      <c r="L435" s="298"/>
      <c r="M435" s="298"/>
      <c r="N435" s="298"/>
      <c r="O435" s="307"/>
      <c r="P435" s="165"/>
      <c r="Q435" s="298"/>
      <c r="R435" s="307"/>
      <c r="S435" s="307"/>
      <c r="T435" s="307"/>
      <c r="U435" s="307"/>
      <c r="V435" s="380"/>
    </row>
    <row r="436" spans="1:22">
      <c r="A436" s="166"/>
      <c r="B436" s="167"/>
      <c r="C436" s="168"/>
      <c r="D436" s="169"/>
      <c r="E436" s="169"/>
      <c r="F436" s="169"/>
      <c r="G436" s="169"/>
      <c r="H436" s="169"/>
      <c r="I436" s="169"/>
      <c r="J436" s="170"/>
      <c r="K436" s="170"/>
      <c r="L436" s="169"/>
      <c r="M436" s="169"/>
      <c r="N436" s="169"/>
      <c r="O436" s="170"/>
      <c r="P436" s="170"/>
      <c r="Q436" s="169"/>
      <c r="R436" s="170"/>
      <c r="S436" s="170"/>
      <c r="T436" s="170"/>
      <c r="U436" s="170"/>
      <c r="V436" s="380"/>
    </row>
    <row r="437" spans="1:22" ht="15.75" thickBot="1">
      <c r="A437" s="310"/>
      <c r="B437" s="311"/>
      <c r="C437" s="312"/>
      <c r="D437" s="313"/>
      <c r="E437" s="313"/>
      <c r="F437" s="313"/>
      <c r="G437" s="313"/>
      <c r="H437" s="313"/>
      <c r="I437" s="313"/>
      <c r="J437" s="314"/>
      <c r="K437" s="314"/>
      <c r="L437" s="313"/>
      <c r="M437" s="313"/>
      <c r="N437" s="313"/>
      <c r="O437" s="314"/>
      <c r="P437" s="314"/>
      <c r="Q437" s="313"/>
      <c r="R437" s="314"/>
      <c r="S437" s="314"/>
      <c r="T437" s="314"/>
      <c r="U437" s="314"/>
      <c r="V437" s="380"/>
    </row>
    <row r="438" spans="1:22">
      <c r="A438" s="296"/>
      <c r="B438" s="246"/>
      <c r="C438" s="297"/>
      <c r="D438" s="298"/>
      <c r="E438" s="298"/>
      <c r="F438" s="298"/>
      <c r="G438" s="298"/>
      <c r="H438" s="298"/>
      <c r="I438" s="298"/>
      <c r="J438" s="307"/>
      <c r="K438" s="307"/>
      <c r="L438" s="298"/>
      <c r="M438" s="298"/>
      <c r="N438" s="298"/>
      <c r="O438" s="307"/>
      <c r="P438" s="165"/>
      <c r="Q438" s="298"/>
      <c r="R438" s="307"/>
      <c r="S438" s="307"/>
      <c r="T438" s="307"/>
      <c r="U438" s="307"/>
      <c r="V438" s="380"/>
    </row>
    <row r="439" spans="1:22">
      <c r="A439" s="166"/>
      <c r="B439" s="167"/>
      <c r="C439" s="168"/>
      <c r="D439" s="169"/>
      <c r="E439" s="169"/>
      <c r="F439" s="169"/>
      <c r="G439" s="169"/>
      <c r="H439" s="169"/>
      <c r="I439" s="169"/>
      <c r="J439" s="170"/>
      <c r="K439" s="170"/>
      <c r="L439" s="169"/>
      <c r="M439" s="169"/>
      <c r="N439" s="169"/>
      <c r="O439" s="170"/>
      <c r="P439" s="170"/>
      <c r="Q439" s="169"/>
      <c r="R439" s="170"/>
      <c r="S439" s="170"/>
      <c r="T439" s="170"/>
      <c r="U439" s="170"/>
      <c r="V439" s="380"/>
    </row>
    <row r="440" spans="1:22">
      <c r="A440" s="166"/>
      <c r="B440" s="199"/>
      <c r="C440" s="200"/>
      <c r="D440" s="201"/>
      <c r="E440" s="201"/>
      <c r="F440" s="201"/>
      <c r="G440" s="201"/>
      <c r="H440" s="201"/>
      <c r="I440" s="201"/>
      <c r="J440" s="202"/>
      <c r="K440" s="202"/>
      <c r="L440" s="201"/>
      <c r="M440" s="201"/>
      <c r="N440" s="201"/>
      <c r="O440" s="202"/>
      <c r="P440" s="202"/>
      <c r="Q440" s="201"/>
      <c r="R440" s="202"/>
      <c r="S440" s="202"/>
      <c r="T440" s="202"/>
      <c r="U440" s="202"/>
      <c r="V440" s="380"/>
    </row>
    <row r="441" spans="1:22">
      <c r="A441" s="166"/>
      <c r="B441" s="246"/>
      <c r="C441" s="297"/>
      <c r="D441" s="298"/>
      <c r="E441" s="298"/>
      <c r="F441" s="298"/>
      <c r="G441" s="298"/>
      <c r="H441" s="298"/>
      <c r="I441" s="298"/>
      <c r="J441" s="307"/>
      <c r="K441" s="307"/>
      <c r="L441" s="298"/>
      <c r="M441" s="298"/>
      <c r="N441" s="298"/>
      <c r="O441" s="307"/>
      <c r="P441" s="165"/>
      <c r="Q441" s="298"/>
      <c r="R441" s="307"/>
      <c r="S441" s="307"/>
      <c r="T441" s="307"/>
      <c r="U441" s="307"/>
      <c r="V441" s="380"/>
    </row>
    <row r="442" spans="1:22">
      <c r="A442" s="166"/>
      <c r="B442" s="167"/>
      <c r="C442" s="168"/>
      <c r="D442" s="169"/>
      <c r="E442" s="169"/>
      <c r="F442" s="169"/>
      <c r="G442" s="169"/>
      <c r="H442" s="169"/>
      <c r="I442" s="169"/>
      <c r="J442" s="170"/>
      <c r="K442" s="170"/>
      <c r="L442" s="169"/>
      <c r="M442" s="169"/>
      <c r="N442" s="169"/>
      <c r="O442" s="170"/>
      <c r="P442" s="170"/>
      <c r="Q442" s="169"/>
      <c r="R442" s="170"/>
      <c r="S442" s="170"/>
      <c r="T442" s="170"/>
      <c r="U442" s="170"/>
      <c r="V442" s="380"/>
    </row>
    <row r="443" spans="1:22">
      <c r="A443" s="166"/>
      <c r="B443" s="199"/>
      <c r="C443" s="200"/>
      <c r="D443" s="201"/>
      <c r="E443" s="201"/>
      <c r="F443" s="201"/>
      <c r="G443" s="201"/>
      <c r="H443" s="201"/>
      <c r="I443" s="201"/>
      <c r="J443" s="202"/>
      <c r="K443" s="202"/>
      <c r="L443" s="201"/>
      <c r="M443" s="201"/>
      <c r="N443" s="201"/>
      <c r="O443" s="202"/>
      <c r="P443" s="202"/>
      <c r="Q443" s="201"/>
      <c r="R443" s="202"/>
      <c r="S443" s="202"/>
      <c r="T443" s="202"/>
      <c r="U443" s="202"/>
      <c r="V443" s="380"/>
    </row>
    <row r="444" spans="1:22">
      <c r="A444" s="166"/>
      <c r="B444" s="246"/>
      <c r="C444" s="297"/>
      <c r="D444" s="298"/>
      <c r="E444" s="298"/>
      <c r="F444" s="298"/>
      <c r="G444" s="298"/>
      <c r="H444" s="298"/>
      <c r="I444" s="298"/>
      <c r="J444" s="307"/>
      <c r="K444" s="307"/>
      <c r="L444" s="298"/>
      <c r="M444" s="298"/>
      <c r="N444" s="298"/>
      <c r="O444" s="307"/>
      <c r="P444" s="165"/>
      <c r="Q444" s="298"/>
      <c r="R444" s="307"/>
      <c r="S444" s="307"/>
      <c r="T444" s="307"/>
      <c r="U444" s="307"/>
      <c r="V444" s="380"/>
    </row>
    <row r="445" spans="1:22">
      <c r="A445" s="166"/>
      <c r="B445" s="167"/>
      <c r="C445" s="168"/>
      <c r="D445" s="169"/>
      <c r="E445" s="169"/>
      <c r="F445" s="169"/>
      <c r="G445" s="169"/>
      <c r="H445" s="169"/>
      <c r="I445" s="169"/>
      <c r="J445" s="170"/>
      <c r="K445" s="170"/>
      <c r="L445" s="169"/>
      <c r="M445" s="169"/>
      <c r="N445" s="169"/>
      <c r="O445" s="170"/>
      <c r="P445" s="170"/>
      <c r="Q445" s="169"/>
      <c r="R445" s="170"/>
      <c r="S445" s="170"/>
      <c r="T445" s="170"/>
      <c r="U445" s="170"/>
      <c r="V445" s="380"/>
    </row>
    <row r="446" spans="1:22">
      <c r="A446" s="166"/>
      <c r="B446" s="199"/>
      <c r="C446" s="200"/>
      <c r="D446" s="201"/>
      <c r="E446" s="201"/>
      <c r="F446" s="201"/>
      <c r="G446" s="201"/>
      <c r="H446" s="201"/>
      <c r="I446" s="201"/>
      <c r="J446" s="202"/>
      <c r="K446" s="202"/>
      <c r="L446" s="201"/>
      <c r="M446" s="201"/>
      <c r="N446" s="201"/>
      <c r="O446" s="202"/>
      <c r="P446" s="202"/>
      <c r="Q446" s="201"/>
      <c r="R446" s="202"/>
      <c r="S446" s="202"/>
      <c r="T446" s="202"/>
      <c r="U446" s="202"/>
      <c r="V446" s="380"/>
    </row>
    <row r="447" spans="1:22">
      <c r="A447" s="166"/>
      <c r="B447" s="246"/>
      <c r="C447" s="297"/>
      <c r="D447" s="298"/>
      <c r="E447" s="298"/>
      <c r="F447" s="298"/>
      <c r="G447" s="298"/>
      <c r="H447" s="298"/>
      <c r="I447" s="298"/>
      <c r="J447" s="307"/>
      <c r="K447" s="307"/>
      <c r="L447" s="298"/>
      <c r="M447" s="298"/>
      <c r="N447" s="298"/>
      <c r="O447" s="307"/>
      <c r="P447" s="165"/>
      <c r="Q447" s="298"/>
      <c r="R447" s="307"/>
      <c r="S447" s="307"/>
      <c r="T447" s="307"/>
      <c r="U447" s="307"/>
      <c r="V447" s="380"/>
    </row>
    <row r="448" spans="1:22">
      <c r="A448" s="166"/>
      <c r="B448" s="167"/>
      <c r="C448" s="168"/>
      <c r="D448" s="169"/>
      <c r="E448" s="169"/>
      <c r="F448" s="169"/>
      <c r="G448" s="169"/>
      <c r="H448" s="169"/>
      <c r="I448" s="169"/>
      <c r="J448" s="170"/>
      <c r="K448" s="170"/>
      <c r="L448" s="169"/>
      <c r="M448" s="169"/>
      <c r="N448" s="169"/>
      <c r="O448" s="170"/>
      <c r="P448" s="170"/>
      <c r="Q448" s="169"/>
      <c r="R448" s="170"/>
      <c r="S448" s="170"/>
      <c r="T448" s="170"/>
      <c r="U448" s="170"/>
      <c r="V448" s="380"/>
    </row>
    <row r="449" spans="1:22">
      <c r="A449" s="166"/>
      <c r="B449" s="199"/>
      <c r="C449" s="200"/>
      <c r="D449" s="201"/>
      <c r="E449" s="201"/>
      <c r="F449" s="201"/>
      <c r="G449" s="201"/>
      <c r="H449" s="201"/>
      <c r="I449" s="201"/>
      <c r="J449" s="202"/>
      <c r="K449" s="202"/>
      <c r="L449" s="201"/>
      <c r="M449" s="201"/>
      <c r="N449" s="201"/>
      <c r="O449" s="202"/>
      <c r="P449" s="202"/>
      <c r="Q449" s="201"/>
      <c r="R449" s="202"/>
      <c r="S449" s="202"/>
      <c r="T449" s="202"/>
      <c r="U449" s="202"/>
      <c r="V449" s="380"/>
    </row>
    <row r="450" spans="1:22">
      <c r="A450" s="166"/>
      <c r="B450" s="246"/>
      <c r="C450" s="297"/>
      <c r="D450" s="298"/>
      <c r="E450" s="298"/>
      <c r="F450" s="298"/>
      <c r="G450" s="298"/>
      <c r="H450" s="298"/>
      <c r="I450" s="298"/>
      <c r="J450" s="307"/>
      <c r="K450" s="307"/>
      <c r="L450" s="298"/>
      <c r="M450" s="298"/>
      <c r="N450" s="298"/>
      <c r="O450" s="307"/>
      <c r="P450" s="165"/>
      <c r="Q450" s="298"/>
      <c r="R450" s="307"/>
      <c r="S450" s="307"/>
      <c r="T450" s="307"/>
      <c r="U450" s="307"/>
      <c r="V450" s="380"/>
    </row>
    <row r="451" spans="1:22">
      <c r="A451" s="166"/>
      <c r="B451" s="167"/>
      <c r="C451" s="168"/>
      <c r="D451" s="169"/>
      <c r="E451" s="169"/>
      <c r="F451" s="169"/>
      <c r="G451" s="169"/>
      <c r="H451" s="169"/>
      <c r="I451" s="169"/>
      <c r="J451" s="170"/>
      <c r="K451" s="170"/>
      <c r="L451" s="169"/>
      <c r="M451" s="169"/>
      <c r="N451" s="169"/>
      <c r="O451" s="170"/>
      <c r="P451" s="170"/>
      <c r="Q451" s="169"/>
      <c r="R451" s="170"/>
      <c r="S451" s="170"/>
      <c r="T451" s="170"/>
      <c r="U451" s="170"/>
      <c r="V451" s="380"/>
    </row>
    <row r="452" spans="1:22">
      <c r="A452" s="166"/>
      <c r="B452" s="199"/>
      <c r="C452" s="200"/>
      <c r="D452" s="201"/>
      <c r="E452" s="201"/>
      <c r="F452" s="201"/>
      <c r="G452" s="201"/>
      <c r="H452" s="201"/>
      <c r="I452" s="201"/>
      <c r="J452" s="202"/>
      <c r="K452" s="202"/>
      <c r="L452" s="201"/>
      <c r="M452" s="201"/>
      <c r="N452" s="201"/>
      <c r="O452" s="202"/>
      <c r="P452" s="202"/>
      <c r="Q452" s="201"/>
      <c r="R452" s="202"/>
      <c r="S452" s="202"/>
      <c r="T452" s="202"/>
      <c r="U452" s="202"/>
      <c r="V452" s="380"/>
    </row>
    <row r="453" spans="1:22">
      <c r="A453" s="166"/>
      <c r="B453" s="246"/>
      <c r="C453" s="297"/>
      <c r="D453" s="298"/>
      <c r="E453" s="298"/>
      <c r="F453" s="298"/>
      <c r="G453" s="298"/>
      <c r="H453" s="298"/>
      <c r="I453" s="298"/>
      <c r="J453" s="307"/>
      <c r="K453" s="307"/>
      <c r="L453" s="298"/>
      <c r="M453" s="298"/>
      <c r="N453" s="298"/>
      <c r="O453" s="307"/>
      <c r="P453" s="165"/>
      <c r="Q453" s="298"/>
      <c r="R453" s="307"/>
      <c r="S453" s="307"/>
      <c r="T453" s="307"/>
      <c r="U453" s="307"/>
      <c r="V453" s="380"/>
    </row>
    <row r="454" spans="1:22">
      <c r="A454" s="166"/>
      <c r="B454" s="167"/>
      <c r="C454" s="168"/>
      <c r="D454" s="169"/>
      <c r="E454" s="169"/>
      <c r="F454" s="169"/>
      <c r="G454" s="169"/>
      <c r="H454" s="169"/>
      <c r="I454" s="169"/>
      <c r="J454" s="170"/>
      <c r="K454" s="170"/>
      <c r="L454" s="169"/>
      <c r="M454" s="169"/>
      <c r="N454" s="169"/>
      <c r="O454" s="170"/>
      <c r="P454" s="170"/>
      <c r="Q454" s="169"/>
      <c r="R454" s="170"/>
      <c r="S454" s="170"/>
      <c r="T454" s="170"/>
      <c r="U454" s="170"/>
      <c r="V454" s="380"/>
    </row>
    <row r="455" spans="1:22" ht="15.75" thickBot="1">
      <c r="A455" s="166"/>
      <c r="B455" s="303"/>
      <c r="C455" s="304"/>
      <c r="D455" s="305"/>
      <c r="E455" s="305"/>
      <c r="F455" s="305"/>
      <c r="G455" s="305"/>
      <c r="H455" s="305"/>
      <c r="I455" s="305"/>
      <c r="J455" s="308"/>
      <c r="K455" s="308"/>
      <c r="L455" s="305"/>
      <c r="M455" s="305"/>
      <c r="N455" s="305"/>
      <c r="O455" s="308"/>
      <c r="P455" s="308"/>
      <c r="Q455" s="305"/>
      <c r="R455" s="308"/>
      <c r="S455" s="308"/>
      <c r="T455" s="308"/>
      <c r="U455" s="308"/>
      <c r="V455" s="380"/>
    </row>
    <row r="456" spans="1:22" ht="15.75" thickTop="1">
      <c r="A456" s="166"/>
      <c r="B456" s="167"/>
      <c r="C456" s="168"/>
      <c r="D456" s="169"/>
      <c r="E456" s="169"/>
      <c r="F456" s="169"/>
      <c r="G456" s="169"/>
      <c r="H456" s="169"/>
      <c r="I456" s="169"/>
      <c r="J456" s="170"/>
      <c r="K456" s="170"/>
      <c r="L456" s="169"/>
      <c r="M456" s="169"/>
      <c r="N456" s="169"/>
      <c r="O456" s="170"/>
      <c r="P456" s="170"/>
      <c r="Q456" s="169"/>
      <c r="R456" s="170"/>
      <c r="S456" s="170"/>
      <c r="T456" s="170"/>
      <c r="U456" s="170"/>
      <c r="V456" s="380"/>
    </row>
    <row r="457" spans="1:22">
      <c r="A457" s="166"/>
      <c r="B457" s="167"/>
      <c r="C457" s="168"/>
      <c r="D457" s="169"/>
      <c r="E457" s="169"/>
      <c r="F457" s="169"/>
      <c r="G457" s="169"/>
      <c r="H457" s="169"/>
      <c r="I457" s="169"/>
      <c r="J457" s="170"/>
      <c r="K457" s="170"/>
      <c r="L457" s="169"/>
      <c r="M457" s="169"/>
      <c r="N457" s="169"/>
      <c r="O457" s="170"/>
      <c r="P457" s="170"/>
      <c r="Q457" s="169"/>
      <c r="R457" s="170"/>
      <c r="S457" s="170"/>
      <c r="T457" s="170"/>
      <c r="U457" s="170"/>
      <c r="V457" s="380"/>
    </row>
    <row r="458" spans="1:22">
      <c r="A458" s="166"/>
      <c r="B458" s="199"/>
      <c r="C458" s="200"/>
      <c r="D458" s="201"/>
      <c r="E458" s="201"/>
      <c r="F458" s="201"/>
      <c r="G458" s="656"/>
      <c r="H458" s="201"/>
      <c r="I458" s="201"/>
      <c r="J458" s="202"/>
      <c r="K458" s="202"/>
      <c r="L458" s="201"/>
      <c r="M458" s="201"/>
      <c r="N458" s="201"/>
      <c r="O458" s="202"/>
      <c r="P458" s="202"/>
      <c r="Q458" s="201"/>
      <c r="R458" s="202"/>
      <c r="S458" s="202"/>
      <c r="T458" s="202"/>
      <c r="U458" s="202"/>
      <c r="V458" s="380"/>
    </row>
    <row r="459" spans="1:22">
      <c r="A459" s="166"/>
      <c r="B459" s="246"/>
      <c r="C459" s="297"/>
      <c r="D459" s="298"/>
      <c r="E459" s="298"/>
      <c r="F459" s="298"/>
      <c r="G459" s="298"/>
      <c r="H459" s="298"/>
      <c r="I459" s="298"/>
      <c r="J459" s="307"/>
      <c r="K459" s="307"/>
      <c r="L459" s="298"/>
      <c r="M459" s="298"/>
      <c r="N459" s="298"/>
      <c r="O459" s="307"/>
      <c r="P459" s="165"/>
      <c r="Q459" s="298"/>
      <c r="R459" s="307"/>
      <c r="S459" s="307"/>
      <c r="T459" s="307"/>
      <c r="U459" s="307"/>
      <c r="V459" s="380"/>
    </row>
    <row r="460" spans="1:22">
      <c r="A460" s="166"/>
      <c r="B460" s="167"/>
      <c r="C460" s="168"/>
      <c r="D460" s="169"/>
      <c r="E460" s="169"/>
      <c r="F460" s="169"/>
      <c r="G460" s="169"/>
      <c r="H460" s="169"/>
      <c r="I460" s="169"/>
      <c r="J460" s="170"/>
      <c r="K460" s="170"/>
      <c r="L460" s="169"/>
      <c r="M460" s="169"/>
      <c r="N460" s="169"/>
      <c r="O460" s="170"/>
      <c r="P460" s="170"/>
      <c r="Q460" s="169"/>
      <c r="R460" s="170"/>
      <c r="S460" s="170"/>
      <c r="T460" s="170"/>
      <c r="U460" s="170"/>
      <c r="V460" s="380"/>
    </row>
    <row r="461" spans="1:22">
      <c r="A461" s="166"/>
      <c r="B461" s="199"/>
      <c r="C461" s="200"/>
      <c r="D461" s="201"/>
      <c r="E461" s="201"/>
      <c r="F461" s="201"/>
      <c r="G461" s="201"/>
      <c r="H461" s="201"/>
      <c r="I461" s="201"/>
      <c r="J461" s="202"/>
      <c r="K461" s="202"/>
      <c r="L461" s="201"/>
      <c r="M461" s="201"/>
      <c r="N461" s="201"/>
      <c r="O461" s="202"/>
      <c r="P461" s="202"/>
      <c r="Q461" s="201"/>
      <c r="R461" s="202"/>
      <c r="S461" s="202"/>
      <c r="T461" s="202"/>
      <c r="U461" s="202"/>
      <c r="V461" s="380"/>
    </row>
    <row r="462" spans="1:22">
      <c r="A462" s="166"/>
      <c r="B462" s="246"/>
      <c r="C462" s="297"/>
      <c r="D462" s="298"/>
      <c r="E462" s="298"/>
      <c r="F462" s="298"/>
      <c r="G462" s="298"/>
      <c r="H462" s="298"/>
      <c r="I462" s="298"/>
      <c r="J462" s="307"/>
      <c r="K462" s="307"/>
      <c r="L462" s="298"/>
      <c r="M462" s="298"/>
      <c r="N462" s="298"/>
      <c r="O462" s="307"/>
      <c r="P462" s="165"/>
      <c r="Q462" s="298"/>
      <c r="R462" s="307"/>
      <c r="S462" s="307"/>
      <c r="T462" s="307"/>
      <c r="U462" s="307"/>
      <c r="V462" s="380"/>
    </row>
    <row r="463" spans="1:22">
      <c r="A463" s="166"/>
      <c r="B463" s="167"/>
      <c r="C463" s="168"/>
      <c r="D463" s="169"/>
      <c r="E463" s="169"/>
      <c r="F463" s="169"/>
      <c r="G463" s="169"/>
      <c r="H463" s="169"/>
      <c r="I463" s="169"/>
      <c r="J463" s="170"/>
      <c r="K463" s="170"/>
      <c r="L463" s="169"/>
      <c r="M463" s="169"/>
      <c r="N463" s="169"/>
      <c r="O463" s="170"/>
      <c r="P463" s="170"/>
      <c r="Q463" s="169"/>
      <c r="R463" s="170"/>
      <c r="S463" s="170"/>
      <c r="T463" s="170"/>
      <c r="U463" s="170"/>
      <c r="V463" s="380"/>
    </row>
    <row r="464" spans="1:22">
      <c r="A464" s="166"/>
      <c r="B464" s="199"/>
      <c r="C464" s="200"/>
      <c r="D464" s="201"/>
      <c r="E464" s="201"/>
      <c r="F464" s="201"/>
      <c r="G464" s="656"/>
      <c r="H464" s="201"/>
      <c r="I464" s="201"/>
      <c r="J464" s="202"/>
      <c r="K464" s="202"/>
      <c r="L464" s="201"/>
      <c r="M464" s="201"/>
      <c r="N464" s="201"/>
      <c r="O464" s="202"/>
      <c r="P464" s="202"/>
      <c r="Q464" s="201"/>
      <c r="R464" s="202"/>
      <c r="S464" s="202"/>
      <c r="T464" s="202"/>
      <c r="U464" s="202"/>
      <c r="V464" s="380"/>
    </row>
    <row r="465" spans="1:22">
      <c r="A465" s="166"/>
      <c r="B465" s="246"/>
      <c r="C465" s="297"/>
      <c r="D465" s="298"/>
      <c r="E465" s="298"/>
      <c r="F465" s="298"/>
      <c r="G465" s="298"/>
      <c r="H465" s="298"/>
      <c r="I465" s="298"/>
      <c r="J465" s="307"/>
      <c r="K465" s="307"/>
      <c r="L465" s="298"/>
      <c r="M465" s="298"/>
      <c r="N465" s="298"/>
      <c r="O465" s="307"/>
      <c r="P465" s="165"/>
      <c r="Q465" s="298"/>
      <c r="R465" s="307"/>
      <c r="S465" s="307"/>
      <c r="T465" s="307"/>
      <c r="U465" s="307"/>
      <c r="V465" s="380"/>
    </row>
    <row r="466" spans="1:22">
      <c r="A466" s="166"/>
      <c r="B466" s="167"/>
      <c r="C466" s="168"/>
      <c r="D466" s="169"/>
      <c r="E466" s="169"/>
      <c r="F466" s="169"/>
      <c r="G466" s="169"/>
      <c r="H466" s="169"/>
      <c r="I466" s="169"/>
      <c r="J466" s="170"/>
      <c r="K466" s="170"/>
      <c r="L466" s="169"/>
      <c r="M466" s="169"/>
      <c r="N466" s="169"/>
      <c r="O466" s="170"/>
      <c r="P466" s="170"/>
      <c r="Q466" s="169"/>
      <c r="R466" s="170"/>
      <c r="S466" s="170"/>
      <c r="T466" s="170"/>
      <c r="U466" s="170"/>
      <c r="V466" s="380"/>
    </row>
    <row r="467" spans="1:22">
      <c r="A467" s="166"/>
      <c r="B467" s="199"/>
      <c r="C467" s="200"/>
      <c r="D467" s="201"/>
      <c r="E467" s="201"/>
      <c r="F467" s="201"/>
      <c r="G467" s="201"/>
      <c r="H467" s="201"/>
      <c r="I467" s="201"/>
      <c r="J467" s="202"/>
      <c r="K467" s="202"/>
      <c r="L467" s="201"/>
      <c r="M467" s="201"/>
      <c r="N467" s="201"/>
      <c r="O467" s="202"/>
      <c r="P467" s="202"/>
      <c r="Q467" s="201"/>
      <c r="R467" s="202"/>
      <c r="S467" s="202"/>
      <c r="T467" s="202"/>
      <c r="U467" s="202"/>
      <c r="V467" s="380"/>
    </row>
    <row r="468" spans="1:22">
      <c r="A468" s="166"/>
      <c r="B468" s="246"/>
      <c r="C468" s="297"/>
      <c r="D468" s="298"/>
      <c r="E468" s="298"/>
      <c r="F468" s="298"/>
      <c r="G468" s="298"/>
      <c r="H468" s="298"/>
      <c r="I468" s="298"/>
      <c r="J468" s="307"/>
      <c r="K468" s="307"/>
      <c r="L468" s="298"/>
      <c r="M468" s="298"/>
      <c r="N468" s="298"/>
      <c r="O468" s="307"/>
      <c r="P468" s="165"/>
      <c r="Q468" s="298"/>
      <c r="R468" s="307"/>
      <c r="S468" s="307"/>
      <c r="T468" s="307"/>
      <c r="U468" s="307"/>
      <c r="V468" s="380"/>
    </row>
    <row r="469" spans="1:22">
      <c r="A469" s="166"/>
      <c r="B469" s="167"/>
      <c r="C469" s="168"/>
      <c r="D469" s="169"/>
      <c r="E469" s="169"/>
      <c r="F469" s="169"/>
      <c r="G469" s="169"/>
      <c r="H469" s="169"/>
      <c r="I469" s="169"/>
      <c r="J469" s="170"/>
      <c r="K469" s="170"/>
      <c r="L469" s="169"/>
      <c r="M469" s="169"/>
      <c r="N469" s="169"/>
      <c r="O469" s="170"/>
      <c r="P469" s="170"/>
      <c r="Q469" s="169"/>
      <c r="R469" s="170"/>
      <c r="S469" s="170"/>
      <c r="T469" s="170"/>
      <c r="U469" s="170"/>
      <c r="V469" s="380"/>
    </row>
    <row r="470" spans="1:22">
      <c r="A470" s="166"/>
      <c r="B470" s="199"/>
      <c r="C470" s="200"/>
      <c r="D470" s="201"/>
      <c r="E470" s="201"/>
      <c r="F470" s="201"/>
      <c r="G470" s="201"/>
      <c r="H470" s="201"/>
      <c r="I470" s="201"/>
      <c r="J470" s="202"/>
      <c r="K470" s="202"/>
      <c r="L470" s="201"/>
      <c r="M470" s="201"/>
      <c r="N470" s="201"/>
      <c r="O470" s="202"/>
      <c r="P470" s="202"/>
      <c r="Q470" s="201"/>
      <c r="R470" s="202"/>
      <c r="S470" s="202"/>
      <c r="T470" s="202"/>
      <c r="U470" s="202"/>
      <c r="V470" s="380"/>
    </row>
    <row r="471" spans="1:22">
      <c r="A471" s="166"/>
      <c r="B471" s="246"/>
      <c r="C471" s="297"/>
      <c r="D471" s="298"/>
      <c r="E471" s="298"/>
      <c r="F471" s="298"/>
      <c r="G471" s="298"/>
      <c r="H471" s="298"/>
      <c r="I471" s="298"/>
      <c r="J471" s="307"/>
      <c r="K471" s="307"/>
      <c r="L471" s="298"/>
      <c r="M471" s="298"/>
      <c r="N471" s="298"/>
      <c r="O471" s="307"/>
      <c r="P471" s="165"/>
      <c r="Q471" s="298"/>
      <c r="R471" s="307"/>
      <c r="S471" s="307"/>
      <c r="T471" s="307"/>
      <c r="U471" s="307"/>
      <c r="V471" s="380"/>
    </row>
    <row r="472" spans="1:22">
      <c r="A472" s="166"/>
      <c r="B472" s="167"/>
      <c r="C472" s="168"/>
      <c r="D472" s="169"/>
      <c r="E472" s="169"/>
      <c r="F472" s="169"/>
      <c r="G472" s="169"/>
      <c r="H472" s="169"/>
      <c r="I472" s="169"/>
      <c r="J472" s="170"/>
      <c r="K472" s="170"/>
      <c r="L472" s="169"/>
      <c r="M472" s="169"/>
      <c r="N472" s="169"/>
      <c r="O472" s="170"/>
      <c r="P472" s="170"/>
      <c r="Q472" s="169"/>
      <c r="R472" s="170"/>
      <c r="S472" s="170"/>
      <c r="T472" s="170"/>
      <c r="U472" s="170"/>
      <c r="V472" s="380"/>
    </row>
    <row r="473" spans="1:22" ht="15.75" thickBot="1">
      <c r="A473" s="310"/>
      <c r="B473" s="311"/>
      <c r="C473" s="312"/>
      <c r="D473" s="313"/>
      <c r="E473" s="313"/>
      <c r="F473" s="313"/>
      <c r="G473" s="313"/>
      <c r="H473" s="313"/>
      <c r="I473" s="313"/>
      <c r="J473" s="314"/>
      <c r="K473" s="314"/>
      <c r="L473" s="313"/>
      <c r="M473" s="313"/>
      <c r="N473" s="313"/>
      <c r="O473" s="314"/>
      <c r="P473" s="314"/>
      <c r="Q473" s="313"/>
      <c r="R473" s="314"/>
      <c r="S473" s="314"/>
      <c r="T473" s="314"/>
      <c r="U473" s="314"/>
      <c r="V473" s="380"/>
    </row>
    <row r="474" spans="1:22">
      <c r="A474" s="296"/>
      <c r="B474" s="246"/>
      <c r="C474" s="297"/>
      <c r="D474" s="298"/>
      <c r="E474" s="298"/>
      <c r="F474" s="298"/>
      <c r="G474" s="298"/>
      <c r="H474" s="298"/>
      <c r="I474" s="298"/>
      <c r="J474" s="307"/>
      <c r="K474" s="307"/>
      <c r="L474" s="298"/>
      <c r="M474" s="298"/>
      <c r="N474" s="298"/>
      <c r="O474" s="307"/>
      <c r="P474" s="165"/>
      <c r="Q474" s="298"/>
      <c r="R474" s="307"/>
      <c r="S474" s="307"/>
      <c r="T474" s="307"/>
      <c r="U474" s="307"/>
      <c r="V474" s="380"/>
    </row>
    <row r="475" spans="1:22">
      <c r="A475" s="166"/>
      <c r="B475" s="167"/>
      <c r="C475" s="168"/>
      <c r="D475" s="169"/>
      <c r="E475" s="169"/>
      <c r="F475" s="169"/>
      <c r="G475" s="169"/>
      <c r="H475" s="169"/>
      <c r="I475" s="169"/>
      <c r="J475" s="170"/>
      <c r="K475" s="170"/>
      <c r="L475" s="169"/>
      <c r="M475" s="169"/>
      <c r="N475" s="169"/>
      <c r="O475" s="170"/>
      <c r="P475" s="170"/>
      <c r="Q475" s="169"/>
      <c r="R475" s="170"/>
      <c r="S475" s="170"/>
      <c r="T475" s="170"/>
      <c r="U475" s="170"/>
      <c r="V475" s="380"/>
    </row>
    <row r="476" spans="1:22">
      <c r="A476" s="166"/>
      <c r="B476" s="199"/>
      <c r="C476" s="200"/>
      <c r="D476" s="201"/>
      <c r="E476" s="201"/>
      <c r="F476" s="656"/>
      <c r="G476" s="201"/>
      <c r="H476" s="201"/>
      <c r="I476" s="201"/>
      <c r="J476" s="202"/>
      <c r="K476" s="202"/>
      <c r="L476" s="201"/>
      <c r="M476" s="201"/>
      <c r="N476" s="201"/>
      <c r="O476" s="202"/>
      <c r="P476" s="202"/>
      <c r="Q476" s="201"/>
      <c r="R476" s="202"/>
      <c r="S476" s="202"/>
      <c r="T476" s="202"/>
      <c r="U476" s="202"/>
      <c r="V476" s="380"/>
    </row>
    <row r="477" spans="1:22">
      <c r="A477" s="166"/>
      <c r="B477" s="246"/>
      <c r="C477" s="297"/>
      <c r="D477" s="298"/>
      <c r="E477" s="298"/>
      <c r="F477" s="298"/>
      <c r="G477" s="298"/>
      <c r="H477" s="298"/>
      <c r="I477" s="298"/>
      <c r="J477" s="307"/>
      <c r="K477" s="307"/>
      <c r="L477" s="298"/>
      <c r="M477" s="298"/>
      <c r="N477" s="298"/>
      <c r="O477" s="307"/>
      <c r="P477" s="165"/>
      <c r="Q477" s="298"/>
      <c r="R477" s="307"/>
      <c r="S477" s="307"/>
      <c r="T477" s="307"/>
      <c r="U477" s="307"/>
      <c r="V477" s="380"/>
    </row>
    <row r="478" spans="1:22">
      <c r="A478" s="166"/>
      <c r="B478" s="167"/>
      <c r="C478" s="168"/>
      <c r="D478" s="169"/>
      <c r="E478" s="169"/>
      <c r="F478" s="169"/>
      <c r="G478" s="169"/>
      <c r="H478" s="169"/>
      <c r="I478" s="169"/>
      <c r="J478" s="170"/>
      <c r="K478" s="170"/>
      <c r="L478" s="169"/>
      <c r="M478" s="169"/>
      <c r="N478" s="169"/>
      <c r="O478" s="170"/>
      <c r="P478" s="170"/>
      <c r="Q478" s="169"/>
      <c r="R478" s="170"/>
      <c r="S478" s="170"/>
      <c r="T478" s="170"/>
      <c r="U478" s="170"/>
      <c r="V478" s="380"/>
    </row>
    <row r="479" spans="1:22">
      <c r="A479" s="166"/>
      <c r="B479" s="199"/>
      <c r="C479" s="200"/>
      <c r="D479" s="201"/>
      <c r="E479" s="201"/>
      <c r="F479" s="201"/>
      <c r="G479" s="201"/>
      <c r="H479" s="201"/>
      <c r="I479" s="201"/>
      <c r="J479" s="202"/>
      <c r="K479" s="202"/>
      <c r="L479" s="201"/>
      <c r="M479" s="201"/>
      <c r="N479" s="201"/>
      <c r="O479" s="202"/>
      <c r="P479" s="202"/>
      <c r="Q479" s="201"/>
      <c r="R479" s="202"/>
      <c r="S479" s="202"/>
      <c r="T479" s="202"/>
      <c r="U479" s="202"/>
      <c r="V479" s="380"/>
    </row>
    <row r="480" spans="1:22">
      <c r="A480" s="166"/>
      <c r="B480" s="246"/>
      <c r="C480" s="297"/>
      <c r="D480" s="298"/>
      <c r="E480" s="298"/>
      <c r="F480" s="298"/>
      <c r="G480" s="298"/>
      <c r="H480" s="298"/>
      <c r="I480" s="298"/>
      <c r="J480" s="307"/>
      <c r="K480" s="307"/>
      <c r="L480" s="298"/>
      <c r="M480" s="298"/>
      <c r="N480" s="298"/>
      <c r="O480" s="307"/>
      <c r="P480" s="165"/>
      <c r="Q480" s="298"/>
      <c r="R480" s="307"/>
      <c r="S480" s="307"/>
      <c r="T480" s="307"/>
      <c r="U480" s="307"/>
      <c r="V480" s="380"/>
    </row>
    <row r="481" spans="1:22">
      <c r="A481" s="166"/>
      <c r="B481" s="167"/>
      <c r="C481" s="168"/>
      <c r="D481" s="169"/>
      <c r="E481" s="169"/>
      <c r="F481" s="169"/>
      <c r="G481" s="169"/>
      <c r="H481" s="169"/>
      <c r="I481" s="169"/>
      <c r="J481" s="170"/>
      <c r="K481" s="170"/>
      <c r="L481" s="169"/>
      <c r="M481" s="169"/>
      <c r="N481" s="169"/>
      <c r="O481" s="170"/>
      <c r="P481" s="170"/>
      <c r="Q481" s="169"/>
      <c r="R481" s="170"/>
      <c r="S481" s="170"/>
      <c r="T481" s="170"/>
      <c r="U481" s="170"/>
      <c r="V481" s="380"/>
    </row>
    <row r="482" spans="1:22">
      <c r="A482" s="166"/>
      <c r="B482" s="199"/>
      <c r="C482" s="200"/>
      <c r="D482" s="201"/>
      <c r="E482" s="201"/>
      <c r="F482" s="201"/>
      <c r="G482" s="201"/>
      <c r="H482" s="201"/>
      <c r="I482" s="201"/>
      <c r="J482" s="202"/>
      <c r="K482" s="202"/>
      <c r="L482" s="201"/>
      <c r="M482" s="201"/>
      <c r="N482" s="201"/>
      <c r="O482" s="202"/>
      <c r="P482" s="202"/>
      <c r="Q482" s="201"/>
      <c r="R482" s="202"/>
      <c r="S482" s="202"/>
      <c r="T482" s="202"/>
      <c r="U482" s="202"/>
      <c r="V482" s="380"/>
    </row>
    <row r="483" spans="1:22">
      <c r="A483" s="166"/>
      <c r="B483" s="246"/>
      <c r="C483" s="297"/>
      <c r="D483" s="298"/>
      <c r="E483" s="298"/>
      <c r="F483" s="298"/>
      <c r="G483" s="298"/>
      <c r="H483" s="298"/>
      <c r="I483" s="298"/>
      <c r="J483" s="307"/>
      <c r="K483" s="307"/>
      <c r="L483" s="298"/>
      <c r="M483" s="298"/>
      <c r="N483" s="298"/>
      <c r="O483" s="307"/>
      <c r="P483" s="165"/>
      <c r="Q483" s="298"/>
      <c r="R483" s="307"/>
      <c r="S483" s="307"/>
      <c r="T483" s="307"/>
      <c r="U483" s="307"/>
      <c r="V483" s="380"/>
    </row>
    <row r="484" spans="1:22">
      <c r="A484" s="166"/>
      <c r="B484" s="167"/>
      <c r="C484" s="168"/>
      <c r="D484" s="169"/>
      <c r="E484" s="169"/>
      <c r="F484" s="169"/>
      <c r="G484" s="169"/>
      <c r="H484" s="169"/>
      <c r="I484" s="169"/>
      <c r="J484" s="170"/>
      <c r="K484" s="170"/>
      <c r="L484" s="169"/>
      <c r="M484" s="169"/>
      <c r="N484" s="169"/>
      <c r="O484" s="170"/>
      <c r="P484" s="170"/>
      <c r="Q484" s="169"/>
      <c r="R484" s="170"/>
      <c r="S484" s="170"/>
      <c r="T484" s="170"/>
      <c r="U484" s="170"/>
      <c r="V484" s="380"/>
    </row>
    <row r="485" spans="1:22">
      <c r="A485" s="166"/>
      <c r="B485" s="199"/>
      <c r="C485" s="200"/>
      <c r="D485" s="201"/>
      <c r="E485" s="201"/>
      <c r="F485" s="201"/>
      <c r="G485" s="201"/>
      <c r="H485" s="201"/>
      <c r="I485" s="201"/>
      <c r="J485" s="202"/>
      <c r="K485" s="202"/>
      <c r="L485" s="201"/>
      <c r="M485" s="201"/>
      <c r="N485" s="201"/>
      <c r="O485" s="202"/>
      <c r="P485" s="202"/>
      <c r="Q485" s="201"/>
      <c r="R485" s="202"/>
      <c r="S485" s="202"/>
      <c r="T485" s="202"/>
      <c r="U485" s="202"/>
      <c r="V485" s="380"/>
    </row>
    <row r="486" spans="1:22">
      <c r="A486" s="166"/>
      <c r="B486" s="246"/>
      <c r="C486" s="297"/>
      <c r="D486" s="298"/>
      <c r="E486" s="298"/>
      <c r="F486" s="298"/>
      <c r="G486" s="298"/>
      <c r="H486" s="298"/>
      <c r="I486" s="298"/>
      <c r="J486" s="307"/>
      <c r="K486" s="307"/>
      <c r="L486" s="298"/>
      <c r="M486" s="298"/>
      <c r="N486" s="298"/>
      <c r="O486" s="307"/>
      <c r="P486" s="165"/>
      <c r="Q486" s="298"/>
      <c r="R486" s="307"/>
      <c r="S486" s="307"/>
      <c r="T486" s="307"/>
      <c r="U486" s="307"/>
      <c r="V486" s="380"/>
    </row>
    <row r="487" spans="1:22">
      <c r="A487" s="166"/>
      <c r="B487" s="167"/>
      <c r="C487" s="168"/>
      <c r="D487" s="169"/>
      <c r="E487" s="169"/>
      <c r="F487" s="169"/>
      <c r="G487" s="169"/>
      <c r="H487" s="169"/>
      <c r="I487" s="169"/>
      <c r="J487" s="170"/>
      <c r="K487" s="170"/>
      <c r="L487" s="169"/>
      <c r="M487" s="169"/>
      <c r="N487" s="169"/>
      <c r="O487" s="170"/>
      <c r="P487" s="170"/>
      <c r="Q487" s="169"/>
      <c r="R487" s="170"/>
      <c r="S487" s="170"/>
      <c r="T487" s="170"/>
      <c r="U487" s="170"/>
      <c r="V487" s="380"/>
    </row>
    <row r="488" spans="1:22">
      <c r="A488" s="166"/>
      <c r="B488" s="199"/>
      <c r="C488" s="200"/>
      <c r="D488" s="201"/>
      <c r="E488" s="201"/>
      <c r="F488" s="201"/>
      <c r="G488" s="201"/>
      <c r="H488" s="201"/>
      <c r="I488" s="201"/>
      <c r="J488" s="202"/>
      <c r="K488" s="202"/>
      <c r="L488" s="201"/>
      <c r="M488" s="201"/>
      <c r="N488" s="201"/>
      <c r="O488" s="202"/>
      <c r="P488" s="202"/>
      <c r="Q488" s="201"/>
      <c r="R488" s="202"/>
      <c r="S488" s="202"/>
      <c r="T488" s="202"/>
      <c r="U488" s="202"/>
      <c r="V488" s="380"/>
    </row>
    <row r="489" spans="1:22">
      <c r="A489" s="166"/>
      <c r="B489" s="246"/>
      <c r="C489" s="297"/>
      <c r="D489" s="298"/>
      <c r="E489" s="298"/>
      <c r="F489" s="298"/>
      <c r="G489" s="298"/>
      <c r="H489" s="298"/>
      <c r="I489" s="298"/>
      <c r="J489" s="307"/>
      <c r="K489" s="307"/>
      <c r="L489" s="298"/>
      <c r="M489" s="298"/>
      <c r="N489" s="298"/>
      <c r="O489" s="307"/>
      <c r="P489" s="165"/>
      <c r="Q489" s="298"/>
      <c r="R489" s="307"/>
      <c r="S489" s="307"/>
      <c r="T489" s="307"/>
      <c r="U489" s="307"/>
      <c r="V489" s="380"/>
    </row>
    <row r="490" spans="1:22">
      <c r="A490" s="166"/>
      <c r="B490" s="167"/>
      <c r="C490" s="168"/>
      <c r="D490" s="169"/>
      <c r="E490" s="169"/>
      <c r="F490" s="169"/>
      <c r="G490" s="169"/>
      <c r="H490" s="169"/>
      <c r="I490" s="169"/>
      <c r="J490" s="170"/>
      <c r="K490" s="170"/>
      <c r="L490" s="169"/>
      <c r="M490" s="169"/>
      <c r="N490" s="169"/>
      <c r="O490" s="170"/>
      <c r="P490" s="170"/>
      <c r="Q490" s="169"/>
      <c r="R490" s="170"/>
      <c r="S490" s="170"/>
      <c r="T490" s="170"/>
      <c r="U490" s="170"/>
      <c r="V490" s="380"/>
    </row>
    <row r="491" spans="1:22" ht="15.75" thickBot="1">
      <c r="A491" s="166"/>
      <c r="B491" s="303"/>
      <c r="C491" s="304"/>
      <c r="D491" s="305"/>
      <c r="E491" s="305"/>
      <c r="F491" s="305"/>
      <c r="G491" s="305"/>
      <c r="H491" s="305"/>
      <c r="I491" s="305"/>
      <c r="J491" s="308"/>
      <c r="K491" s="308"/>
      <c r="L491" s="305"/>
      <c r="M491" s="305"/>
      <c r="N491" s="305"/>
      <c r="O491" s="308"/>
      <c r="P491" s="308"/>
      <c r="Q491" s="305"/>
      <c r="R491" s="308"/>
      <c r="S491" s="308"/>
      <c r="T491" s="308"/>
      <c r="U491" s="308"/>
      <c r="V491" s="380"/>
    </row>
    <row r="492" spans="1:22" ht="15.75" thickTop="1">
      <c r="A492" s="166"/>
      <c r="B492" s="167"/>
      <c r="C492" s="168"/>
      <c r="D492" s="169"/>
      <c r="E492" s="169"/>
      <c r="F492" s="169"/>
      <c r="G492" s="169"/>
      <c r="H492" s="169"/>
      <c r="I492" s="169"/>
      <c r="J492" s="170"/>
      <c r="K492" s="170"/>
      <c r="L492" s="169"/>
      <c r="M492" s="169"/>
      <c r="N492" s="169"/>
      <c r="O492" s="170"/>
      <c r="P492" s="170"/>
      <c r="Q492" s="169"/>
      <c r="R492" s="170"/>
      <c r="S492" s="170"/>
      <c r="T492" s="170"/>
      <c r="U492" s="170"/>
      <c r="V492" s="380"/>
    </row>
    <row r="493" spans="1:22">
      <c r="A493" s="166"/>
      <c r="B493" s="167"/>
      <c r="C493" s="168"/>
      <c r="D493" s="169"/>
      <c r="E493" s="169"/>
      <c r="F493" s="169"/>
      <c r="G493" s="169"/>
      <c r="H493" s="169"/>
      <c r="I493" s="169"/>
      <c r="J493" s="170"/>
      <c r="K493" s="170"/>
      <c r="L493" s="169"/>
      <c r="M493" s="169"/>
      <c r="N493" s="169"/>
      <c r="O493" s="170"/>
      <c r="P493" s="170"/>
      <c r="Q493" s="169"/>
      <c r="R493" s="170"/>
      <c r="S493" s="170"/>
      <c r="T493" s="170"/>
      <c r="U493" s="170"/>
      <c r="V493" s="380"/>
    </row>
    <row r="494" spans="1:22">
      <c r="A494" s="166"/>
      <c r="B494" s="199"/>
      <c r="C494" s="200"/>
      <c r="D494" s="201"/>
      <c r="E494" s="201"/>
      <c r="F494" s="201"/>
      <c r="G494" s="656"/>
      <c r="H494" s="201"/>
      <c r="I494" s="201"/>
      <c r="J494" s="202"/>
      <c r="K494" s="202"/>
      <c r="L494" s="201"/>
      <c r="M494" s="201"/>
      <c r="N494" s="201"/>
      <c r="O494" s="202"/>
      <c r="P494" s="202"/>
      <c r="Q494" s="201"/>
      <c r="R494" s="202"/>
      <c r="S494" s="202"/>
      <c r="T494" s="202"/>
      <c r="U494" s="202"/>
      <c r="V494" s="380"/>
    </row>
    <row r="495" spans="1:22">
      <c r="A495" s="166"/>
      <c r="B495" s="246"/>
      <c r="C495" s="297"/>
      <c r="D495" s="298"/>
      <c r="E495" s="298"/>
      <c r="F495" s="298"/>
      <c r="G495" s="298"/>
      <c r="H495" s="298"/>
      <c r="I495" s="298"/>
      <c r="J495" s="307"/>
      <c r="K495" s="307"/>
      <c r="L495" s="298"/>
      <c r="M495" s="298"/>
      <c r="N495" s="298"/>
      <c r="O495" s="307"/>
      <c r="P495" s="165"/>
      <c r="Q495" s="298"/>
      <c r="R495" s="307"/>
      <c r="S495" s="307"/>
      <c r="T495" s="307"/>
      <c r="U495" s="307"/>
      <c r="V495" s="380"/>
    </row>
    <row r="496" spans="1:22">
      <c r="A496" s="166"/>
      <c r="B496" s="167"/>
      <c r="C496" s="168"/>
      <c r="D496" s="169"/>
      <c r="E496" s="169"/>
      <c r="F496" s="169"/>
      <c r="G496" s="169"/>
      <c r="H496" s="169"/>
      <c r="I496" s="169"/>
      <c r="J496" s="170"/>
      <c r="K496" s="170"/>
      <c r="L496" s="169"/>
      <c r="M496" s="169"/>
      <c r="N496" s="169"/>
      <c r="O496" s="170"/>
      <c r="P496" s="170"/>
      <c r="Q496" s="169"/>
      <c r="R496" s="170"/>
      <c r="S496" s="170"/>
      <c r="T496" s="170"/>
      <c r="U496" s="170"/>
      <c r="V496" s="380"/>
    </row>
    <row r="497" spans="1:22">
      <c r="A497" s="166"/>
      <c r="B497" s="199"/>
      <c r="C497" s="200"/>
      <c r="D497" s="201"/>
      <c r="E497" s="201"/>
      <c r="F497" s="201"/>
      <c r="G497" s="201"/>
      <c r="H497" s="201"/>
      <c r="I497" s="201"/>
      <c r="J497" s="202"/>
      <c r="K497" s="202"/>
      <c r="L497" s="201"/>
      <c r="M497" s="201"/>
      <c r="N497" s="201"/>
      <c r="O497" s="202"/>
      <c r="P497" s="202"/>
      <c r="Q497" s="201"/>
      <c r="R497" s="202"/>
      <c r="S497" s="202"/>
      <c r="T497" s="202"/>
      <c r="U497" s="202"/>
      <c r="V497" s="380"/>
    </row>
    <row r="498" spans="1:22">
      <c r="A498" s="166"/>
      <c r="B498" s="246"/>
      <c r="C498" s="297"/>
      <c r="D498" s="298"/>
      <c r="E498" s="298"/>
      <c r="F498" s="298"/>
      <c r="G498" s="298"/>
      <c r="H498" s="298"/>
      <c r="I498" s="298"/>
      <c r="J498" s="307"/>
      <c r="K498" s="307"/>
      <c r="L498" s="298"/>
      <c r="M498" s="298"/>
      <c r="N498" s="298"/>
      <c r="O498" s="307"/>
      <c r="P498" s="165"/>
      <c r="Q498" s="298"/>
      <c r="R498" s="307"/>
      <c r="S498" s="307"/>
      <c r="T498" s="307"/>
      <c r="U498" s="307"/>
      <c r="V498" s="380"/>
    </row>
    <row r="499" spans="1:22">
      <c r="A499" s="166"/>
      <c r="B499" s="167"/>
      <c r="C499" s="168"/>
      <c r="D499" s="169"/>
      <c r="E499" s="169"/>
      <c r="F499" s="169"/>
      <c r="G499" s="169"/>
      <c r="H499" s="169"/>
      <c r="I499" s="169"/>
      <c r="J499" s="170"/>
      <c r="K499" s="170"/>
      <c r="L499" s="169"/>
      <c r="M499" s="169"/>
      <c r="N499" s="169"/>
      <c r="O499" s="170"/>
      <c r="P499" s="170"/>
      <c r="Q499" s="169"/>
      <c r="R499" s="170"/>
      <c r="S499" s="170"/>
      <c r="T499" s="170"/>
      <c r="U499" s="170"/>
      <c r="V499" s="380"/>
    </row>
    <row r="500" spans="1:22">
      <c r="A500" s="166"/>
      <c r="B500" s="199"/>
      <c r="C500" s="200"/>
      <c r="D500" s="201"/>
      <c r="E500" s="201"/>
      <c r="F500" s="201"/>
      <c r="G500" s="656"/>
      <c r="H500" s="201"/>
      <c r="I500" s="201"/>
      <c r="J500" s="202"/>
      <c r="K500" s="202"/>
      <c r="L500" s="201"/>
      <c r="M500" s="201"/>
      <c r="N500" s="201"/>
      <c r="O500" s="202"/>
      <c r="P500" s="202"/>
      <c r="Q500" s="201"/>
      <c r="R500" s="202"/>
      <c r="S500" s="202"/>
      <c r="T500" s="202"/>
      <c r="U500" s="202"/>
      <c r="V500" s="380"/>
    </row>
    <row r="501" spans="1:22">
      <c r="A501" s="166"/>
      <c r="B501" s="246"/>
      <c r="C501" s="297"/>
      <c r="D501" s="298"/>
      <c r="E501" s="298"/>
      <c r="F501" s="298"/>
      <c r="G501" s="298"/>
      <c r="H501" s="298"/>
      <c r="I501" s="298"/>
      <c r="J501" s="307"/>
      <c r="K501" s="307"/>
      <c r="L501" s="298"/>
      <c r="M501" s="298"/>
      <c r="N501" s="298"/>
      <c r="O501" s="307"/>
      <c r="P501" s="165"/>
      <c r="Q501" s="298"/>
      <c r="R501" s="307"/>
      <c r="S501" s="307"/>
      <c r="T501" s="307"/>
      <c r="U501" s="307"/>
      <c r="V501" s="380"/>
    </row>
    <row r="502" spans="1:22">
      <c r="A502" s="166"/>
      <c r="B502" s="167"/>
      <c r="C502" s="168"/>
      <c r="D502" s="169"/>
      <c r="E502" s="169"/>
      <c r="F502" s="169"/>
      <c r="G502" s="169"/>
      <c r="H502" s="659"/>
      <c r="I502" s="169"/>
      <c r="J502" s="170"/>
      <c r="K502" s="170"/>
      <c r="L502" s="169"/>
      <c r="M502" s="169"/>
      <c r="N502" s="169"/>
      <c r="O502" s="170"/>
      <c r="P502" s="170"/>
      <c r="Q502" s="169"/>
      <c r="R502" s="170"/>
      <c r="S502" s="170"/>
      <c r="T502" s="170"/>
      <c r="U502" s="170"/>
      <c r="V502" s="380"/>
    </row>
    <row r="503" spans="1:22">
      <c r="A503" s="166"/>
      <c r="B503" s="199"/>
      <c r="C503" s="200"/>
      <c r="D503" s="201"/>
      <c r="E503" s="201"/>
      <c r="F503" s="201"/>
      <c r="G503" s="201"/>
      <c r="H503" s="201"/>
      <c r="I503" s="201"/>
      <c r="J503" s="202"/>
      <c r="K503" s="202"/>
      <c r="L503" s="201"/>
      <c r="M503" s="201"/>
      <c r="N503" s="201"/>
      <c r="O503" s="202"/>
      <c r="P503" s="202"/>
      <c r="Q503" s="201"/>
      <c r="R503" s="202"/>
      <c r="S503" s="202"/>
      <c r="T503" s="202"/>
      <c r="U503" s="202"/>
      <c r="V503" s="380"/>
    </row>
    <row r="504" spans="1:22">
      <c r="A504" s="166"/>
      <c r="B504" s="246"/>
      <c r="C504" s="297"/>
      <c r="D504" s="298"/>
      <c r="E504" s="298"/>
      <c r="F504" s="298"/>
      <c r="G504" s="298"/>
      <c r="H504" s="298"/>
      <c r="I504" s="298"/>
      <c r="J504" s="307"/>
      <c r="K504" s="307"/>
      <c r="L504" s="298"/>
      <c r="M504" s="298"/>
      <c r="N504" s="298"/>
      <c r="O504" s="307"/>
      <c r="P504" s="165"/>
      <c r="Q504" s="298"/>
      <c r="R504" s="307"/>
      <c r="S504" s="307"/>
      <c r="T504" s="307"/>
      <c r="U504" s="307"/>
      <c r="V504" s="380"/>
    </row>
    <row r="505" spans="1:22">
      <c r="A505" s="166"/>
      <c r="B505" s="167"/>
      <c r="C505" s="168"/>
      <c r="D505" s="169"/>
      <c r="E505" s="169"/>
      <c r="F505" s="169"/>
      <c r="G505" s="659"/>
      <c r="H505" s="169"/>
      <c r="I505" s="169"/>
      <c r="J505" s="170"/>
      <c r="K505" s="170"/>
      <c r="L505" s="169"/>
      <c r="M505" s="169"/>
      <c r="N505" s="169"/>
      <c r="O505" s="170"/>
      <c r="P505" s="170"/>
      <c r="Q505" s="169"/>
      <c r="R505" s="170"/>
      <c r="S505" s="170"/>
      <c r="T505" s="170"/>
      <c r="U505" s="170"/>
      <c r="V505" s="380"/>
    </row>
    <row r="506" spans="1:22">
      <c r="A506" s="166"/>
      <c r="B506" s="199"/>
      <c r="C506" s="200"/>
      <c r="D506" s="201"/>
      <c r="E506" s="201"/>
      <c r="F506" s="201"/>
      <c r="G506" s="201"/>
      <c r="H506" s="201"/>
      <c r="I506" s="201"/>
      <c r="J506" s="202"/>
      <c r="K506" s="202"/>
      <c r="L506" s="201"/>
      <c r="M506" s="201"/>
      <c r="N506" s="201"/>
      <c r="O506" s="202"/>
      <c r="P506" s="202"/>
      <c r="Q506" s="201"/>
      <c r="R506" s="202"/>
      <c r="S506" s="202"/>
      <c r="T506" s="202"/>
      <c r="U506" s="202"/>
      <c r="V506" s="380"/>
    </row>
    <row r="507" spans="1:22">
      <c r="A507" s="166"/>
      <c r="B507" s="246"/>
      <c r="C507" s="297"/>
      <c r="D507" s="298"/>
      <c r="E507" s="298"/>
      <c r="F507" s="298"/>
      <c r="G507" s="298"/>
      <c r="H507" s="298"/>
      <c r="I507" s="298"/>
      <c r="J507" s="307"/>
      <c r="K507" s="307"/>
      <c r="L507" s="298"/>
      <c r="M507" s="298"/>
      <c r="N507" s="298"/>
      <c r="O507" s="307"/>
      <c r="P507" s="165"/>
      <c r="Q507" s="298"/>
      <c r="R507" s="307"/>
      <c r="S507" s="307"/>
      <c r="T507" s="307"/>
      <c r="U507" s="307"/>
      <c r="V507" s="380"/>
    </row>
    <row r="508" spans="1:22">
      <c r="A508" s="166"/>
      <c r="B508" s="167"/>
      <c r="C508" s="168"/>
      <c r="D508" s="169"/>
      <c r="E508" s="169"/>
      <c r="F508" s="169"/>
      <c r="G508" s="169"/>
      <c r="H508" s="169"/>
      <c r="I508" s="169"/>
      <c r="J508" s="170"/>
      <c r="K508" s="170"/>
      <c r="L508" s="169"/>
      <c r="M508" s="169"/>
      <c r="N508" s="169"/>
      <c r="O508" s="170"/>
      <c r="P508" s="170"/>
      <c r="Q508" s="169"/>
      <c r="R508" s="170"/>
      <c r="S508" s="170"/>
      <c r="T508" s="170"/>
      <c r="U508" s="170"/>
      <c r="V508" s="380"/>
    </row>
    <row r="509" spans="1:22" ht="15.75" thickBot="1">
      <c r="A509" s="310"/>
      <c r="B509" s="311"/>
      <c r="C509" s="312"/>
      <c r="D509" s="313"/>
      <c r="E509" s="313"/>
      <c r="F509" s="313"/>
      <c r="G509" s="313"/>
      <c r="H509" s="313"/>
      <c r="I509" s="313"/>
      <c r="J509" s="314"/>
      <c r="K509" s="314"/>
      <c r="L509" s="313"/>
      <c r="M509" s="313"/>
      <c r="N509" s="313"/>
      <c r="O509" s="314"/>
      <c r="P509" s="314"/>
      <c r="Q509" s="313"/>
      <c r="R509" s="314"/>
      <c r="S509" s="314"/>
      <c r="T509" s="314"/>
      <c r="U509" s="314"/>
      <c r="V509" s="380"/>
    </row>
    <row r="510" spans="1:22">
      <c r="A510" s="296"/>
      <c r="B510" s="246"/>
      <c r="C510" s="297"/>
      <c r="D510" s="298"/>
      <c r="E510" s="298"/>
      <c r="F510" s="298"/>
      <c r="G510" s="298"/>
      <c r="H510" s="298"/>
      <c r="I510" s="298"/>
      <c r="J510" s="307"/>
      <c r="K510" s="307"/>
      <c r="L510" s="298"/>
      <c r="M510" s="298"/>
      <c r="N510" s="298"/>
      <c r="O510" s="307"/>
      <c r="P510" s="165"/>
      <c r="Q510" s="298"/>
      <c r="R510" s="307"/>
      <c r="S510" s="307"/>
      <c r="T510" s="307"/>
      <c r="U510" s="307"/>
      <c r="V510" s="380"/>
    </row>
    <row r="511" spans="1:22">
      <c r="A511" s="166"/>
      <c r="B511" s="167"/>
      <c r="C511" s="168"/>
      <c r="D511" s="169"/>
      <c r="E511" s="169"/>
      <c r="F511" s="169"/>
      <c r="G511" s="169"/>
      <c r="H511" s="169"/>
      <c r="I511" s="169"/>
      <c r="J511" s="170"/>
      <c r="K511" s="170"/>
      <c r="L511" s="169"/>
      <c r="M511" s="169"/>
      <c r="N511" s="169"/>
      <c r="O511" s="170"/>
      <c r="P511" s="170"/>
      <c r="Q511" s="169"/>
      <c r="R511" s="170"/>
      <c r="S511" s="170"/>
      <c r="T511" s="170"/>
      <c r="U511" s="170"/>
      <c r="V511" s="380"/>
    </row>
    <row r="512" spans="1:22">
      <c r="A512" s="166"/>
      <c r="B512" s="199"/>
      <c r="C512" s="200"/>
      <c r="D512" s="201"/>
      <c r="E512" s="201"/>
      <c r="F512" s="201"/>
      <c r="G512" s="201"/>
      <c r="H512" s="656"/>
      <c r="I512" s="201"/>
      <c r="J512" s="202"/>
      <c r="K512" s="202"/>
      <c r="L512" s="201"/>
      <c r="M512" s="201"/>
      <c r="N512" s="201"/>
      <c r="O512" s="202"/>
      <c r="P512" s="202"/>
      <c r="Q512" s="201"/>
      <c r="R512" s="202"/>
      <c r="S512" s="202"/>
      <c r="T512" s="202"/>
      <c r="U512" s="202"/>
      <c r="V512" s="380"/>
    </row>
    <row r="513" spans="1:22">
      <c r="A513" s="166"/>
      <c r="B513" s="246"/>
      <c r="C513" s="297"/>
      <c r="D513" s="298"/>
      <c r="E513" s="298"/>
      <c r="F513" s="298"/>
      <c r="G513" s="298"/>
      <c r="H513" s="298"/>
      <c r="I513" s="298"/>
      <c r="J513" s="307"/>
      <c r="K513" s="307"/>
      <c r="L513" s="298"/>
      <c r="M513" s="298"/>
      <c r="N513" s="298"/>
      <c r="O513" s="307"/>
      <c r="P513" s="165"/>
      <c r="Q513" s="298"/>
      <c r="R513" s="307"/>
      <c r="S513" s="307"/>
      <c r="T513" s="307"/>
      <c r="U513" s="307"/>
      <c r="V513" s="380"/>
    </row>
    <row r="514" spans="1:22">
      <c r="A514" s="166"/>
      <c r="B514" s="167"/>
      <c r="C514" s="168"/>
      <c r="D514" s="169"/>
      <c r="E514" s="169"/>
      <c r="F514" s="169"/>
      <c r="G514" s="169"/>
      <c r="H514" s="169"/>
      <c r="I514" s="169"/>
      <c r="J514" s="170"/>
      <c r="K514" s="170"/>
      <c r="L514" s="169"/>
      <c r="M514" s="169"/>
      <c r="N514" s="169"/>
      <c r="O514" s="170"/>
      <c r="P514" s="170"/>
      <c r="Q514" s="169"/>
      <c r="R514" s="170"/>
      <c r="S514" s="170"/>
      <c r="T514" s="170"/>
      <c r="U514" s="170"/>
      <c r="V514" s="380"/>
    </row>
    <row r="515" spans="1:22">
      <c r="A515" s="166"/>
      <c r="B515" s="199"/>
      <c r="C515" s="200"/>
      <c r="D515" s="201"/>
      <c r="E515" s="201"/>
      <c r="F515" s="201"/>
      <c r="G515" s="201"/>
      <c r="H515" s="201"/>
      <c r="I515" s="201"/>
      <c r="J515" s="202"/>
      <c r="K515" s="202"/>
      <c r="L515" s="201"/>
      <c r="M515" s="201"/>
      <c r="N515" s="201"/>
      <c r="O515" s="202"/>
      <c r="P515" s="202"/>
      <c r="Q515" s="201"/>
      <c r="R515" s="202"/>
      <c r="S515" s="202"/>
      <c r="T515" s="202"/>
      <c r="U515" s="202"/>
      <c r="V515" s="380"/>
    </row>
    <row r="516" spans="1:22">
      <c r="A516" s="166"/>
      <c r="B516" s="246"/>
      <c r="C516" s="297"/>
      <c r="D516" s="298"/>
      <c r="E516" s="298"/>
      <c r="F516" s="298"/>
      <c r="G516" s="298"/>
      <c r="H516" s="298"/>
      <c r="I516" s="298"/>
      <c r="J516" s="307"/>
      <c r="K516" s="307"/>
      <c r="L516" s="298"/>
      <c r="M516" s="298"/>
      <c r="N516" s="298"/>
      <c r="O516" s="307"/>
      <c r="P516" s="165"/>
      <c r="Q516" s="298"/>
      <c r="R516" s="307"/>
      <c r="S516" s="307"/>
      <c r="T516" s="307"/>
      <c r="U516" s="307"/>
      <c r="V516" s="380"/>
    </row>
    <row r="517" spans="1:22">
      <c r="A517" s="166"/>
      <c r="B517" s="167"/>
      <c r="C517" s="168"/>
      <c r="D517" s="169"/>
      <c r="E517" s="169"/>
      <c r="F517" s="169"/>
      <c r="G517" s="169"/>
      <c r="H517" s="169"/>
      <c r="I517" s="169"/>
      <c r="J517" s="170"/>
      <c r="K517" s="170"/>
      <c r="L517" s="169"/>
      <c r="M517" s="169"/>
      <c r="N517" s="169"/>
      <c r="O517" s="170"/>
      <c r="P517" s="170"/>
      <c r="Q517" s="169"/>
      <c r="R517" s="170"/>
      <c r="S517" s="170"/>
      <c r="T517" s="170"/>
      <c r="U517" s="170"/>
      <c r="V517" s="380"/>
    </row>
    <row r="518" spans="1:22">
      <c r="A518" s="166"/>
      <c r="B518" s="199"/>
      <c r="C518" s="200"/>
      <c r="D518" s="201"/>
      <c r="E518" s="201"/>
      <c r="F518" s="201"/>
      <c r="G518" s="201"/>
      <c r="H518" s="656"/>
      <c r="I518" s="201"/>
      <c r="J518" s="202"/>
      <c r="K518" s="202"/>
      <c r="L518" s="201"/>
      <c r="M518" s="201"/>
      <c r="N518" s="201"/>
      <c r="O518" s="202"/>
      <c r="P518" s="202"/>
      <c r="Q518" s="201"/>
      <c r="R518" s="202"/>
      <c r="S518" s="202"/>
      <c r="T518" s="202"/>
      <c r="U518" s="202"/>
      <c r="V518" s="380"/>
    </row>
    <row r="519" spans="1:22">
      <c r="A519" s="166"/>
      <c r="B519" s="246"/>
      <c r="C519" s="297"/>
      <c r="D519" s="298"/>
      <c r="E519" s="298"/>
      <c r="F519" s="298"/>
      <c r="G519" s="298"/>
      <c r="H519" s="298"/>
      <c r="I519" s="298"/>
      <c r="J519" s="307"/>
      <c r="K519" s="307"/>
      <c r="L519" s="298"/>
      <c r="M519" s="298"/>
      <c r="N519" s="298"/>
      <c r="O519" s="307"/>
      <c r="P519" s="165"/>
      <c r="Q519" s="298"/>
      <c r="R519" s="307"/>
      <c r="S519" s="307"/>
      <c r="T519" s="307"/>
      <c r="U519" s="307"/>
      <c r="V519" s="380"/>
    </row>
    <row r="520" spans="1:22">
      <c r="A520" s="166"/>
      <c r="B520" s="167"/>
      <c r="C520" s="168"/>
      <c r="D520" s="169"/>
      <c r="E520" s="169"/>
      <c r="F520" s="169"/>
      <c r="G520" s="169"/>
      <c r="H520" s="169"/>
      <c r="I520" s="169"/>
      <c r="J520" s="170"/>
      <c r="K520" s="170"/>
      <c r="L520" s="169"/>
      <c r="M520" s="169"/>
      <c r="N520" s="169"/>
      <c r="O520" s="170"/>
      <c r="P520" s="170"/>
      <c r="Q520" s="169"/>
      <c r="R520" s="170"/>
      <c r="S520" s="170"/>
      <c r="T520" s="170"/>
      <c r="U520" s="170"/>
      <c r="V520" s="380"/>
    </row>
    <row r="521" spans="1:22">
      <c r="A521" s="166"/>
      <c r="B521" s="199"/>
      <c r="C521" s="200"/>
      <c r="D521" s="201"/>
      <c r="E521" s="201"/>
      <c r="F521" s="201"/>
      <c r="G521" s="201"/>
      <c r="H521" s="201"/>
      <c r="I521" s="201"/>
      <c r="J521" s="202"/>
      <c r="K521" s="202"/>
      <c r="L521" s="201"/>
      <c r="M521" s="201"/>
      <c r="N521" s="201"/>
      <c r="O521" s="202"/>
      <c r="P521" s="202"/>
      <c r="Q521" s="201"/>
      <c r="R521" s="202"/>
      <c r="S521" s="202"/>
      <c r="T521" s="202"/>
      <c r="U521" s="202"/>
      <c r="V521" s="380"/>
    </row>
    <row r="522" spans="1:22">
      <c r="A522" s="166"/>
      <c r="B522" s="246"/>
      <c r="C522" s="297"/>
      <c r="D522" s="298"/>
      <c r="E522" s="298"/>
      <c r="F522" s="298"/>
      <c r="G522" s="298"/>
      <c r="H522" s="298"/>
      <c r="I522" s="298"/>
      <c r="J522" s="307"/>
      <c r="K522" s="307"/>
      <c r="L522" s="298"/>
      <c r="M522" s="298"/>
      <c r="N522" s="298"/>
      <c r="O522" s="307"/>
      <c r="P522" s="165"/>
      <c r="Q522" s="298"/>
      <c r="R522" s="307"/>
      <c r="S522" s="307"/>
      <c r="T522" s="307"/>
      <c r="U522" s="307"/>
      <c r="V522" s="380"/>
    </row>
    <row r="523" spans="1:22">
      <c r="A523" s="166"/>
      <c r="B523" s="167"/>
      <c r="C523" s="168"/>
      <c r="D523" s="169"/>
      <c r="E523" s="169"/>
      <c r="F523" s="169"/>
      <c r="G523" s="169"/>
      <c r="H523" s="169"/>
      <c r="I523" s="169"/>
      <c r="J523" s="170"/>
      <c r="K523" s="170"/>
      <c r="L523" s="169"/>
      <c r="M523" s="169"/>
      <c r="N523" s="169"/>
      <c r="O523" s="170"/>
      <c r="P523" s="170"/>
      <c r="Q523" s="169"/>
      <c r="R523" s="170"/>
      <c r="S523" s="170"/>
      <c r="T523" s="170"/>
      <c r="U523" s="170"/>
      <c r="V523" s="380"/>
    </row>
    <row r="524" spans="1:22">
      <c r="A524" s="166"/>
      <c r="B524" s="199"/>
      <c r="C524" s="200"/>
      <c r="D524" s="201"/>
      <c r="E524" s="201"/>
      <c r="F524" s="201"/>
      <c r="G524" s="201"/>
      <c r="H524" s="201"/>
      <c r="I524" s="201"/>
      <c r="J524" s="202"/>
      <c r="K524" s="202"/>
      <c r="L524" s="201"/>
      <c r="M524" s="201"/>
      <c r="N524" s="201"/>
      <c r="O524" s="202"/>
      <c r="P524" s="202"/>
      <c r="Q524" s="201"/>
      <c r="R524" s="202"/>
      <c r="S524" s="202"/>
      <c r="T524" s="202"/>
      <c r="U524" s="202"/>
      <c r="V524" s="380"/>
    </row>
    <row r="525" spans="1:22">
      <c r="A525" s="166"/>
      <c r="B525" s="246"/>
      <c r="C525" s="297"/>
      <c r="D525" s="298"/>
      <c r="E525" s="298"/>
      <c r="F525" s="298"/>
      <c r="G525" s="298"/>
      <c r="H525" s="298"/>
      <c r="I525" s="298"/>
      <c r="J525" s="307"/>
      <c r="K525" s="307"/>
      <c r="L525" s="298"/>
      <c r="M525" s="298"/>
      <c r="N525" s="298"/>
      <c r="O525" s="307"/>
      <c r="P525" s="165"/>
      <c r="Q525" s="298"/>
      <c r="R525" s="307"/>
      <c r="S525" s="307"/>
      <c r="T525" s="307"/>
      <c r="U525" s="307"/>
      <c r="V525" s="380"/>
    </row>
    <row r="526" spans="1:22">
      <c r="A526" s="166"/>
      <c r="B526" s="167"/>
      <c r="C526" s="168"/>
      <c r="D526" s="169"/>
      <c r="E526" s="169"/>
      <c r="F526" s="169"/>
      <c r="G526" s="169"/>
      <c r="H526" s="169"/>
      <c r="I526" s="169"/>
      <c r="J526" s="170"/>
      <c r="K526" s="170"/>
      <c r="L526" s="169"/>
      <c r="M526" s="169"/>
      <c r="N526" s="169"/>
      <c r="O526" s="170"/>
      <c r="P526" s="170"/>
      <c r="Q526" s="169"/>
      <c r="R526" s="170"/>
      <c r="S526" s="170"/>
      <c r="T526" s="170"/>
      <c r="U526" s="170"/>
      <c r="V526" s="380"/>
    </row>
    <row r="527" spans="1:22" ht="15.75" thickBot="1">
      <c r="A527" s="166"/>
      <c r="B527" s="303"/>
      <c r="C527" s="304"/>
      <c r="D527" s="305"/>
      <c r="E527" s="305"/>
      <c r="F527" s="305"/>
      <c r="G527" s="305"/>
      <c r="H527" s="305"/>
      <c r="I527" s="305"/>
      <c r="J527" s="308"/>
      <c r="K527" s="308"/>
      <c r="L527" s="305"/>
      <c r="M527" s="305"/>
      <c r="N527" s="305"/>
      <c r="O527" s="308"/>
      <c r="P527" s="308"/>
      <c r="Q527" s="305"/>
      <c r="R527" s="308"/>
      <c r="S527" s="308"/>
      <c r="T527" s="308"/>
      <c r="U527" s="308"/>
      <c r="V527" s="380"/>
    </row>
    <row r="528" spans="1:22" ht="15.75" thickTop="1">
      <c r="A528" s="166"/>
      <c r="B528" s="167"/>
      <c r="C528" s="168"/>
      <c r="D528" s="169"/>
      <c r="E528" s="169"/>
      <c r="F528" s="169"/>
      <c r="G528" s="169"/>
      <c r="H528" s="169"/>
      <c r="I528" s="169"/>
      <c r="J528" s="170"/>
      <c r="K528" s="170"/>
      <c r="L528" s="169"/>
      <c r="M528" s="169"/>
      <c r="N528" s="169"/>
      <c r="O528" s="170"/>
      <c r="P528" s="170"/>
      <c r="Q528" s="169"/>
      <c r="R528" s="170"/>
      <c r="S528" s="170"/>
      <c r="T528" s="170"/>
      <c r="U528" s="170"/>
      <c r="V528" s="380"/>
    </row>
    <row r="529" spans="1:22">
      <c r="A529" s="166"/>
      <c r="B529" s="167"/>
      <c r="C529" s="168"/>
      <c r="D529" s="169"/>
      <c r="E529" s="169"/>
      <c r="F529" s="169"/>
      <c r="G529" s="169"/>
      <c r="H529" s="169"/>
      <c r="I529" s="169"/>
      <c r="J529" s="170"/>
      <c r="K529" s="170"/>
      <c r="L529" s="169"/>
      <c r="M529" s="169"/>
      <c r="N529" s="169"/>
      <c r="O529" s="170"/>
      <c r="P529" s="170"/>
      <c r="Q529" s="169"/>
      <c r="R529" s="170"/>
      <c r="S529" s="170"/>
      <c r="T529" s="170"/>
      <c r="U529" s="170"/>
      <c r="V529" s="380"/>
    </row>
    <row r="530" spans="1:22">
      <c r="A530" s="166"/>
      <c r="B530" s="199"/>
      <c r="C530" s="200"/>
      <c r="D530" s="201"/>
      <c r="E530" s="201"/>
      <c r="F530" s="201"/>
      <c r="G530" s="201"/>
      <c r="H530" s="201"/>
      <c r="I530" s="201"/>
      <c r="J530" s="202"/>
      <c r="K530" s="202"/>
      <c r="L530" s="201"/>
      <c r="M530" s="201"/>
      <c r="N530" s="201"/>
      <c r="O530" s="202"/>
      <c r="P530" s="202"/>
      <c r="Q530" s="201"/>
      <c r="R530" s="202"/>
      <c r="S530" s="202"/>
      <c r="T530" s="202"/>
      <c r="U530" s="202"/>
      <c r="V530" s="380"/>
    </row>
    <row r="531" spans="1:22">
      <c r="A531" s="166"/>
      <c r="B531" s="246"/>
      <c r="C531" s="297"/>
      <c r="D531" s="298"/>
      <c r="E531" s="298"/>
      <c r="F531" s="298"/>
      <c r="G531" s="298"/>
      <c r="H531" s="298"/>
      <c r="I531" s="298"/>
      <c r="J531" s="307"/>
      <c r="K531" s="307"/>
      <c r="L531" s="298"/>
      <c r="M531" s="298"/>
      <c r="N531" s="298"/>
      <c r="O531" s="307"/>
      <c r="P531" s="165"/>
      <c r="Q531" s="298"/>
      <c r="R531" s="307"/>
      <c r="S531" s="307"/>
      <c r="T531" s="307"/>
      <c r="U531" s="307"/>
      <c r="V531" s="380"/>
    </row>
    <row r="532" spans="1:22">
      <c r="A532" s="166"/>
      <c r="B532" s="167"/>
      <c r="C532" s="168"/>
      <c r="D532" s="169"/>
      <c r="E532" s="169"/>
      <c r="F532" s="169"/>
      <c r="G532" s="169"/>
      <c r="H532" s="169"/>
      <c r="I532" s="169"/>
      <c r="J532" s="170"/>
      <c r="K532" s="170"/>
      <c r="L532" s="169"/>
      <c r="M532" s="169"/>
      <c r="N532" s="169"/>
      <c r="O532" s="170"/>
      <c r="P532" s="170"/>
      <c r="Q532" s="169"/>
      <c r="R532" s="170"/>
      <c r="S532" s="170"/>
      <c r="T532" s="170"/>
      <c r="U532" s="170"/>
      <c r="V532" s="380"/>
    </row>
    <row r="533" spans="1:22">
      <c r="A533" s="166"/>
      <c r="B533" s="199"/>
      <c r="C533" s="200"/>
      <c r="D533" s="201"/>
      <c r="E533" s="201"/>
      <c r="F533" s="201"/>
      <c r="G533" s="201"/>
      <c r="H533" s="201"/>
      <c r="I533" s="201"/>
      <c r="J533" s="202"/>
      <c r="K533" s="202"/>
      <c r="L533" s="201"/>
      <c r="M533" s="201"/>
      <c r="N533" s="201"/>
      <c r="O533" s="202"/>
      <c r="P533" s="202"/>
      <c r="Q533" s="201"/>
      <c r="R533" s="202"/>
      <c r="S533" s="202"/>
      <c r="T533" s="202"/>
      <c r="U533" s="202"/>
      <c r="V533" s="380"/>
    </row>
    <row r="534" spans="1:22">
      <c r="A534" s="166"/>
      <c r="B534" s="246"/>
      <c r="C534" s="297"/>
      <c r="D534" s="298"/>
      <c r="E534" s="298"/>
      <c r="F534" s="298"/>
      <c r="G534" s="298"/>
      <c r="H534" s="298"/>
      <c r="I534" s="298"/>
      <c r="J534" s="307"/>
      <c r="K534" s="307"/>
      <c r="L534" s="298"/>
      <c r="M534" s="298"/>
      <c r="N534" s="298"/>
      <c r="O534" s="307"/>
      <c r="P534" s="165"/>
      <c r="Q534" s="298"/>
      <c r="R534" s="307"/>
      <c r="S534" s="307"/>
      <c r="T534" s="307"/>
      <c r="U534" s="307"/>
      <c r="V534" s="380"/>
    </row>
    <row r="535" spans="1:22">
      <c r="A535" s="166"/>
      <c r="B535" s="167"/>
      <c r="C535" s="168"/>
      <c r="D535" s="169"/>
      <c r="E535" s="169"/>
      <c r="F535" s="169"/>
      <c r="G535" s="169"/>
      <c r="H535" s="169"/>
      <c r="I535" s="169"/>
      <c r="J535" s="170"/>
      <c r="K535" s="170"/>
      <c r="L535" s="169"/>
      <c r="M535" s="169"/>
      <c r="N535" s="169"/>
      <c r="O535" s="170"/>
      <c r="P535" s="170"/>
      <c r="Q535" s="169"/>
      <c r="R535" s="170"/>
      <c r="S535" s="170"/>
      <c r="T535" s="170"/>
      <c r="U535" s="170"/>
      <c r="V535" s="380"/>
    </row>
    <row r="536" spans="1:22">
      <c r="A536" s="166"/>
      <c r="B536" s="199"/>
      <c r="C536" s="200"/>
      <c r="D536" s="201"/>
      <c r="E536" s="656"/>
      <c r="F536" s="201"/>
      <c r="G536" s="201"/>
      <c r="H536" s="201"/>
      <c r="I536" s="201"/>
      <c r="J536" s="202"/>
      <c r="K536" s="202"/>
      <c r="L536" s="201"/>
      <c r="M536" s="201"/>
      <c r="N536" s="201"/>
      <c r="O536" s="202"/>
      <c r="P536" s="202"/>
      <c r="Q536" s="201"/>
      <c r="R536" s="202"/>
      <c r="S536" s="202"/>
      <c r="T536" s="202"/>
      <c r="U536" s="202"/>
      <c r="V536" s="380"/>
    </row>
    <row r="537" spans="1:22">
      <c r="A537" s="166"/>
      <c r="B537" s="246"/>
      <c r="C537" s="297"/>
      <c r="D537" s="298"/>
      <c r="E537" s="298"/>
      <c r="F537" s="298"/>
      <c r="G537" s="298"/>
      <c r="H537" s="298"/>
      <c r="I537" s="298"/>
      <c r="J537" s="307"/>
      <c r="K537" s="307"/>
      <c r="L537" s="298"/>
      <c r="M537" s="298"/>
      <c r="N537" s="298"/>
      <c r="O537" s="307"/>
      <c r="P537" s="165"/>
      <c r="Q537" s="298"/>
      <c r="R537" s="307"/>
      <c r="S537" s="307"/>
      <c r="T537" s="307"/>
      <c r="U537" s="307"/>
      <c r="V537" s="380"/>
    </row>
    <row r="538" spans="1:22">
      <c r="A538" s="166"/>
      <c r="B538" s="167"/>
      <c r="C538" s="168"/>
      <c r="D538" s="169"/>
      <c r="E538" s="169"/>
      <c r="F538" s="169"/>
      <c r="G538" s="169"/>
      <c r="H538" s="169"/>
      <c r="I538" s="169"/>
      <c r="J538" s="170"/>
      <c r="K538" s="170"/>
      <c r="L538" s="169"/>
      <c r="M538" s="169"/>
      <c r="N538" s="169"/>
      <c r="O538" s="170"/>
      <c r="P538" s="170"/>
      <c r="Q538" s="169"/>
      <c r="R538" s="170"/>
      <c r="S538" s="170"/>
      <c r="T538" s="170"/>
      <c r="U538" s="170"/>
      <c r="V538" s="380"/>
    </row>
    <row r="539" spans="1:22">
      <c r="A539" s="166"/>
      <c r="B539" s="199"/>
      <c r="C539" s="200"/>
      <c r="D539" s="201"/>
      <c r="E539" s="201"/>
      <c r="F539" s="201"/>
      <c r="G539" s="201"/>
      <c r="H539" s="201"/>
      <c r="I539" s="201"/>
      <c r="J539" s="202"/>
      <c r="K539" s="202"/>
      <c r="L539" s="201"/>
      <c r="M539" s="201"/>
      <c r="N539" s="201"/>
      <c r="O539" s="202"/>
      <c r="P539" s="202"/>
      <c r="Q539" s="201"/>
      <c r="R539" s="202"/>
      <c r="S539" s="202"/>
      <c r="T539" s="202"/>
      <c r="U539" s="202"/>
      <c r="V539" s="380"/>
    </row>
    <row r="540" spans="1:22">
      <c r="A540" s="166"/>
      <c r="B540" s="246"/>
      <c r="C540" s="297"/>
      <c r="D540" s="298"/>
      <c r="E540" s="298"/>
      <c r="F540" s="298"/>
      <c r="G540" s="298"/>
      <c r="H540" s="298"/>
      <c r="I540" s="298"/>
      <c r="J540" s="307"/>
      <c r="K540" s="307"/>
      <c r="L540" s="298"/>
      <c r="M540" s="298"/>
      <c r="N540" s="298"/>
      <c r="O540" s="307"/>
      <c r="P540" s="165"/>
      <c r="Q540" s="298"/>
      <c r="R540" s="307"/>
      <c r="S540" s="307"/>
      <c r="T540" s="307"/>
      <c r="U540" s="307"/>
      <c r="V540" s="380"/>
    </row>
    <row r="541" spans="1:22">
      <c r="A541" s="166"/>
      <c r="B541" s="167"/>
      <c r="C541" s="168"/>
      <c r="D541" s="169"/>
      <c r="E541" s="169"/>
      <c r="F541" s="169"/>
      <c r="G541" s="169"/>
      <c r="H541" s="169"/>
      <c r="I541" s="169"/>
      <c r="J541" s="170"/>
      <c r="K541" s="170"/>
      <c r="L541" s="169"/>
      <c r="M541" s="169"/>
      <c r="N541" s="169"/>
      <c r="O541" s="170"/>
      <c r="P541" s="170"/>
      <c r="Q541" s="169"/>
      <c r="R541" s="170"/>
      <c r="S541" s="170"/>
      <c r="T541" s="170"/>
      <c r="U541" s="170"/>
      <c r="V541" s="380"/>
    </row>
    <row r="542" spans="1:22">
      <c r="A542" s="166"/>
      <c r="B542" s="199"/>
      <c r="C542" s="200"/>
      <c r="D542" s="201"/>
      <c r="E542" s="201"/>
      <c r="F542" s="201"/>
      <c r="G542" s="201"/>
      <c r="H542" s="201"/>
      <c r="I542" s="201"/>
      <c r="J542" s="202"/>
      <c r="K542" s="202"/>
      <c r="L542" s="201"/>
      <c r="M542" s="201"/>
      <c r="N542" s="201"/>
      <c r="O542" s="202"/>
      <c r="P542" s="202"/>
      <c r="Q542" s="201"/>
      <c r="R542" s="202"/>
      <c r="S542" s="202"/>
      <c r="T542" s="202"/>
      <c r="U542" s="202"/>
      <c r="V542" s="380"/>
    </row>
    <row r="543" spans="1:22">
      <c r="A543" s="166"/>
      <c r="B543" s="246"/>
      <c r="C543" s="297"/>
      <c r="D543" s="298"/>
      <c r="E543" s="298"/>
      <c r="F543" s="298"/>
      <c r="G543" s="298"/>
      <c r="H543" s="298"/>
      <c r="I543" s="298"/>
      <c r="J543" s="307"/>
      <c r="K543" s="307"/>
      <c r="L543" s="298"/>
      <c r="M543" s="298"/>
      <c r="N543" s="298"/>
      <c r="O543" s="307"/>
      <c r="P543" s="165"/>
      <c r="Q543" s="298"/>
      <c r="R543" s="307"/>
      <c r="S543" s="307"/>
      <c r="T543" s="307"/>
      <c r="U543" s="307"/>
      <c r="V543" s="380"/>
    </row>
    <row r="544" spans="1:22">
      <c r="A544" s="166"/>
      <c r="B544" s="167"/>
      <c r="C544" s="168"/>
      <c r="D544" s="169"/>
      <c r="E544" s="169"/>
      <c r="F544" s="169"/>
      <c r="G544" s="169"/>
      <c r="H544" s="169"/>
      <c r="I544" s="169"/>
      <c r="J544" s="170"/>
      <c r="K544" s="170"/>
      <c r="L544" s="169"/>
      <c r="M544" s="169"/>
      <c r="N544" s="169"/>
      <c r="O544" s="170"/>
      <c r="P544" s="170"/>
      <c r="Q544" s="169"/>
      <c r="R544" s="170"/>
      <c r="S544" s="170"/>
      <c r="T544" s="170"/>
      <c r="U544" s="170"/>
      <c r="V544" s="380"/>
    </row>
    <row r="545" spans="1:22" ht="15.75" thickBot="1">
      <c r="A545" s="310"/>
      <c r="B545" s="311"/>
      <c r="C545" s="312"/>
      <c r="D545" s="313"/>
      <c r="E545" s="313"/>
      <c r="F545" s="313"/>
      <c r="G545" s="313"/>
      <c r="H545" s="313"/>
      <c r="I545" s="313"/>
      <c r="J545" s="314"/>
      <c r="K545" s="314"/>
      <c r="L545" s="313"/>
      <c r="M545" s="313"/>
      <c r="N545" s="313"/>
      <c r="O545" s="314"/>
      <c r="P545" s="314"/>
      <c r="Q545" s="313"/>
      <c r="R545" s="314"/>
      <c r="S545" s="314"/>
      <c r="T545" s="314"/>
      <c r="U545" s="314"/>
      <c r="V545" s="380"/>
    </row>
    <row r="546" spans="1:22">
      <c r="A546" s="296"/>
      <c r="B546" s="246"/>
      <c r="C546" s="297"/>
      <c r="D546" s="298"/>
      <c r="E546" s="298"/>
      <c r="F546" s="298"/>
      <c r="G546" s="298"/>
      <c r="H546" s="298"/>
      <c r="I546" s="298"/>
      <c r="J546" s="307"/>
      <c r="K546" s="307"/>
      <c r="L546" s="298"/>
      <c r="M546" s="298"/>
      <c r="N546" s="298"/>
      <c r="O546" s="307"/>
      <c r="P546" s="165"/>
      <c r="Q546" s="298"/>
      <c r="R546" s="307"/>
      <c r="S546" s="307"/>
      <c r="T546" s="307"/>
      <c r="U546" s="307"/>
      <c r="V546" s="380"/>
    </row>
    <row r="547" spans="1:22">
      <c r="A547" s="166"/>
      <c r="B547" s="167"/>
      <c r="C547" s="168"/>
      <c r="D547" s="169"/>
      <c r="E547" s="169"/>
      <c r="F547" s="169"/>
      <c r="G547" s="169"/>
      <c r="H547" s="169"/>
      <c r="I547" s="169"/>
      <c r="J547" s="170"/>
      <c r="K547" s="170"/>
      <c r="L547" s="169"/>
      <c r="M547" s="169"/>
      <c r="N547" s="169"/>
      <c r="O547" s="170"/>
      <c r="P547" s="170"/>
      <c r="Q547" s="169"/>
      <c r="R547" s="170"/>
      <c r="S547" s="170"/>
      <c r="T547" s="170"/>
      <c r="U547" s="170"/>
      <c r="V547" s="380"/>
    </row>
    <row r="548" spans="1:22">
      <c r="A548" s="166"/>
      <c r="B548" s="199"/>
      <c r="C548" s="200"/>
      <c r="D548" s="201"/>
      <c r="E548" s="201"/>
      <c r="F548" s="201"/>
      <c r="G548" s="201"/>
      <c r="H548" s="201"/>
      <c r="I548" s="201"/>
      <c r="J548" s="202"/>
      <c r="K548" s="657"/>
      <c r="L548" s="201"/>
      <c r="M548" s="201"/>
      <c r="N548" s="201"/>
      <c r="O548" s="202"/>
      <c r="P548" s="202"/>
      <c r="Q548" s="201"/>
      <c r="R548" s="202"/>
      <c r="S548" s="202"/>
      <c r="T548" s="202"/>
      <c r="U548" s="202"/>
      <c r="V548" s="380"/>
    </row>
    <row r="549" spans="1:22">
      <c r="A549" s="166"/>
      <c r="B549" s="246"/>
      <c r="C549" s="297"/>
      <c r="D549" s="298"/>
      <c r="E549" s="298"/>
      <c r="F549" s="298"/>
      <c r="G549" s="298"/>
      <c r="H549" s="298"/>
      <c r="I549" s="298"/>
      <c r="J549" s="307"/>
      <c r="K549" s="307"/>
      <c r="L549" s="298"/>
      <c r="M549" s="298"/>
      <c r="N549" s="298"/>
      <c r="O549" s="307"/>
      <c r="P549" s="165"/>
      <c r="Q549" s="298"/>
      <c r="R549" s="307"/>
      <c r="S549" s="307"/>
      <c r="T549" s="307"/>
      <c r="U549" s="307"/>
      <c r="V549" s="380"/>
    </row>
    <row r="550" spans="1:22">
      <c r="A550" s="166"/>
      <c r="B550" s="167"/>
      <c r="C550" s="168"/>
      <c r="D550" s="169"/>
      <c r="E550" s="169"/>
      <c r="F550" s="169"/>
      <c r="G550" s="169"/>
      <c r="H550" s="169"/>
      <c r="I550" s="169"/>
      <c r="J550" s="170"/>
      <c r="K550" s="170"/>
      <c r="L550" s="169"/>
      <c r="M550" s="169"/>
      <c r="N550" s="169"/>
      <c r="O550" s="170"/>
      <c r="P550" s="170"/>
      <c r="Q550" s="169"/>
      <c r="R550" s="170"/>
      <c r="S550" s="170"/>
      <c r="T550" s="170"/>
      <c r="U550" s="170"/>
      <c r="V550" s="380"/>
    </row>
    <row r="551" spans="1:22">
      <c r="A551" s="166"/>
      <c r="B551" s="199"/>
      <c r="C551" s="200"/>
      <c r="D551" s="201"/>
      <c r="E551" s="201"/>
      <c r="F551" s="201"/>
      <c r="G551" s="201"/>
      <c r="H551" s="201"/>
      <c r="I551" s="201"/>
      <c r="J551" s="202"/>
      <c r="K551" s="202"/>
      <c r="L551" s="201"/>
      <c r="M551" s="201"/>
      <c r="N551" s="201"/>
      <c r="O551" s="202"/>
      <c r="P551" s="202"/>
      <c r="Q551" s="201"/>
      <c r="R551" s="202"/>
      <c r="S551" s="202"/>
      <c r="T551" s="202"/>
      <c r="U551" s="202"/>
      <c r="V551" s="380"/>
    </row>
    <row r="552" spans="1:22">
      <c r="A552" s="166"/>
      <c r="B552" s="246"/>
      <c r="C552" s="297"/>
      <c r="D552" s="298"/>
      <c r="E552" s="298"/>
      <c r="F552" s="298"/>
      <c r="G552" s="298"/>
      <c r="H552" s="298"/>
      <c r="I552" s="298"/>
      <c r="J552" s="307"/>
      <c r="K552" s="307"/>
      <c r="L552" s="298"/>
      <c r="M552" s="298"/>
      <c r="N552" s="298"/>
      <c r="O552" s="307"/>
      <c r="P552" s="165"/>
      <c r="Q552" s="298"/>
      <c r="R552" s="307"/>
      <c r="S552" s="307"/>
      <c r="T552" s="307"/>
      <c r="U552" s="307"/>
      <c r="V552" s="380"/>
    </row>
    <row r="553" spans="1:22">
      <c r="A553" s="166"/>
      <c r="B553" s="167"/>
      <c r="C553" s="168"/>
      <c r="D553" s="169"/>
      <c r="E553" s="169"/>
      <c r="F553" s="169"/>
      <c r="G553" s="169"/>
      <c r="H553" s="169"/>
      <c r="I553" s="169"/>
      <c r="J553" s="170"/>
      <c r="K553" s="170"/>
      <c r="L553" s="169"/>
      <c r="M553" s="169"/>
      <c r="N553" s="169"/>
      <c r="O553" s="170"/>
      <c r="P553" s="170"/>
      <c r="Q553" s="169"/>
      <c r="R553" s="170"/>
      <c r="S553" s="170"/>
      <c r="T553" s="170"/>
      <c r="U553" s="170"/>
      <c r="V553" s="380"/>
    </row>
    <row r="554" spans="1:22">
      <c r="A554" s="166"/>
      <c r="B554" s="199"/>
      <c r="C554" s="200"/>
      <c r="D554" s="201"/>
      <c r="E554" s="201"/>
      <c r="F554" s="201"/>
      <c r="G554" s="201"/>
      <c r="H554" s="201"/>
      <c r="I554" s="201"/>
      <c r="J554" s="202"/>
      <c r="K554" s="657"/>
      <c r="L554" s="201"/>
      <c r="M554" s="201"/>
      <c r="N554" s="201"/>
      <c r="O554" s="202"/>
      <c r="P554" s="202"/>
      <c r="Q554" s="201"/>
      <c r="R554" s="202"/>
      <c r="S554" s="202"/>
      <c r="T554" s="202"/>
      <c r="U554" s="202"/>
      <c r="V554" s="380"/>
    </row>
    <row r="555" spans="1:22">
      <c r="A555" s="166"/>
      <c r="B555" s="246"/>
      <c r="C555" s="297"/>
      <c r="D555" s="298"/>
      <c r="E555" s="298"/>
      <c r="F555" s="298"/>
      <c r="G555" s="298"/>
      <c r="H555" s="298"/>
      <c r="I555" s="298"/>
      <c r="J555" s="307"/>
      <c r="K555" s="307"/>
      <c r="L555" s="298"/>
      <c r="M555" s="298"/>
      <c r="N555" s="298"/>
      <c r="O555" s="307"/>
      <c r="P555" s="165"/>
      <c r="Q555" s="298"/>
      <c r="R555" s="307"/>
      <c r="S555" s="307"/>
      <c r="T555" s="307"/>
      <c r="U555" s="307"/>
      <c r="V555" s="380"/>
    </row>
    <row r="556" spans="1:22">
      <c r="A556" s="166"/>
      <c r="B556" s="167"/>
      <c r="C556" s="168"/>
      <c r="D556" s="169"/>
      <c r="E556" s="169"/>
      <c r="F556" s="169"/>
      <c r="G556" s="169"/>
      <c r="H556" s="169"/>
      <c r="I556" s="169"/>
      <c r="J556" s="170"/>
      <c r="K556" s="170"/>
      <c r="L556" s="169"/>
      <c r="M556" s="169"/>
      <c r="N556" s="169"/>
      <c r="O556" s="170"/>
      <c r="P556" s="170"/>
      <c r="Q556" s="169"/>
      <c r="R556" s="170"/>
      <c r="S556" s="170"/>
      <c r="T556" s="170"/>
      <c r="U556" s="170"/>
      <c r="V556" s="380"/>
    </row>
    <row r="557" spans="1:22">
      <c r="A557" s="166"/>
      <c r="B557" s="199"/>
      <c r="C557" s="200"/>
      <c r="D557" s="201"/>
      <c r="E557" s="201"/>
      <c r="F557" s="201"/>
      <c r="G557" s="201"/>
      <c r="H557" s="201"/>
      <c r="I557" s="201"/>
      <c r="J557" s="202"/>
      <c r="K557" s="202"/>
      <c r="L557" s="201"/>
      <c r="M557" s="201"/>
      <c r="N557" s="201"/>
      <c r="O557" s="202"/>
      <c r="P557" s="202"/>
      <c r="Q557" s="201"/>
      <c r="R557" s="202"/>
      <c r="S557" s="202"/>
      <c r="T557" s="202"/>
      <c r="U557" s="202"/>
      <c r="V557" s="380"/>
    </row>
    <row r="558" spans="1:22">
      <c r="A558" s="166"/>
      <c r="B558" s="246"/>
      <c r="C558" s="297"/>
      <c r="D558" s="298"/>
      <c r="E558" s="298"/>
      <c r="F558" s="298"/>
      <c r="G558" s="298"/>
      <c r="H558" s="298"/>
      <c r="I558" s="298"/>
      <c r="J558" s="307"/>
      <c r="K558" s="307"/>
      <c r="L558" s="298"/>
      <c r="M558" s="298"/>
      <c r="N558" s="298"/>
      <c r="O558" s="307"/>
      <c r="P558" s="165"/>
      <c r="Q558" s="298"/>
      <c r="R558" s="307"/>
      <c r="S558" s="307"/>
      <c r="T558" s="307"/>
      <c r="U558" s="307"/>
      <c r="V558" s="380"/>
    </row>
    <row r="559" spans="1:22">
      <c r="A559" s="166"/>
      <c r="B559" s="167"/>
      <c r="C559" s="168"/>
      <c r="D559" s="169"/>
      <c r="E559" s="169"/>
      <c r="F559" s="169"/>
      <c r="G559" s="169"/>
      <c r="H559" s="169"/>
      <c r="I559" s="169"/>
      <c r="J559" s="170"/>
      <c r="K559" s="170"/>
      <c r="L559" s="169"/>
      <c r="M559" s="169"/>
      <c r="N559" s="169"/>
      <c r="O559" s="170"/>
      <c r="P559" s="170"/>
      <c r="Q559" s="169"/>
      <c r="R559" s="170"/>
      <c r="S559" s="170"/>
      <c r="T559" s="170"/>
      <c r="U559" s="170"/>
      <c r="V559" s="380"/>
    </row>
    <row r="560" spans="1:22">
      <c r="A560" s="166"/>
      <c r="B560" s="199"/>
      <c r="C560" s="200"/>
      <c r="D560" s="201"/>
      <c r="E560" s="201"/>
      <c r="F560" s="201"/>
      <c r="G560" s="201"/>
      <c r="H560" s="201"/>
      <c r="I560" s="201"/>
      <c r="J560" s="202"/>
      <c r="K560" s="202"/>
      <c r="L560" s="201"/>
      <c r="M560" s="201"/>
      <c r="N560" s="201"/>
      <c r="O560" s="202"/>
      <c r="P560" s="202"/>
      <c r="Q560" s="201"/>
      <c r="R560" s="202"/>
      <c r="S560" s="202"/>
      <c r="T560" s="202"/>
      <c r="U560" s="202"/>
      <c r="V560" s="380"/>
    </row>
    <row r="561" spans="1:22">
      <c r="A561" s="166"/>
      <c r="B561" s="246"/>
      <c r="C561" s="297"/>
      <c r="D561" s="298"/>
      <c r="E561" s="298"/>
      <c r="F561" s="298"/>
      <c r="G561" s="298"/>
      <c r="H561" s="298"/>
      <c r="I561" s="298"/>
      <c r="J561" s="307"/>
      <c r="K561" s="307"/>
      <c r="L561" s="298"/>
      <c r="M561" s="298"/>
      <c r="N561" s="298"/>
      <c r="O561" s="307"/>
      <c r="P561" s="165"/>
      <c r="Q561" s="298"/>
      <c r="R561" s="307"/>
      <c r="S561" s="307"/>
      <c r="T561" s="307"/>
      <c r="U561" s="307"/>
      <c r="V561" s="380"/>
    </row>
    <row r="562" spans="1:22">
      <c r="A562" s="166"/>
      <c r="B562" s="167"/>
      <c r="C562" s="168"/>
      <c r="D562" s="169"/>
      <c r="E562" s="169"/>
      <c r="F562" s="169"/>
      <c r="G562" s="169"/>
      <c r="H562" s="169"/>
      <c r="I562" s="169"/>
      <c r="J562" s="170"/>
      <c r="K562" s="170"/>
      <c r="L562" s="169"/>
      <c r="M562" s="169"/>
      <c r="N562" s="169"/>
      <c r="O562" s="170"/>
      <c r="P562" s="170"/>
      <c r="Q562" s="169"/>
      <c r="R562" s="170"/>
      <c r="S562" s="170"/>
      <c r="T562" s="170"/>
      <c r="U562" s="170"/>
      <c r="V562" s="380"/>
    </row>
    <row r="563" spans="1:22" ht="15.75" thickBot="1">
      <c r="A563" s="166"/>
      <c r="B563" s="303"/>
      <c r="C563" s="304"/>
      <c r="D563" s="305"/>
      <c r="E563" s="305"/>
      <c r="F563" s="305"/>
      <c r="G563" s="305"/>
      <c r="H563" s="305"/>
      <c r="I563" s="305"/>
      <c r="J563" s="308"/>
      <c r="K563" s="308"/>
      <c r="L563" s="305"/>
      <c r="M563" s="305"/>
      <c r="N563" s="305"/>
      <c r="O563" s="308"/>
      <c r="P563" s="308"/>
      <c r="Q563" s="305"/>
      <c r="R563" s="308"/>
      <c r="S563" s="308"/>
      <c r="T563" s="308"/>
      <c r="U563" s="308"/>
      <c r="V563" s="380"/>
    </row>
    <row r="564" spans="1:22" ht="15.75" thickTop="1">
      <c r="A564" s="166"/>
      <c r="B564" s="167"/>
      <c r="C564" s="168"/>
      <c r="D564" s="169"/>
      <c r="E564" s="169"/>
      <c r="F564" s="169"/>
      <c r="G564" s="169"/>
      <c r="H564" s="169"/>
      <c r="I564" s="169"/>
      <c r="J564" s="170"/>
      <c r="K564" s="170"/>
      <c r="L564" s="169"/>
      <c r="M564" s="169"/>
      <c r="N564" s="169"/>
      <c r="O564" s="170"/>
      <c r="P564" s="170"/>
      <c r="Q564" s="169"/>
      <c r="R564" s="170"/>
      <c r="S564" s="170"/>
      <c r="T564" s="170"/>
      <c r="U564" s="170"/>
      <c r="V564" s="380"/>
    </row>
    <row r="565" spans="1:22">
      <c r="A565" s="166"/>
      <c r="B565" s="167"/>
      <c r="C565" s="168"/>
      <c r="D565" s="169"/>
      <c r="E565" s="169"/>
      <c r="F565" s="169"/>
      <c r="G565" s="169"/>
      <c r="H565" s="169"/>
      <c r="I565" s="169"/>
      <c r="J565" s="170"/>
      <c r="K565" s="170"/>
      <c r="L565" s="169"/>
      <c r="M565" s="169"/>
      <c r="N565" s="169"/>
      <c r="O565" s="170"/>
      <c r="P565" s="170"/>
      <c r="Q565" s="169"/>
      <c r="R565" s="170"/>
      <c r="S565" s="170"/>
      <c r="T565" s="170"/>
      <c r="U565" s="170"/>
      <c r="V565" s="380"/>
    </row>
    <row r="566" spans="1:22">
      <c r="A566" s="166"/>
      <c r="B566" s="199"/>
      <c r="C566" s="200"/>
      <c r="D566" s="201"/>
      <c r="E566" s="656"/>
      <c r="F566" s="201"/>
      <c r="G566" s="656"/>
      <c r="H566" s="656"/>
      <c r="I566" s="201"/>
      <c r="J566" s="202"/>
      <c r="K566" s="202"/>
      <c r="L566" s="201"/>
      <c r="M566" s="201"/>
      <c r="N566" s="201"/>
      <c r="O566" s="202"/>
      <c r="P566" s="202"/>
      <c r="Q566" s="201"/>
      <c r="R566" s="202"/>
      <c r="S566" s="202"/>
      <c r="T566" s="202"/>
      <c r="U566" s="202"/>
      <c r="V566" s="380"/>
    </row>
    <row r="567" spans="1:22">
      <c r="A567" s="166"/>
      <c r="B567" s="246"/>
      <c r="C567" s="297"/>
      <c r="D567" s="298"/>
      <c r="E567" s="298"/>
      <c r="F567" s="298"/>
      <c r="G567" s="298"/>
      <c r="H567" s="298"/>
      <c r="I567" s="298"/>
      <c r="J567" s="307"/>
      <c r="K567" s="307"/>
      <c r="L567" s="298"/>
      <c r="M567" s="298"/>
      <c r="N567" s="298"/>
      <c r="O567" s="307"/>
      <c r="P567" s="165"/>
      <c r="Q567" s="298"/>
      <c r="R567" s="307"/>
      <c r="S567" s="307"/>
      <c r="T567" s="307"/>
      <c r="U567" s="307"/>
      <c r="V567" s="380"/>
    </row>
    <row r="568" spans="1:22">
      <c r="A568" s="166"/>
      <c r="B568" s="167"/>
      <c r="C568" s="168"/>
      <c r="D568" s="169"/>
      <c r="E568" s="169"/>
      <c r="F568" s="169"/>
      <c r="G568" s="169"/>
      <c r="H568" s="169"/>
      <c r="I568" s="169"/>
      <c r="J568" s="170"/>
      <c r="K568" s="170"/>
      <c r="L568" s="169"/>
      <c r="M568" s="169"/>
      <c r="N568" s="169"/>
      <c r="O568" s="170"/>
      <c r="P568" s="170"/>
      <c r="Q568" s="169"/>
      <c r="R568" s="170"/>
      <c r="S568" s="170"/>
      <c r="T568" s="170"/>
      <c r="U568" s="170"/>
      <c r="V568" s="380"/>
    </row>
    <row r="569" spans="1:22">
      <c r="A569" s="166"/>
      <c r="B569" s="199"/>
      <c r="C569" s="200"/>
      <c r="D569" s="201"/>
      <c r="E569" s="656"/>
      <c r="F569" s="201"/>
      <c r="G569" s="201"/>
      <c r="H569" s="201"/>
      <c r="I569" s="201"/>
      <c r="J569" s="202"/>
      <c r="K569" s="202"/>
      <c r="L569" s="201"/>
      <c r="M569" s="201"/>
      <c r="N569" s="201"/>
      <c r="O569" s="202"/>
      <c r="P569" s="202"/>
      <c r="Q569" s="201"/>
      <c r="R569" s="202"/>
      <c r="S569" s="202"/>
      <c r="T569" s="202"/>
      <c r="U569" s="202"/>
      <c r="V569" s="380"/>
    </row>
    <row r="570" spans="1:22">
      <c r="A570" s="166"/>
      <c r="B570" s="246"/>
      <c r="C570" s="297"/>
      <c r="D570" s="298"/>
      <c r="E570" s="298"/>
      <c r="F570" s="298"/>
      <c r="G570" s="298"/>
      <c r="H570" s="298"/>
      <c r="I570" s="298"/>
      <c r="J570" s="307"/>
      <c r="K570" s="307"/>
      <c r="L570" s="298"/>
      <c r="M570" s="298"/>
      <c r="N570" s="298"/>
      <c r="O570" s="307"/>
      <c r="P570" s="165"/>
      <c r="Q570" s="298"/>
      <c r="R570" s="307"/>
      <c r="S570" s="307"/>
      <c r="T570" s="307"/>
      <c r="U570" s="307"/>
      <c r="V570" s="380"/>
    </row>
    <row r="571" spans="1:22">
      <c r="A571" s="166"/>
      <c r="B571" s="167"/>
      <c r="C571" s="168"/>
      <c r="D571" s="169"/>
      <c r="E571" s="169"/>
      <c r="F571" s="169"/>
      <c r="G571" s="169"/>
      <c r="H571" s="169"/>
      <c r="I571" s="169"/>
      <c r="J571" s="170"/>
      <c r="K571" s="170"/>
      <c r="L571" s="169"/>
      <c r="M571" s="169"/>
      <c r="N571" s="169"/>
      <c r="O571" s="170"/>
      <c r="P571" s="170"/>
      <c r="Q571" s="169"/>
      <c r="R571" s="170"/>
      <c r="S571" s="170"/>
      <c r="T571" s="170"/>
      <c r="U571" s="170"/>
      <c r="V571" s="380"/>
    </row>
    <row r="572" spans="1:22">
      <c r="A572" s="166"/>
      <c r="B572" s="199"/>
      <c r="C572" s="200"/>
      <c r="D572" s="201"/>
      <c r="E572" s="201"/>
      <c r="F572" s="201"/>
      <c r="G572" s="656"/>
      <c r="H572" s="201"/>
      <c r="I572" s="201"/>
      <c r="J572" s="202"/>
      <c r="K572" s="202"/>
      <c r="L572" s="201"/>
      <c r="M572" s="201"/>
      <c r="N572" s="201"/>
      <c r="O572" s="202"/>
      <c r="P572" s="202"/>
      <c r="Q572" s="201"/>
      <c r="R572" s="202"/>
      <c r="S572" s="202"/>
      <c r="T572" s="202"/>
      <c r="U572" s="202"/>
      <c r="V572" s="380"/>
    </row>
    <row r="573" spans="1:22">
      <c r="A573" s="166"/>
      <c r="B573" s="246"/>
      <c r="C573" s="297"/>
      <c r="D573" s="298"/>
      <c r="E573" s="298"/>
      <c r="F573" s="298"/>
      <c r="G573" s="298"/>
      <c r="H573" s="298"/>
      <c r="I573" s="298"/>
      <c r="J573" s="307"/>
      <c r="K573" s="307"/>
      <c r="L573" s="298"/>
      <c r="M573" s="298"/>
      <c r="N573" s="298"/>
      <c r="O573" s="307"/>
      <c r="P573" s="165"/>
      <c r="Q573" s="298"/>
      <c r="R573" s="307"/>
      <c r="S573" s="307"/>
      <c r="T573" s="307"/>
      <c r="U573" s="307"/>
      <c r="V573" s="380"/>
    </row>
    <row r="574" spans="1:22">
      <c r="A574" s="166"/>
      <c r="B574" s="167"/>
      <c r="C574" s="168"/>
      <c r="D574" s="169"/>
      <c r="E574" s="169"/>
      <c r="F574" s="169"/>
      <c r="G574" s="169"/>
      <c r="H574" s="169"/>
      <c r="I574" s="169"/>
      <c r="J574" s="170"/>
      <c r="K574" s="170"/>
      <c r="L574" s="169"/>
      <c r="M574" s="169"/>
      <c r="N574" s="169"/>
      <c r="O574" s="170"/>
      <c r="P574" s="170"/>
      <c r="Q574" s="169"/>
      <c r="R574" s="170"/>
      <c r="S574" s="170"/>
      <c r="T574" s="170"/>
      <c r="U574" s="170"/>
      <c r="V574" s="380"/>
    </row>
    <row r="575" spans="1:22">
      <c r="A575" s="166"/>
      <c r="B575" s="199"/>
      <c r="C575" s="200"/>
      <c r="D575" s="201"/>
      <c r="E575" s="201"/>
      <c r="F575" s="201"/>
      <c r="G575" s="201"/>
      <c r="H575" s="201"/>
      <c r="I575" s="201"/>
      <c r="J575" s="202"/>
      <c r="K575" s="202"/>
      <c r="L575" s="201"/>
      <c r="M575" s="201"/>
      <c r="N575" s="201"/>
      <c r="O575" s="202"/>
      <c r="P575" s="202"/>
      <c r="Q575" s="201"/>
      <c r="R575" s="202"/>
      <c r="S575" s="202"/>
      <c r="T575" s="202"/>
      <c r="U575" s="202"/>
      <c r="V575" s="380"/>
    </row>
    <row r="576" spans="1:22">
      <c r="A576" s="166"/>
      <c r="B576" s="246"/>
      <c r="C576" s="297"/>
      <c r="D576" s="298"/>
      <c r="E576" s="298"/>
      <c r="F576" s="298"/>
      <c r="G576" s="298"/>
      <c r="H576" s="298"/>
      <c r="I576" s="298"/>
      <c r="J576" s="307"/>
      <c r="K576" s="307"/>
      <c r="L576" s="298"/>
      <c r="M576" s="298"/>
      <c r="N576" s="298"/>
      <c r="O576" s="307"/>
      <c r="P576" s="165"/>
      <c r="Q576" s="298"/>
      <c r="R576" s="307"/>
      <c r="S576" s="307"/>
      <c r="T576" s="307"/>
      <c r="U576" s="307"/>
      <c r="V576" s="380"/>
    </row>
    <row r="577" spans="1:22">
      <c r="A577" s="166"/>
      <c r="B577" s="167"/>
      <c r="C577" s="168"/>
      <c r="D577" s="169"/>
      <c r="E577" s="169"/>
      <c r="F577" s="169"/>
      <c r="G577" s="169"/>
      <c r="H577" s="169"/>
      <c r="I577" s="169"/>
      <c r="J577" s="170"/>
      <c r="K577" s="170"/>
      <c r="L577" s="169"/>
      <c r="M577" s="169"/>
      <c r="N577" s="169"/>
      <c r="O577" s="170"/>
      <c r="P577" s="170"/>
      <c r="Q577" s="169"/>
      <c r="R577" s="170"/>
      <c r="S577" s="170"/>
      <c r="T577" s="170"/>
      <c r="U577" s="170"/>
      <c r="V577" s="380"/>
    </row>
    <row r="578" spans="1:22">
      <c r="A578" s="166"/>
      <c r="B578" s="199"/>
      <c r="C578" s="200"/>
      <c r="D578" s="201"/>
      <c r="E578" s="201"/>
      <c r="F578" s="201"/>
      <c r="G578" s="201"/>
      <c r="H578" s="201"/>
      <c r="I578" s="201"/>
      <c r="J578" s="202"/>
      <c r="K578" s="202"/>
      <c r="L578" s="201"/>
      <c r="M578" s="201"/>
      <c r="N578" s="201"/>
      <c r="O578" s="202"/>
      <c r="P578" s="202"/>
      <c r="Q578" s="201"/>
      <c r="R578" s="202"/>
      <c r="S578" s="202"/>
      <c r="T578" s="202"/>
      <c r="U578" s="202"/>
      <c r="V578" s="380"/>
    </row>
    <row r="579" spans="1:22">
      <c r="A579" s="166"/>
      <c r="B579" s="246"/>
      <c r="C579" s="297"/>
      <c r="D579" s="298"/>
      <c r="E579" s="298"/>
      <c r="F579" s="298"/>
      <c r="G579" s="298"/>
      <c r="H579" s="298"/>
      <c r="I579" s="298"/>
      <c r="J579" s="307"/>
      <c r="K579" s="307"/>
      <c r="L579" s="298"/>
      <c r="M579" s="298"/>
      <c r="N579" s="298"/>
      <c r="O579" s="307"/>
      <c r="P579" s="165"/>
      <c r="Q579" s="298"/>
      <c r="R579" s="307"/>
      <c r="S579" s="307"/>
      <c r="T579" s="307"/>
      <c r="U579" s="307"/>
      <c r="V579" s="380"/>
    </row>
    <row r="580" spans="1:22">
      <c r="A580" s="166"/>
      <c r="B580" s="167"/>
      <c r="C580" s="168"/>
      <c r="D580" s="169"/>
      <c r="E580" s="169"/>
      <c r="F580" s="169"/>
      <c r="G580" s="169"/>
      <c r="H580" s="169"/>
      <c r="I580" s="169"/>
      <c r="J580" s="170"/>
      <c r="K580" s="170"/>
      <c r="L580" s="169"/>
      <c r="M580" s="169"/>
      <c r="N580" s="169"/>
      <c r="O580" s="170"/>
      <c r="P580" s="170"/>
      <c r="Q580" s="169"/>
      <c r="R580" s="170"/>
      <c r="S580" s="170"/>
      <c r="T580" s="170"/>
      <c r="U580" s="170"/>
      <c r="V580" s="380"/>
    </row>
    <row r="581" spans="1:22" ht="15.75" thickBot="1">
      <c r="A581" s="310"/>
      <c r="B581" s="311"/>
      <c r="C581" s="312"/>
      <c r="D581" s="313"/>
      <c r="E581" s="313"/>
      <c r="F581" s="313"/>
      <c r="G581" s="313"/>
      <c r="H581" s="313"/>
      <c r="I581" s="313"/>
      <c r="J581" s="314"/>
      <c r="K581" s="314"/>
      <c r="L581" s="313"/>
      <c r="M581" s="313"/>
      <c r="N581" s="313"/>
      <c r="O581" s="314"/>
      <c r="P581" s="314"/>
      <c r="Q581" s="313"/>
      <c r="R581" s="314"/>
      <c r="S581" s="314"/>
      <c r="T581" s="314"/>
      <c r="U581" s="314"/>
      <c r="V581" s="380"/>
    </row>
    <row r="582" spans="1:22">
      <c r="A582" s="296"/>
      <c r="B582" s="246"/>
      <c r="C582" s="297"/>
      <c r="D582" s="298"/>
      <c r="E582" s="298"/>
      <c r="F582" s="298"/>
      <c r="G582" s="298"/>
      <c r="H582" s="298"/>
      <c r="I582" s="298"/>
      <c r="J582" s="307"/>
      <c r="K582" s="307"/>
      <c r="L582" s="298"/>
      <c r="M582" s="298"/>
      <c r="N582" s="298"/>
      <c r="O582" s="307"/>
      <c r="P582" s="165"/>
      <c r="Q582" s="298"/>
      <c r="R582" s="307"/>
      <c r="S582" s="307"/>
      <c r="T582" s="307"/>
      <c r="U582" s="307"/>
      <c r="V582" s="380"/>
    </row>
    <row r="583" spans="1:22">
      <c r="A583" s="166"/>
      <c r="B583" s="167"/>
      <c r="C583" s="168"/>
      <c r="D583" s="169"/>
      <c r="E583" s="169"/>
      <c r="F583" s="169"/>
      <c r="G583" s="169"/>
      <c r="H583" s="169"/>
      <c r="I583" s="169"/>
      <c r="J583" s="170"/>
      <c r="K583" s="170"/>
      <c r="L583" s="169"/>
      <c r="M583" s="169"/>
      <c r="N583" s="169"/>
      <c r="O583" s="170"/>
      <c r="P583" s="170"/>
      <c r="Q583" s="169"/>
      <c r="R583" s="170"/>
      <c r="S583" s="170"/>
      <c r="T583" s="170"/>
      <c r="U583" s="170"/>
      <c r="V583" s="380"/>
    </row>
    <row r="584" spans="1:22">
      <c r="A584" s="166"/>
      <c r="B584" s="199"/>
      <c r="C584" s="200"/>
      <c r="D584" s="201"/>
      <c r="E584" s="201"/>
      <c r="F584" s="201"/>
      <c r="G584" s="201"/>
      <c r="H584" s="201"/>
      <c r="I584" s="201"/>
      <c r="J584" s="202"/>
      <c r="K584" s="202"/>
      <c r="L584" s="201"/>
      <c r="M584" s="201"/>
      <c r="N584" s="201"/>
      <c r="O584" s="202"/>
      <c r="P584" s="202"/>
      <c r="Q584" s="201"/>
      <c r="R584" s="202"/>
      <c r="S584" s="202"/>
      <c r="T584" s="202"/>
      <c r="U584" s="202"/>
      <c r="V584" s="380"/>
    </row>
    <row r="585" spans="1:22">
      <c r="A585" s="166"/>
      <c r="B585" s="246"/>
      <c r="C585" s="297"/>
      <c r="D585" s="298"/>
      <c r="E585" s="298"/>
      <c r="F585" s="298"/>
      <c r="G585" s="298"/>
      <c r="H585" s="298"/>
      <c r="I585" s="298"/>
      <c r="J585" s="307"/>
      <c r="K585" s="307"/>
      <c r="L585" s="298"/>
      <c r="M585" s="298"/>
      <c r="N585" s="298"/>
      <c r="O585" s="307"/>
      <c r="P585" s="165"/>
      <c r="Q585" s="298"/>
      <c r="R585" s="307"/>
      <c r="S585" s="307"/>
      <c r="T585" s="307"/>
      <c r="U585" s="307"/>
      <c r="V585" s="380"/>
    </row>
    <row r="586" spans="1:22">
      <c r="A586" s="166"/>
      <c r="B586" s="167"/>
      <c r="C586" s="168"/>
      <c r="D586" s="169"/>
      <c r="E586" s="169"/>
      <c r="F586" s="169"/>
      <c r="G586" s="169"/>
      <c r="H586" s="169"/>
      <c r="I586" s="169"/>
      <c r="J586" s="170"/>
      <c r="K586" s="170"/>
      <c r="L586" s="169"/>
      <c r="M586" s="169"/>
      <c r="N586" s="169"/>
      <c r="O586" s="170"/>
      <c r="P586" s="170"/>
      <c r="Q586" s="169"/>
      <c r="R586" s="170"/>
      <c r="S586" s="170"/>
      <c r="T586" s="170"/>
      <c r="U586" s="170"/>
      <c r="V586" s="380"/>
    </row>
    <row r="587" spans="1:22">
      <c r="A587" s="166"/>
      <c r="B587" s="199"/>
      <c r="C587" s="200"/>
      <c r="D587" s="201"/>
      <c r="E587" s="201"/>
      <c r="F587" s="201"/>
      <c r="G587" s="201"/>
      <c r="H587" s="201"/>
      <c r="I587" s="201"/>
      <c r="J587" s="202"/>
      <c r="K587" s="202"/>
      <c r="L587" s="201"/>
      <c r="M587" s="201"/>
      <c r="N587" s="201"/>
      <c r="O587" s="202"/>
      <c r="P587" s="202"/>
      <c r="Q587" s="201"/>
      <c r="R587" s="202"/>
      <c r="S587" s="202"/>
      <c r="T587" s="202"/>
      <c r="U587" s="202"/>
      <c r="V587" s="380"/>
    </row>
    <row r="588" spans="1:22">
      <c r="A588" s="166"/>
      <c r="B588" s="246"/>
      <c r="C588" s="297"/>
      <c r="D588" s="298"/>
      <c r="E588" s="298"/>
      <c r="F588" s="298"/>
      <c r="G588" s="298"/>
      <c r="H588" s="298"/>
      <c r="I588" s="298"/>
      <c r="J588" s="307"/>
      <c r="K588" s="307"/>
      <c r="L588" s="298"/>
      <c r="M588" s="298"/>
      <c r="N588" s="298"/>
      <c r="O588" s="307"/>
      <c r="P588" s="165"/>
      <c r="Q588" s="298"/>
      <c r="R588" s="307"/>
      <c r="S588" s="307"/>
      <c r="T588" s="307"/>
      <c r="U588" s="307"/>
      <c r="V588" s="380"/>
    </row>
    <row r="589" spans="1:22">
      <c r="A589" s="166"/>
      <c r="B589" s="167"/>
      <c r="C589" s="168"/>
      <c r="D589" s="169"/>
      <c r="E589" s="169"/>
      <c r="F589" s="169"/>
      <c r="G589" s="169"/>
      <c r="H589" s="169"/>
      <c r="I589" s="169"/>
      <c r="J589" s="170"/>
      <c r="K589" s="170"/>
      <c r="L589" s="169"/>
      <c r="M589" s="169"/>
      <c r="N589" s="169"/>
      <c r="O589" s="170"/>
      <c r="P589" s="170"/>
      <c r="Q589" s="169"/>
      <c r="R589" s="170"/>
      <c r="S589" s="170"/>
      <c r="T589" s="170"/>
      <c r="U589" s="170"/>
      <c r="V589" s="380"/>
    </row>
    <row r="590" spans="1:22">
      <c r="A590" s="166"/>
      <c r="B590" s="199"/>
      <c r="C590" s="200"/>
      <c r="D590" s="201"/>
      <c r="E590" s="201"/>
      <c r="F590" s="201"/>
      <c r="G590" s="201"/>
      <c r="H590" s="201"/>
      <c r="I590" s="201"/>
      <c r="J590" s="202"/>
      <c r="K590" s="202"/>
      <c r="L590" s="201"/>
      <c r="M590" s="201"/>
      <c r="N590" s="201"/>
      <c r="O590" s="202"/>
      <c r="P590" s="202"/>
      <c r="Q590" s="201"/>
      <c r="R590" s="202"/>
      <c r="S590" s="202"/>
      <c r="T590" s="202"/>
      <c r="U590" s="202"/>
      <c r="V590" s="380"/>
    </row>
    <row r="591" spans="1:22">
      <c r="A591" s="166"/>
      <c r="B591" s="246"/>
      <c r="C591" s="297"/>
      <c r="D591" s="298"/>
      <c r="E591" s="298"/>
      <c r="F591" s="298"/>
      <c r="G591" s="298"/>
      <c r="H591" s="298"/>
      <c r="I591" s="298"/>
      <c r="J591" s="307"/>
      <c r="K591" s="307"/>
      <c r="L591" s="298"/>
      <c r="M591" s="298"/>
      <c r="N591" s="298"/>
      <c r="O591" s="307"/>
      <c r="P591" s="165"/>
      <c r="Q591" s="298"/>
      <c r="R591" s="307"/>
      <c r="S591" s="307"/>
      <c r="T591" s="307"/>
      <c r="U591" s="307"/>
      <c r="V591" s="380"/>
    </row>
    <row r="592" spans="1:22">
      <c r="A592" s="166"/>
      <c r="B592" s="167"/>
      <c r="C592" s="168"/>
      <c r="D592" s="169"/>
      <c r="E592" s="169"/>
      <c r="F592" s="169"/>
      <c r="G592" s="169"/>
      <c r="H592" s="169"/>
      <c r="I592" s="169"/>
      <c r="J592" s="170"/>
      <c r="K592" s="170"/>
      <c r="L592" s="169"/>
      <c r="M592" s="169"/>
      <c r="N592" s="169"/>
      <c r="O592" s="170"/>
      <c r="P592" s="170"/>
      <c r="Q592" s="169"/>
      <c r="R592" s="170"/>
      <c r="S592" s="170"/>
      <c r="T592" s="170"/>
      <c r="U592" s="170"/>
      <c r="V592" s="380"/>
    </row>
    <row r="593" spans="1:22">
      <c r="A593" s="166"/>
      <c r="B593" s="199"/>
      <c r="C593" s="200"/>
      <c r="D593" s="201"/>
      <c r="E593" s="201"/>
      <c r="F593" s="201"/>
      <c r="G593" s="201"/>
      <c r="H593" s="201"/>
      <c r="I593" s="201"/>
      <c r="J593" s="202"/>
      <c r="K593" s="202"/>
      <c r="L593" s="201"/>
      <c r="M593" s="201"/>
      <c r="N593" s="201"/>
      <c r="O593" s="202"/>
      <c r="P593" s="202"/>
      <c r="Q593" s="201"/>
      <c r="R593" s="202"/>
      <c r="S593" s="202"/>
      <c r="T593" s="202"/>
      <c r="U593" s="202"/>
      <c r="V593" s="380"/>
    </row>
    <row r="594" spans="1:22">
      <c r="A594" s="166"/>
      <c r="B594" s="246"/>
      <c r="C594" s="297"/>
      <c r="D594" s="298"/>
      <c r="E594" s="298"/>
      <c r="F594" s="298"/>
      <c r="G594" s="298"/>
      <c r="H594" s="298"/>
      <c r="I594" s="298"/>
      <c r="J594" s="307"/>
      <c r="K594" s="307"/>
      <c r="L594" s="298"/>
      <c r="M594" s="298"/>
      <c r="N594" s="298"/>
      <c r="O594" s="307"/>
      <c r="P594" s="165"/>
      <c r="Q594" s="298"/>
      <c r="R594" s="307"/>
      <c r="S594" s="307"/>
      <c r="T594" s="307"/>
      <c r="U594" s="307"/>
      <c r="V594" s="380"/>
    </row>
    <row r="595" spans="1:22">
      <c r="A595" s="166"/>
      <c r="B595" s="167"/>
      <c r="C595" s="168"/>
      <c r="D595" s="169"/>
      <c r="E595" s="169"/>
      <c r="F595" s="169"/>
      <c r="G595" s="169"/>
      <c r="H595" s="169"/>
      <c r="I595" s="169"/>
      <c r="J595" s="170"/>
      <c r="K595" s="170"/>
      <c r="L595" s="169"/>
      <c r="M595" s="169"/>
      <c r="N595" s="169"/>
      <c r="O595" s="170"/>
      <c r="P595" s="170"/>
      <c r="Q595" s="169"/>
      <c r="R595" s="170"/>
      <c r="S595" s="170"/>
      <c r="T595" s="170"/>
      <c r="U595" s="170"/>
      <c r="V595" s="380"/>
    </row>
    <row r="596" spans="1:22">
      <c r="A596" s="166"/>
      <c r="B596" s="199"/>
      <c r="C596" s="200"/>
      <c r="D596" s="201"/>
      <c r="E596" s="201"/>
      <c r="F596" s="201"/>
      <c r="G596" s="201"/>
      <c r="H596" s="201"/>
      <c r="I596" s="201"/>
      <c r="J596" s="202"/>
      <c r="K596" s="202"/>
      <c r="L596" s="201"/>
      <c r="M596" s="201"/>
      <c r="N596" s="201"/>
      <c r="O596" s="202"/>
      <c r="P596" s="202"/>
      <c r="Q596" s="201"/>
      <c r="R596" s="202"/>
      <c r="S596" s="202"/>
      <c r="T596" s="202"/>
      <c r="U596" s="202"/>
      <c r="V596" s="380"/>
    </row>
    <row r="597" spans="1:22">
      <c r="A597" s="166"/>
      <c r="B597" s="246"/>
      <c r="C597" s="297"/>
      <c r="D597" s="298"/>
      <c r="E597" s="298"/>
      <c r="F597" s="298"/>
      <c r="G597" s="298"/>
      <c r="H597" s="298"/>
      <c r="I597" s="298"/>
      <c r="J597" s="307"/>
      <c r="K597" s="307"/>
      <c r="L597" s="298"/>
      <c r="M597" s="298"/>
      <c r="N597" s="298"/>
      <c r="O597" s="307"/>
      <c r="P597" s="165"/>
      <c r="Q597" s="298"/>
      <c r="R597" s="307"/>
      <c r="S597" s="307"/>
      <c r="T597" s="307"/>
      <c r="U597" s="307"/>
      <c r="V597" s="380"/>
    </row>
    <row r="598" spans="1:22">
      <c r="A598" s="166"/>
      <c r="B598" s="167"/>
      <c r="C598" s="168"/>
      <c r="D598" s="169"/>
      <c r="E598" s="169"/>
      <c r="F598" s="169"/>
      <c r="G598" s="169"/>
      <c r="H598" s="169"/>
      <c r="I598" s="169"/>
      <c r="J598" s="170"/>
      <c r="K598" s="170"/>
      <c r="L598" s="169"/>
      <c r="M598" s="169"/>
      <c r="N598" s="169"/>
      <c r="O598" s="170"/>
      <c r="P598" s="170"/>
      <c r="Q598" s="169"/>
      <c r="R598" s="170"/>
      <c r="S598" s="170"/>
      <c r="T598" s="170"/>
      <c r="U598" s="170"/>
      <c r="V598" s="380"/>
    </row>
    <row r="599" spans="1:22" ht="15.75" thickBot="1">
      <c r="A599" s="166"/>
      <c r="B599" s="303"/>
      <c r="C599" s="304"/>
      <c r="D599" s="305"/>
      <c r="E599" s="305"/>
      <c r="F599" s="305"/>
      <c r="G599" s="305"/>
      <c r="H599" s="305"/>
      <c r="I599" s="305"/>
      <c r="J599" s="308"/>
      <c r="K599" s="308"/>
      <c r="L599" s="305"/>
      <c r="M599" s="305"/>
      <c r="N599" s="305"/>
      <c r="O599" s="308"/>
      <c r="P599" s="308"/>
      <c r="Q599" s="305"/>
      <c r="R599" s="308"/>
      <c r="S599" s="308"/>
      <c r="T599" s="308"/>
      <c r="U599" s="308"/>
      <c r="V599" s="380"/>
    </row>
    <row r="600" spans="1:22" ht="15.75" thickTop="1">
      <c r="A600" s="166"/>
      <c r="B600" s="167"/>
      <c r="C600" s="168"/>
      <c r="D600" s="169"/>
      <c r="E600" s="169"/>
      <c r="F600" s="169"/>
      <c r="G600" s="169"/>
      <c r="H600" s="169"/>
      <c r="I600" s="169"/>
      <c r="J600" s="170"/>
      <c r="K600" s="170"/>
      <c r="L600" s="169"/>
      <c r="M600" s="169"/>
      <c r="N600" s="169"/>
      <c r="O600" s="170"/>
      <c r="P600" s="170"/>
      <c r="Q600" s="169"/>
      <c r="R600" s="170"/>
      <c r="S600" s="170"/>
      <c r="T600" s="170"/>
      <c r="U600" s="170"/>
      <c r="V600" s="380"/>
    </row>
    <row r="601" spans="1:22">
      <c r="A601" s="166"/>
      <c r="B601" s="167"/>
      <c r="C601" s="168"/>
      <c r="D601" s="169"/>
      <c r="E601" s="169"/>
      <c r="F601" s="169"/>
      <c r="G601" s="169"/>
      <c r="H601" s="169"/>
      <c r="I601" s="169"/>
      <c r="J601" s="170"/>
      <c r="K601" s="170"/>
      <c r="L601" s="169"/>
      <c r="M601" s="169"/>
      <c r="N601" s="169"/>
      <c r="O601" s="170"/>
      <c r="P601" s="170"/>
      <c r="Q601" s="169"/>
      <c r="R601" s="170"/>
      <c r="S601" s="170"/>
      <c r="T601" s="170"/>
      <c r="U601" s="170"/>
      <c r="V601" s="380"/>
    </row>
    <row r="602" spans="1:22">
      <c r="A602" s="166"/>
      <c r="B602" s="199"/>
      <c r="C602" s="200"/>
      <c r="D602" s="201"/>
      <c r="E602" s="201"/>
      <c r="F602" s="201"/>
      <c r="G602" s="201"/>
      <c r="H602" s="201"/>
      <c r="I602" s="201"/>
      <c r="J602" s="202"/>
      <c r="K602" s="202"/>
      <c r="L602" s="201"/>
      <c r="M602" s="201"/>
      <c r="N602" s="201"/>
      <c r="O602" s="202"/>
      <c r="P602" s="202"/>
      <c r="Q602" s="201"/>
      <c r="R602" s="202"/>
      <c r="S602" s="202"/>
      <c r="T602" s="202"/>
      <c r="U602" s="202"/>
      <c r="V602" s="380"/>
    </row>
    <row r="603" spans="1:22">
      <c r="A603" s="166"/>
      <c r="B603" s="246"/>
      <c r="C603" s="297"/>
      <c r="D603" s="298"/>
      <c r="E603" s="298"/>
      <c r="F603" s="298"/>
      <c r="G603" s="298"/>
      <c r="H603" s="298"/>
      <c r="I603" s="298"/>
      <c r="J603" s="307"/>
      <c r="K603" s="307"/>
      <c r="L603" s="298"/>
      <c r="M603" s="298"/>
      <c r="N603" s="298"/>
      <c r="O603" s="307"/>
      <c r="P603" s="165"/>
      <c r="Q603" s="298"/>
      <c r="R603" s="307"/>
      <c r="S603" s="307"/>
      <c r="T603" s="307"/>
      <c r="U603" s="307"/>
      <c r="V603" s="380"/>
    </row>
    <row r="604" spans="1:22">
      <c r="A604" s="166"/>
      <c r="B604" s="167"/>
      <c r="C604" s="168"/>
      <c r="D604" s="169"/>
      <c r="E604" s="169"/>
      <c r="F604" s="169"/>
      <c r="G604" s="169"/>
      <c r="H604" s="169"/>
      <c r="I604" s="169"/>
      <c r="J604" s="170"/>
      <c r="K604" s="170"/>
      <c r="L604" s="169"/>
      <c r="M604" s="169"/>
      <c r="N604" s="169"/>
      <c r="O604" s="170"/>
      <c r="P604" s="170"/>
      <c r="Q604" s="169"/>
      <c r="R604" s="170"/>
      <c r="S604" s="170"/>
      <c r="T604" s="170"/>
      <c r="U604" s="170"/>
      <c r="V604" s="380"/>
    </row>
    <row r="605" spans="1:22">
      <c r="A605" s="166"/>
      <c r="B605" s="199"/>
      <c r="C605" s="200"/>
      <c r="D605" s="201"/>
      <c r="E605" s="201"/>
      <c r="F605" s="201"/>
      <c r="G605" s="201"/>
      <c r="H605" s="201"/>
      <c r="I605" s="201"/>
      <c r="J605" s="202"/>
      <c r="K605" s="202"/>
      <c r="L605" s="201"/>
      <c r="M605" s="201"/>
      <c r="N605" s="201"/>
      <c r="O605" s="202"/>
      <c r="P605" s="202"/>
      <c r="Q605" s="201"/>
      <c r="R605" s="202"/>
      <c r="S605" s="202"/>
      <c r="T605" s="202"/>
      <c r="U605" s="202"/>
      <c r="V605" s="380"/>
    </row>
    <row r="606" spans="1:22">
      <c r="A606" s="166"/>
      <c r="B606" s="246"/>
      <c r="C606" s="297"/>
      <c r="D606" s="298"/>
      <c r="E606" s="298"/>
      <c r="F606" s="298"/>
      <c r="G606" s="298"/>
      <c r="H606" s="298"/>
      <c r="I606" s="298"/>
      <c r="J606" s="307"/>
      <c r="K606" s="307"/>
      <c r="L606" s="298"/>
      <c r="M606" s="298"/>
      <c r="N606" s="298"/>
      <c r="O606" s="307"/>
      <c r="P606" s="165"/>
      <c r="Q606" s="298"/>
      <c r="R606" s="307"/>
      <c r="S606" s="307"/>
      <c r="T606" s="307"/>
      <c r="U606" s="307"/>
      <c r="V606" s="380"/>
    </row>
    <row r="607" spans="1:22">
      <c r="A607" s="166"/>
      <c r="B607" s="167"/>
      <c r="C607" s="168"/>
      <c r="D607" s="169"/>
      <c r="E607" s="169"/>
      <c r="F607" s="169"/>
      <c r="G607" s="169"/>
      <c r="H607" s="169"/>
      <c r="I607" s="169"/>
      <c r="J607" s="170"/>
      <c r="K607" s="170"/>
      <c r="L607" s="169"/>
      <c r="M607" s="169"/>
      <c r="N607" s="169"/>
      <c r="O607" s="170"/>
      <c r="P607" s="170"/>
      <c r="Q607" s="169"/>
      <c r="R607" s="170"/>
      <c r="S607" s="170"/>
      <c r="T607" s="170"/>
      <c r="U607" s="170"/>
      <c r="V607" s="380"/>
    </row>
    <row r="608" spans="1:22">
      <c r="A608" s="166"/>
      <c r="B608" s="199"/>
      <c r="C608" s="200"/>
      <c r="D608" s="201"/>
      <c r="E608" s="201"/>
      <c r="F608" s="201"/>
      <c r="G608" s="201"/>
      <c r="H608" s="201"/>
      <c r="I608" s="201"/>
      <c r="J608" s="202"/>
      <c r="K608" s="202"/>
      <c r="L608" s="201"/>
      <c r="M608" s="201"/>
      <c r="N608" s="201"/>
      <c r="O608" s="202"/>
      <c r="P608" s="202"/>
      <c r="Q608" s="201"/>
      <c r="R608" s="202"/>
      <c r="S608" s="202"/>
      <c r="T608" s="202"/>
      <c r="U608" s="202"/>
      <c r="V608" s="380"/>
    </row>
    <row r="609" spans="1:22">
      <c r="A609" s="166"/>
      <c r="B609" s="246"/>
      <c r="C609" s="297"/>
      <c r="D609" s="298"/>
      <c r="E609" s="298"/>
      <c r="F609" s="298"/>
      <c r="G609" s="298"/>
      <c r="H609" s="298"/>
      <c r="I609" s="298"/>
      <c r="J609" s="307"/>
      <c r="K609" s="307"/>
      <c r="L609" s="298"/>
      <c r="M609" s="298"/>
      <c r="N609" s="298"/>
      <c r="O609" s="307"/>
      <c r="P609" s="165"/>
      <c r="Q609" s="298"/>
      <c r="R609" s="307"/>
      <c r="S609" s="307"/>
      <c r="T609" s="307"/>
      <c r="U609" s="307"/>
      <c r="V609" s="380"/>
    </row>
    <row r="610" spans="1:22">
      <c r="A610" s="166"/>
      <c r="B610" s="167"/>
      <c r="C610" s="168"/>
      <c r="D610" s="169"/>
      <c r="E610" s="169"/>
      <c r="F610" s="169"/>
      <c r="G610" s="169"/>
      <c r="H610" s="169"/>
      <c r="I610" s="169"/>
      <c r="J610" s="170"/>
      <c r="K610" s="170"/>
      <c r="L610" s="169"/>
      <c r="M610" s="169"/>
      <c r="N610" s="169"/>
      <c r="O610" s="170"/>
      <c r="P610" s="170"/>
      <c r="Q610" s="169"/>
      <c r="R610" s="170"/>
      <c r="S610" s="170"/>
      <c r="T610" s="170"/>
      <c r="U610" s="170"/>
      <c r="V610" s="380"/>
    </row>
    <row r="611" spans="1:22">
      <c r="A611" s="166"/>
      <c r="B611" s="199"/>
      <c r="C611" s="200"/>
      <c r="D611" s="201"/>
      <c r="E611" s="201"/>
      <c r="F611" s="201"/>
      <c r="G611" s="201"/>
      <c r="H611" s="201"/>
      <c r="I611" s="201"/>
      <c r="J611" s="202"/>
      <c r="K611" s="202"/>
      <c r="L611" s="201"/>
      <c r="M611" s="201"/>
      <c r="N611" s="201"/>
      <c r="O611" s="202"/>
      <c r="P611" s="202"/>
      <c r="Q611" s="201"/>
      <c r="R611" s="202"/>
      <c r="S611" s="202"/>
      <c r="T611" s="202"/>
      <c r="U611" s="202"/>
      <c r="V611" s="380"/>
    </row>
    <row r="612" spans="1:22">
      <c r="A612" s="166"/>
      <c r="B612" s="246"/>
      <c r="C612" s="297"/>
      <c r="D612" s="298"/>
      <c r="E612" s="298"/>
      <c r="F612" s="298"/>
      <c r="G612" s="298"/>
      <c r="H612" s="298"/>
      <c r="I612" s="298"/>
      <c r="J612" s="307"/>
      <c r="K612" s="307"/>
      <c r="L612" s="298"/>
      <c r="M612" s="298"/>
      <c r="N612" s="298"/>
      <c r="O612" s="307"/>
      <c r="P612" s="165"/>
      <c r="Q612" s="298"/>
      <c r="R612" s="307"/>
      <c r="S612" s="307"/>
      <c r="T612" s="307"/>
      <c r="U612" s="307"/>
      <c r="V612" s="380"/>
    </row>
    <row r="613" spans="1:22">
      <c r="A613" s="166"/>
      <c r="B613" s="167"/>
      <c r="C613" s="168"/>
      <c r="D613" s="169"/>
      <c r="E613" s="169"/>
      <c r="F613" s="169"/>
      <c r="G613" s="169"/>
      <c r="H613" s="169"/>
      <c r="I613" s="169"/>
      <c r="J613" s="170"/>
      <c r="K613" s="170"/>
      <c r="L613" s="169"/>
      <c r="M613" s="169"/>
      <c r="N613" s="169"/>
      <c r="O613" s="170"/>
      <c r="P613" s="170"/>
      <c r="Q613" s="169"/>
      <c r="R613" s="170"/>
      <c r="S613" s="170"/>
      <c r="T613" s="170"/>
      <c r="U613" s="170"/>
      <c r="V613" s="380"/>
    </row>
    <row r="614" spans="1:22">
      <c r="A614" s="166"/>
      <c r="B614" s="199"/>
      <c r="C614" s="200"/>
      <c r="D614" s="201"/>
      <c r="E614" s="201"/>
      <c r="F614" s="201"/>
      <c r="G614" s="201"/>
      <c r="H614" s="201"/>
      <c r="I614" s="201"/>
      <c r="J614" s="202"/>
      <c r="K614" s="202"/>
      <c r="L614" s="201"/>
      <c r="M614" s="201"/>
      <c r="N614" s="201"/>
      <c r="O614" s="202"/>
      <c r="P614" s="202"/>
      <c r="Q614" s="201"/>
      <c r="R614" s="202"/>
      <c r="S614" s="202"/>
      <c r="T614" s="202"/>
      <c r="U614" s="202"/>
      <c r="V614" s="380"/>
    </row>
    <row r="615" spans="1:22">
      <c r="A615" s="166"/>
      <c r="B615" s="246"/>
      <c r="C615" s="297"/>
      <c r="D615" s="298"/>
      <c r="E615" s="298"/>
      <c r="F615" s="298"/>
      <c r="G615" s="298"/>
      <c r="H615" s="298"/>
      <c r="I615" s="298"/>
      <c r="J615" s="307"/>
      <c r="K615" s="307"/>
      <c r="L615" s="298"/>
      <c r="M615" s="298"/>
      <c r="N615" s="298"/>
      <c r="O615" s="307"/>
      <c r="P615" s="165"/>
      <c r="Q615" s="298"/>
      <c r="R615" s="307"/>
      <c r="S615" s="307"/>
      <c r="T615" s="307"/>
      <c r="U615" s="307"/>
      <c r="V615" s="380"/>
    </row>
    <row r="616" spans="1:22">
      <c r="A616" s="166"/>
      <c r="B616" s="167"/>
      <c r="C616" s="168"/>
      <c r="D616" s="169"/>
      <c r="E616" s="169"/>
      <c r="F616" s="169"/>
      <c r="G616" s="169"/>
      <c r="H616" s="169"/>
      <c r="I616" s="169"/>
      <c r="J616" s="170"/>
      <c r="K616" s="170"/>
      <c r="L616" s="169"/>
      <c r="M616" s="169"/>
      <c r="N616" s="169"/>
      <c r="O616" s="170"/>
      <c r="P616" s="170"/>
      <c r="Q616" s="169"/>
      <c r="R616" s="170"/>
      <c r="S616" s="170"/>
      <c r="T616" s="170"/>
      <c r="U616" s="170"/>
      <c r="V616" s="380"/>
    </row>
    <row r="617" spans="1:22">
      <c r="A617" s="172"/>
      <c r="B617" s="199"/>
      <c r="C617" s="200"/>
      <c r="D617" s="201"/>
      <c r="E617" s="201"/>
      <c r="F617" s="201"/>
      <c r="G617" s="201"/>
      <c r="H617" s="201"/>
      <c r="I617" s="201"/>
      <c r="J617" s="202"/>
      <c r="K617" s="202"/>
      <c r="L617" s="201"/>
      <c r="M617" s="201"/>
      <c r="N617" s="201"/>
      <c r="O617" s="202"/>
      <c r="P617" s="202"/>
      <c r="Q617" s="201"/>
      <c r="R617" s="202"/>
      <c r="S617" s="202"/>
      <c r="T617" s="202"/>
      <c r="U617" s="202"/>
      <c r="V617" s="380"/>
    </row>
    <row r="621" spans="1:22">
      <c r="D621" s="148"/>
      <c r="E621" s="148"/>
      <c r="F621" s="148"/>
      <c r="G621" s="148"/>
      <c r="H621" s="148"/>
      <c r="I621" s="148"/>
      <c r="J621" s="148"/>
      <c r="K621" s="148"/>
      <c r="L621" s="148"/>
      <c r="M621" s="148"/>
      <c r="N621" s="148"/>
      <c r="O621" s="148"/>
      <c r="P621" s="148"/>
      <c r="Q621" s="148"/>
      <c r="R621" s="148"/>
      <c r="S621" s="148"/>
      <c r="T621" s="148"/>
      <c r="U621" s="148"/>
    </row>
    <row r="622" spans="1:22">
      <c r="D622" s="148"/>
      <c r="E622" s="148"/>
      <c r="F622" s="148"/>
      <c r="G622" s="148"/>
      <c r="H622" s="148"/>
      <c r="I622" s="148"/>
      <c r="J622" s="148"/>
      <c r="K622" s="148"/>
      <c r="L622" s="148"/>
      <c r="M622" s="148"/>
      <c r="N622" s="148"/>
      <c r="O622" s="148"/>
      <c r="P622" s="148"/>
      <c r="Q622" s="148"/>
      <c r="R622" s="148"/>
      <c r="S622" s="148"/>
      <c r="T622" s="148"/>
      <c r="U622" s="148"/>
    </row>
    <row r="623" spans="1:22">
      <c r="D623" s="148"/>
      <c r="E623" s="148"/>
      <c r="F623" s="148"/>
      <c r="G623" s="148"/>
      <c r="H623" s="148"/>
      <c r="I623" s="148"/>
      <c r="J623" s="148"/>
      <c r="K623" s="148"/>
      <c r="L623" s="148"/>
      <c r="M623" s="148"/>
      <c r="N623" s="148"/>
      <c r="O623" s="148"/>
      <c r="P623" s="148"/>
      <c r="Q623" s="148"/>
      <c r="R623" s="148"/>
      <c r="S623" s="148"/>
      <c r="T623" s="148"/>
      <c r="U623" s="148"/>
    </row>
    <row r="624" spans="1:22">
      <c r="D624" s="148"/>
      <c r="E624" s="148"/>
      <c r="F624" s="148"/>
      <c r="G624" s="148"/>
      <c r="H624" s="148"/>
      <c r="I624" s="148"/>
      <c r="J624" s="148"/>
      <c r="K624" s="148"/>
      <c r="L624" s="148"/>
      <c r="M624" s="148"/>
      <c r="N624" s="148"/>
      <c r="O624" s="148"/>
      <c r="P624" s="148"/>
      <c r="Q624" s="148"/>
      <c r="R624" s="148"/>
      <c r="S624" s="148"/>
      <c r="T624" s="148"/>
      <c r="U624" s="148"/>
    </row>
    <row r="625" spans="4:21">
      <c r="D625" s="148"/>
      <c r="E625" s="148"/>
      <c r="F625" s="148"/>
      <c r="G625" s="148"/>
      <c r="H625" s="148"/>
      <c r="I625" s="148"/>
      <c r="J625" s="148"/>
      <c r="K625" s="148"/>
      <c r="L625" s="148"/>
      <c r="M625" s="148"/>
      <c r="N625" s="148"/>
      <c r="O625" s="148"/>
      <c r="P625" s="148"/>
      <c r="Q625" s="148"/>
      <c r="R625" s="148"/>
      <c r="S625" s="148"/>
      <c r="T625" s="148"/>
      <c r="U625" s="148"/>
    </row>
    <row r="626" spans="4:21">
      <c r="D626" s="148"/>
      <c r="E626" s="148"/>
      <c r="F626" s="148"/>
      <c r="G626" s="148"/>
      <c r="H626" s="148"/>
      <c r="I626" s="148"/>
      <c r="J626" s="148"/>
      <c r="K626" s="148"/>
      <c r="L626" s="148"/>
      <c r="M626" s="148"/>
      <c r="N626" s="148"/>
      <c r="O626" s="148"/>
      <c r="P626" s="148"/>
      <c r="Q626" s="148"/>
      <c r="R626" s="148"/>
      <c r="S626" s="148"/>
      <c r="T626" s="148"/>
      <c r="U626" s="148"/>
    </row>
    <row r="627" spans="4:21">
      <c r="D627" s="148"/>
      <c r="E627" s="148"/>
      <c r="F627" s="148"/>
      <c r="G627" s="148"/>
      <c r="H627" s="148"/>
      <c r="I627" s="148"/>
      <c r="J627" s="148"/>
      <c r="K627" s="148"/>
      <c r="L627" s="148"/>
      <c r="M627" s="148"/>
      <c r="N627" s="148"/>
      <c r="O627" s="148"/>
      <c r="P627" s="148"/>
      <c r="Q627" s="148"/>
      <c r="R627" s="148"/>
      <c r="S627" s="148"/>
      <c r="T627" s="148"/>
      <c r="U627" s="148"/>
    </row>
    <row r="628" spans="4:21">
      <c r="D628" s="148"/>
      <c r="E628" s="148"/>
      <c r="F628" s="148"/>
      <c r="G628" s="148"/>
      <c r="H628" s="148"/>
      <c r="I628" s="148"/>
      <c r="J628" s="148"/>
      <c r="K628" s="148"/>
      <c r="L628" s="148"/>
      <c r="M628" s="148"/>
      <c r="N628" s="148"/>
      <c r="O628" s="148"/>
      <c r="P628" s="148"/>
      <c r="Q628" s="148"/>
      <c r="R628" s="148"/>
      <c r="S628" s="148"/>
      <c r="T628" s="148"/>
      <c r="U628" s="148"/>
    </row>
    <row r="629" spans="4:21">
      <c r="D629" s="148"/>
      <c r="E629" s="148"/>
      <c r="F629" s="148"/>
      <c r="G629" s="148"/>
      <c r="H629" s="148"/>
      <c r="I629" s="148"/>
      <c r="J629" s="148"/>
      <c r="K629" s="148"/>
      <c r="L629" s="148"/>
      <c r="M629" s="148"/>
      <c r="N629" s="148"/>
      <c r="O629" s="148"/>
      <c r="P629" s="148"/>
      <c r="Q629" s="148"/>
      <c r="R629" s="148"/>
      <c r="S629" s="148"/>
      <c r="T629" s="148"/>
      <c r="U629" s="148"/>
    </row>
    <row r="630" spans="4:21">
      <c r="D630" s="148"/>
      <c r="E630" s="148"/>
      <c r="F630" s="148"/>
      <c r="G630" s="148"/>
      <c r="H630" s="148"/>
      <c r="I630" s="148"/>
      <c r="J630" s="148"/>
      <c r="K630" s="148"/>
      <c r="L630" s="148"/>
      <c r="M630" s="148"/>
      <c r="N630" s="148"/>
      <c r="O630" s="148"/>
      <c r="P630" s="148"/>
      <c r="Q630" s="148"/>
      <c r="R630" s="148"/>
      <c r="S630" s="148"/>
      <c r="T630" s="148"/>
      <c r="U630" s="148"/>
    </row>
    <row r="631" spans="4:21">
      <c r="D631" s="148"/>
      <c r="E631" s="148"/>
      <c r="F631" s="148"/>
      <c r="G631" s="148"/>
      <c r="H631" s="148"/>
      <c r="I631" s="148"/>
      <c r="J631" s="148"/>
      <c r="K631" s="148"/>
      <c r="L631" s="148"/>
      <c r="M631" s="148"/>
      <c r="N631" s="148"/>
      <c r="O631" s="148"/>
      <c r="P631" s="148"/>
      <c r="Q631" s="148"/>
      <c r="R631" s="148"/>
      <c r="S631" s="148"/>
      <c r="T631" s="148"/>
      <c r="U631" s="148"/>
    </row>
    <row r="632" spans="4:21">
      <c r="D632" s="148"/>
      <c r="E632" s="148"/>
      <c r="F632" s="148"/>
      <c r="G632" s="148"/>
      <c r="H632" s="148"/>
      <c r="I632" s="148"/>
      <c r="J632" s="148"/>
      <c r="K632" s="148"/>
      <c r="L632" s="148"/>
      <c r="M632" s="148"/>
      <c r="N632" s="148"/>
      <c r="O632" s="148"/>
      <c r="P632" s="148"/>
      <c r="Q632" s="148"/>
      <c r="R632" s="148"/>
      <c r="S632" s="148"/>
      <c r="T632" s="148"/>
      <c r="U632" s="148"/>
    </row>
    <row r="633" spans="4:21">
      <c r="D633" s="148"/>
      <c r="E633" s="148"/>
      <c r="F633" s="148"/>
      <c r="G633" s="148"/>
      <c r="H633" s="148"/>
      <c r="I633" s="148"/>
      <c r="J633" s="148"/>
      <c r="K633" s="148"/>
      <c r="L633" s="148"/>
      <c r="M633" s="148"/>
      <c r="N633" s="148"/>
      <c r="O633" s="148"/>
      <c r="P633" s="148"/>
      <c r="Q633" s="148"/>
      <c r="R633" s="148"/>
      <c r="S633" s="148"/>
      <c r="T633" s="148"/>
      <c r="U633" s="148"/>
    </row>
    <row r="634" spans="4:21">
      <c r="D634" s="148"/>
      <c r="E634" s="148"/>
      <c r="F634" s="148"/>
      <c r="G634" s="148"/>
      <c r="H634" s="148"/>
      <c r="I634" s="148"/>
      <c r="J634" s="148"/>
      <c r="K634" s="148"/>
      <c r="L634" s="148"/>
      <c r="M634" s="148"/>
      <c r="N634" s="148"/>
      <c r="O634" s="148"/>
      <c r="P634" s="148"/>
      <c r="Q634" s="148"/>
      <c r="R634" s="148"/>
      <c r="S634" s="148"/>
      <c r="T634" s="148"/>
      <c r="U634" s="148"/>
    </row>
    <row r="635" spans="4:21">
      <c r="D635" s="148"/>
      <c r="E635" s="148"/>
      <c r="F635" s="148"/>
      <c r="G635" s="148"/>
      <c r="H635" s="148"/>
      <c r="I635" s="148"/>
      <c r="J635" s="148"/>
      <c r="K635" s="148"/>
      <c r="L635" s="148"/>
      <c r="M635" s="148"/>
      <c r="N635" s="148"/>
      <c r="O635" s="148"/>
      <c r="P635" s="148"/>
      <c r="Q635" s="148"/>
      <c r="R635" s="148"/>
      <c r="S635" s="148"/>
      <c r="T635" s="148"/>
      <c r="U635" s="148"/>
    </row>
    <row r="636" spans="4:21">
      <c r="D636" s="148"/>
      <c r="E636" s="148"/>
      <c r="F636" s="148"/>
      <c r="G636" s="148"/>
      <c r="H636" s="148"/>
      <c r="I636" s="148"/>
      <c r="J636" s="148"/>
      <c r="K636" s="148"/>
      <c r="L636" s="148"/>
      <c r="M636" s="148"/>
      <c r="N636" s="148"/>
      <c r="O636" s="148"/>
      <c r="P636" s="148"/>
      <c r="Q636" s="148"/>
      <c r="R636" s="148"/>
      <c r="S636" s="148"/>
      <c r="T636" s="148"/>
      <c r="U636" s="148"/>
    </row>
    <row r="637" spans="4:21">
      <c r="D637" s="148"/>
      <c r="E637" s="148"/>
      <c r="F637" s="148"/>
      <c r="G637" s="148"/>
      <c r="H637" s="148"/>
      <c r="I637" s="148"/>
      <c r="J637" s="148"/>
      <c r="K637" s="148"/>
      <c r="L637" s="148"/>
      <c r="M637" s="148"/>
      <c r="N637" s="148"/>
      <c r="O637" s="148"/>
      <c r="P637" s="148"/>
      <c r="Q637" s="148"/>
      <c r="R637" s="148"/>
      <c r="S637" s="148"/>
      <c r="T637" s="148"/>
      <c r="U637" s="148"/>
    </row>
    <row r="638" spans="4:21">
      <c r="D638" s="148"/>
      <c r="E638" s="148"/>
      <c r="F638" s="148"/>
      <c r="G638" s="148"/>
      <c r="H638" s="148"/>
      <c r="I638" s="148"/>
      <c r="J638" s="148"/>
      <c r="K638" s="148"/>
      <c r="L638" s="148"/>
      <c r="M638" s="148"/>
      <c r="N638" s="148"/>
      <c r="O638" s="148"/>
      <c r="P638" s="148"/>
      <c r="Q638" s="148"/>
      <c r="R638" s="148"/>
      <c r="S638" s="148"/>
      <c r="T638" s="148"/>
      <c r="U638" s="148"/>
    </row>
    <row r="639" spans="4:21">
      <c r="D639" s="148"/>
      <c r="E639" s="148"/>
      <c r="F639" s="148"/>
      <c r="G639" s="148"/>
      <c r="H639" s="148"/>
      <c r="I639" s="148"/>
      <c r="J639" s="148"/>
      <c r="K639" s="148"/>
      <c r="L639" s="148"/>
      <c r="M639" s="148"/>
      <c r="N639" s="148"/>
      <c r="O639" s="148"/>
      <c r="P639" s="148"/>
      <c r="Q639" s="148"/>
      <c r="R639" s="148"/>
      <c r="S639" s="148"/>
      <c r="T639" s="148"/>
      <c r="U639" s="148"/>
    </row>
    <row r="640" spans="4:21">
      <c r="D640" s="148"/>
      <c r="E640" s="148"/>
      <c r="F640" s="148"/>
      <c r="G640" s="148"/>
      <c r="H640" s="148"/>
      <c r="I640" s="148"/>
      <c r="J640" s="148"/>
      <c r="K640" s="148"/>
      <c r="L640" s="148"/>
      <c r="M640" s="148"/>
      <c r="N640" s="148"/>
      <c r="O640" s="148"/>
      <c r="P640" s="148"/>
      <c r="Q640" s="148"/>
      <c r="R640" s="148"/>
      <c r="S640" s="148"/>
      <c r="T640" s="148"/>
      <c r="U640" s="148"/>
    </row>
    <row r="641" spans="4:21">
      <c r="D641" s="148"/>
      <c r="E641" s="148"/>
      <c r="F641" s="148"/>
      <c r="G641" s="148"/>
      <c r="H641" s="148"/>
      <c r="I641" s="148"/>
      <c r="J641" s="148"/>
      <c r="K641" s="148"/>
      <c r="L641" s="148"/>
      <c r="M641" s="148"/>
      <c r="N641" s="148"/>
      <c r="O641" s="148"/>
      <c r="P641" s="148"/>
      <c r="Q641" s="148"/>
      <c r="R641" s="148"/>
      <c r="S641" s="148"/>
      <c r="T641" s="148"/>
      <c r="U641" s="148"/>
    </row>
    <row r="642" spans="4:21">
      <c r="D642" s="148"/>
      <c r="E642" s="148"/>
      <c r="F642" s="148"/>
      <c r="G642" s="148"/>
      <c r="H642" s="148"/>
      <c r="I642" s="148"/>
      <c r="J642" s="148"/>
      <c r="K642" s="148"/>
      <c r="L642" s="148"/>
      <c r="M642" s="148"/>
      <c r="N642" s="148"/>
      <c r="O642" s="148"/>
      <c r="P642" s="148"/>
      <c r="Q642" s="148"/>
      <c r="R642" s="148"/>
      <c r="S642" s="148"/>
      <c r="T642" s="148"/>
      <c r="U642" s="148"/>
    </row>
    <row r="643" spans="4:21">
      <c r="D643" s="148"/>
      <c r="E643" s="148"/>
      <c r="F643" s="148"/>
      <c r="G643" s="148"/>
      <c r="H643" s="148"/>
      <c r="I643" s="148"/>
      <c r="J643" s="148"/>
      <c r="K643" s="148"/>
      <c r="L643" s="148"/>
      <c r="M643" s="148"/>
      <c r="N643" s="148"/>
      <c r="O643" s="148"/>
      <c r="P643" s="148"/>
      <c r="Q643" s="148"/>
      <c r="R643" s="148"/>
      <c r="S643" s="148"/>
      <c r="T643" s="148"/>
      <c r="U643" s="148"/>
    </row>
    <row r="644" spans="4:21">
      <c r="D644" s="148"/>
      <c r="E644" s="148"/>
      <c r="F644" s="148"/>
      <c r="G644" s="148"/>
      <c r="H644" s="148"/>
      <c r="I644" s="148"/>
      <c r="J644" s="148"/>
      <c r="K644" s="148"/>
      <c r="L644" s="148"/>
      <c r="M644" s="148"/>
      <c r="N644" s="148"/>
      <c r="O644" s="148"/>
      <c r="P644" s="148"/>
      <c r="Q644" s="148"/>
      <c r="R644" s="148"/>
      <c r="S644" s="148"/>
      <c r="T644" s="148"/>
      <c r="U644" s="148"/>
    </row>
    <row r="645" spans="4:21">
      <c r="D645" s="148"/>
      <c r="E645" s="148"/>
      <c r="F645" s="148"/>
      <c r="G645" s="148"/>
      <c r="H645" s="148"/>
      <c r="I645" s="148"/>
      <c r="J645" s="148"/>
      <c r="K645" s="148"/>
      <c r="L645" s="148"/>
      <c r="M645" s="148"/>
      <c r="N645" s="148"/>
      <c r="O645" s="148"/>
      <c r="P645" s="148"/>
      <c r="Q645" s="148"/>
      <c r="R645" s="148"/>
      <c r="S645" s="148"/>
      <c r="T645" s="148"/>
      <c r="U645" s="148"/>
    </row>
    <row r="646" spans="4:21">
      <c r="D646" s="148"/>
      <c r="E646" s="148"/>
      <c r="F646" s="148"/>
      <c r="G646" s="148"/>
      <c r="H646" s="148"/>
      <c r="I646" s="148"/>
      <c r="J646" s="148"/>
      <c r="K646" s="148"/>
      <c r="L646" s="148"/>
      <c r="M646" s="148"/>
      <c r="N646" s="148"/>
      <c r="O646" s="148"/>
      <c r="P646" s="148"/>
      <c r="Q646" s="148"/>
      <c r="R646" s="148"/>
      <c r="S646" s="148"/>
      <c r="T646" s="148"/>
      <c r="U646" s="148"/>
    </row>
    <row r="647" spans="4:21">
      <c r="D647" s="148"/>
      <c r="E647" s="148"/>
      <c r="F647" s="148"/>
      <c r="G647" s="148"/>
      <c r="H647" s="148"/>
      <c r="I647" s="148"/>
      <c r="J647" s="148"/>
      <c r="K647" s="148"/>
      <c r="L647" s="148"/>
      <c r="M647" s="148"/>
      <c r="N647" s="148"/>
      <c r="O647" s="148"/>
      <c r="P647" s="148"/>
      <c r="Q647" s="148"/>
      <c r="R647" s="148"/>
      <c r="S647" s="148"/>
      <c r="T647" s="148"/>
      <c r="U647" s="148"/>
    </row>
    <row r="648" spans="4:21">
      <c r="D648" s="148"/>
      <c r="E648" s="148"/>
      <c r="F648" s="148"/>
      <c r="G648" s="148"/>
      <c r="H648" s="148"/>
      <c r="I648" s="148"/>
      <c r="J648" s="148"/>
      <c r="K648" s="148"/>
      <c r="L648" s="148"/>
      <c r="M648" s="148"/>
      <c r="N648" s="148"/>
      <c r="O648" s="148"/>
      <c r="P648" s="148"/>
      <c r="Q648" s="148"/>
      <c r="R648" s="148"/>
      <c r="S648" s="148"/>
      <c r="T648" s="148"/>
      <c r="U648" s="148"/>
    </row>
    <row r="649" spans="4:21">
      <c r="D649" s="148"/>
      <c r="E649" s="148"/>
      <c r="F649" s="148"/>
      <c r="G649" s="148"/>
      <c r="H649" s="148"/>
      <c r="I649" s="148"/>
      <c r="J649" s="148"/>
      <c r="K649" s="148"/>
      <c r="L649" s="148"/>
      <c r="M649" s="148"/>
      <c r="N649" s="148"/>
      <c r="O649" s="148"/>
      <c r="P649" s="148"/>
      <c r="Q649" s="148"/>
      <c r="R649" s="148"/>
      <c r="S649" s="148"/>
      <c r="T649" s="148"/>
      <c r="U649" s="148"/>
    </row>
    <row r="650" spans="4:21">
      <c r="D650" s="148"/>
      <c r="E650" s="148"/>
      <c r="F650" s="148"/>
      <c r="G650" s="148"/>
      <c r="H650" s="148"/>
      <c r="I650" s="148"/>
      <c r="J650" s="148"/>
      <c r="K650" s="148"/>
      <c r="L650" s="148"/>
      <c r="M650" s="148"/>
      <c r="N650" s="148"/>
      <c r="O650" s="148"/>
      <c r="P650" s="148"/>
      <c r="Q650" s="148"/>
      <c r="R650" s="148"/>
      <c r="S650" s="148"/>
      <c r="T650" s="148"/>
      <c r="U650" s="148"/>
    </row>
    <row r="651" spans="4:21">
      <c r="D651" s="148"/>
      <c r="E651" s="148"/>
      <c r="F651" s="148"/>
      <c r="G651" s="148"/>
      <c r="H651" s="148"/>
      <c r="I651" s="148"/>
      <c r="J651" s="148"/>
      <c r="K651" s="148"/>
      <c r="L651" s="148"/>
      <c r="M651" s="148"/>
      <c r="N651" s="148"/>
      <c r="O651" s="148"/>
      <c r="P651" s="148"/>
      <c r="Q651" s="148"/>
      <c r="R651" s="148"/>
      <c r="S651" s="148"/>
      <c r="T651" s="148"/>
      <c r="U651" s="148"/>
    </row>
    <row r="652" spans="4:21">
      <c r="D652" s="148"/>
      <c r="E652" s="148"/>
      <c r="F652" s="148"/>
      <c r="G652" s="148"/>
      <c r="H652" s="148"/>
      <c r="I652" s="148"/>
      <c r="J652" s="148"/>
      <c r="K652" s="148"/>
      <c r="L652" s="148"/>
      <c r="M652" s="148"/>
      <c r="N652" s="148"/>
      <c r="O652" s="148"/>
      <c r="P652" s="148"/>
      <c r="Q652" s="148"/>
      <c r="R652" s="148"/>
      <c r="S652" s="148"/>
      <c r="T652" s="148"/>
      <c r="U652" s="148"/>
    </row>
    <row r="653" spans="4:21">
      <c r="D653" s="148"/>
      <c r="E653" s="148"/>
      <c r="F653" s="148"/>
      <c r="G653" s="148"/>
      <c r="H653" s="148"/>
      <c r="I653" s="148"/>
      <c r="J653" s="148"/>
      <c r="K653" s="148"/>
      <c r="L653" s="148"/>
      <c r="M653" s="148"/>
      <c r="N653" s="148"/>
      <c r="O653" s="148"/>
      <c r="P653" s="148"/>
      <c r="Q653" s="148"/>
      <c r="R653" s="148"/>
      <c r="S653" s="148"/>
      <c r="T653" s="148"/>
      <c r="U653" s="148"/>
    </row>
    <row r="654" spans="4:21">
      <c r="D654" s="148"/>
      <c r="E654" s="148"/>
      <c r="F654" s="148"/>
      <c r="G654" s="148"/>
      <c r="H654" s="148"/>
      <c r="I654" s="148"/>
      <c r="J654" s="148"/>
      <c r="K654" s="148"/>
      <c r="L654" s="148"/>
      <c r="M654" s="148"/>
      <c r="N654" s="148"/>
      <c r="O654" s="148"/>
      <c r="P654" s="148"/>
      <c r="Q654" s="148"/>
      <c r="R654" s="148"/>
      <c r="S654" s="148"/>
      <c r="T654" s="148"/>
      <c r="U654" s="148"/>
    </row>
    <row r="655" spans="4:21">
      <c r="D655" s="148"/>
      <c r="E655" s="148"/>
      <c r="F655" s="148"/>
      <c r="G655" s="148"/>
      <c r="H655" s="148"/>
      <c r="I655" s="148"/>
      <c r="J655" s="148"/>
      <c r="K655" s="148"/>
      <c r="L655" s="148"/>
      <c r="M655" s="148"/>
      <c r="N655" s="148"/>
      <c r="O655" s="148"/>
      <c r="P655" s="148"/>
      <c r="Q655" s="148"/>
      <c r="R655" s="148"/>
      <c r="S655" s="148"/>
      <c r="T655" s="148"/>
      <c r="U655" s="148"/>
    </row>
    <row r="656" spans="4:21">
      <c r="D656" s="148"/>
      <c r="E656" s="148"/>
      <c r="F656" s="148"/>
      <c r="G656" s="148"/>
      <c r="H656" s="148"/>
      <c r="I656" s="148"/>
      <c r="J656" s="148"/>
      <c r="K656" s="148"/>
      <c r="L656" s="148"/>
      <c r="M656" s="148"/>
      <c r="N656" s="148"/>
      <c r="O656" s="148"/>
      <c r="P656" s="148"/>
      <c r="Q656" s="148"/>
      <c r="R656" s="148"/>
      <c r="S656" s="148"/>
      <c r="T656" s="148"/>
      <c r="U656" s="148"/>
    </row>
    <row r="657" spans="4:21">
      <c r="D657" s="148"/>
      <c r="E657" s="148"/>
      <c r="F657" s="148"/>
      <c r="G657" s="148"/>
      <c r="H657" s="148"/>
      <c r="I657" s="148"/>
      <c r="J657" s="148"/>
      <c r="K657" s="148"/>
      <c r="L657" s="148"/>
      <c r="M657" s="148"/>
      <c r="N657" s="148"/>
      <c r="O657" s="148"/>
      <c r="P657" s="148"/>
      <c r="Q657" s="148"/>
      <c r="R657" s="148"/>
      <c r="S657" s="148"/>
      <c r="T657" s="148"/>
      <c r="U657" s="148"/>
    </row>
    <row r="658" spans="4:21">
      <c r="D658" s="148"/>
      <c r="E658" s="148"/>
      <c r="F658" s="148"/>
      <c r="G658" s="148"/>
      <c r="H658" s="148"/>
      <c r="I658" s="148"/>
      <c r="J658" s="148"/>
      <c r="K658" s="148"/>
      <c r="L658" s="148"/>
      <c r="M658" s="148"/>
      <c r="N658" s="148"/>
      <c r="O658" s="148"/>
      <c r="P658" s="148"/>
      <c r="Q658" s="148"/>
      <c r="R658" s="148"/>
      <c r="S658" s="148"/>
      <c r="T658" s="148"/>
      <c r="U658" s="148"/>
    </row>
    <row r="659" spans="4:21">
      <c r="D659" s="148"/>
      <c r="E659" s="148"/>
      <c r="F659" s="148"/>
      <c r="G659" s="148"/>
      <c r="H659" s="148"/>
      <c r="I659" s="148"/>
      <c r="J659" s="148"/>
      <c r="K659" s="148"/>
      <c r="L659" s="148"/>
      <c r="M659" s="148"/>
      <c r="N659" s="148"/>
      <c r="O659" s="148"/>
      <c r="P659" s="148"/>
      <c r="Q659" s="148"/>
      <c r="R659" s="148"/>
      <c r="S659" s="148"/>
      <c r="T659" s="148"/>
      <c r="U659" s="148"/>
    </row>
    <row r="660" spans="4:21">
      <c r="D660" s="148"/>
      <c r="E660" s="148"/>
      <c r="F660" s="148"/>
      <c r="G660" s="148"/>
      <c r="H660" s="148"/>
      <c r="I660" s="148"/>
      <c r="J660" s="148"/>
      <c r="K660" s="148"/>
      <c r="L660" s="148"/>
      <c r="M660" s="148"/>
      <c r="N660" s="148"/>
      <c r="O660" s="148"/>
      <c r="P660" s="148"/>
      <c r="Q660" s="148"/>
      <c r="R660" s="148"/>
      <c r="S660" s="148"/>
      <c r="T660" s="148"/>
      <c r="U660" s="148"/>
    </row>
    <row r="661" spans="4:21">
      <c r="D661" s="148"/>
      <c r="E661" s="148"/>
      <c r="F661" s="148"/>
      <c r="G661" s="148"/>
      <c r="H661" s="148"/>
      <c r="I661" s="148"/>
      <c r="J661" s="148"/>
      <c r="K661" s="148"/>
      <c r="L661" s="148"/>
      <c r="M661" s="148"/>
      <c r="N661" s="148"/>
      <c r="O661" s="148"/>
      <c r="P661" s="148"/>
      <c r="Q661" s="148"/>
      <c r="R661" s="148"/>
      <c r="S661" s="148"/>
      <c r="T661" s="148"/>
      <c r="U661" s="148"/>
    </row>
    <row r="662" spans="4:21">
      <c r="D662" s="148"/>
      <c r="E662" s="148"/>
      <c r="F662" s="148"/>
      <c r="G662" s="148"/>
      <c r="H662" s="148"/>
      <c r="I662" s="148"/>
      <c r="J662" s="148"/>
      <c r="K662" s="148"/>
      <c r="L662" s="148"/>
      <c r="M662" s="148"/>
      <c r="N662" s="148"/>
      <c r="O662" s="148"/>
      <c r="P662" s="148"/>
      <c r="Q662" s="148"/>
      <c r="R662" s="148"/>
      <c r="S662" s="148"/>
      <c r="T662" s="148"/>
      <c r="U662" s="148"/>
    </row>
    <row r="663" spans="4:21">
      <c r="D663" s="148"/>
      <c r="E663" s="148"/>
      <c r="F663" s="148"/>
      <c r="G663" s="148"/>
      <c r="H663" s="148"/>
      <c r="I663" s="148"/>
      <c r="J663" s="148"/>
      <c r="K663" s="148"/>
      <c r="L663" s="148"/>
      <c r="M663" s="148"/>
      <c r="N663" s="148"/>
      <c r="O663" s="148"/>
      <c r="P663" s="148"/>
      <c r="Q663" s="148"/>
      <c r="R663" s="148"/>
      <c r="S663" s="148"/>
      <c r="T663" s="148"/>
      <c r="U663" s="148"/>
    </row>
    <row r="664" spans="4:21">
      <c r="D664" s="148"/>
      <c r="E664" s="148"/>
      <c r="F664" s="148"/>
      <c r="G664" s="148"/>
      <c r="H664" s="148"/>
      <c r="I664" s="148"/>
      <c r="J664" s="148"/>
      <c r="K664" s="148"/>
      <c r="L664" s="148"/>
      <c r="M664" s="148"/>
      <c r="N664" s="148"/>
      <c r="O664" s="148"/>
      <c r="P664" s="148"/>
      <c r="Q664" s="148"/>
      <c r="R664" s="148"/>
      <c r="S664" s="148"/>
      <c r="T664" s="148"/>
      <c r="U664" s="148"/>
    </row>
    <row r="665" spans="4:21">
      <c r="D665" s="148"/>
      <c r="E665" s="148"/>
      <c r="F665" s="148"/>
      <c r="G665" s="148"/>
      <c r="H665" s="148"/>
      <c r="I665" s="148"/>
      <c r="J665" s="148"/>
      <c r="K665" s="148"/>
      <c r="L665" s="148"/>
      <c r="M665" s="148"/>
      <c r="N665" s="148"/>
      <c r="O665" s="148"/>
      <c r="P665" s="148"/>
      <c r="Q665" s="148"/>
      <c r="R665" s="148"/>
      <c r="S665" s="148"/>
      <c r="T665" s="148"/>
      <c r="U665" s="148"/>
    </row>
    <row r="666" spans="4:21">
      <c r="D666" s="148"/>
      <c r="E666" s="148"/>
      <c r="F666" s="148"/>
      <c r="G666" s="148"/>
      <c r="H666" s="148"/>
      <c r="I666" s="148"/>
      <c r="J666" s="148"/>
      <c r="K666" s="148"/>
      <c r="L666" s="148"/>
      <c r="M666" s="148"/>
      <c r="N666" s="148"/>
      <c r="O666" s="148"/>
      <c r="P666" s="148"/>
      <c r="Q666" s="148"/>
      <c r="R666" s="148"/>
      <c r="S666" s="148"/>
      <c r="T666" s="148"/>
      <c r="U666" s="148"/>
    </row>
    <row r="667" spans="4:21">
      <c r="D667" s="148"/>
      <c r="E667" s="148"/>
      <c r="F667" s="148"/>
      <c r="G667" s="148"/>
      <c r="H667" s="148"/>
      <c r="I667" s="148"/>
      <c r="J667" s="148"/>
      <c r="K667" s="148"/>
      <c r="L667" s="148"/>
      <c r="M667" s="148"/>
      <c r="N667" s="148"/>
      <c r="O667" s="148"/>
      <c r="P667" s="148"/>
      <c r="Q667" s="148"/>
      <c r="R667" s="148"/>
      <c r="S667" s="148"/>
      <c r="T667" s="148"/>
      <c r="U667" s="148"/>
    </row>
    <row r="668" spans="4:21">
      <c r="D668" s="148"/>
      <c r="E668" s="148"/>
      <c r="F668" s="148"/>
      <c r="G668" s="148"/>
      <c r="H668" s="148"/>
      <c r="I668" s="148"/>
      <c r="J668" s="148"/>
      <c r="K668" s="148"/>
      <c r="L668" s="148"/>
      <c r="M668" s="148"/>
      <c r="N668" s="148"/>
      <c r="O668" s="148"/>
      <c r="P668" s="148"/>
      <c r="Q668" s="148"/>
      <c r="R668" s="148"/>
      <c r="S668" s="148"/>
      <c r="T668" s="148"/>
      <c r="U668" s="148"/>
    </row>
    <row r="669" spans="4:21">
      <c r="D669" s="148"/>
      <c r="E669" s="148"/>
      <c r="F669" s="148"/>
      <c r="G669" s="148"/>
      <c r="H669" s="148"/>
      <c r="I669" s="148"/>
      <c r="J669" s="148"/>
      <c r="K669" s="148"/>
      <c r="L669" s="148"/>
      <c r="M669" s="148"/>
      <c r="N669" s="148"/>
      <c r="O669" s="148"/>
      <c r="P669" s="148"/>
      <c r="Q669" s="148"/>
      <c r="R669" s="148"/>
      <c r="S669" s="148"/>
      <c r="T669" s="148"/>
      <c r="U669" s="148"/>
    </row>
    <row r="670" spans="4:21">
      <c r="D670" s="148"/>
      <c r="E670" s="148"/>
      <c r="F670" s="148"/>
      <c r="G670" s="148"/>
      <c r="H670" s="148"/>
      <c r="I670" s="148"/>
      <c r="J670" s="148"/>
      <c r="K670" s="148"/>
      <c r="L670" s="148"/>
      <c r="M670" s="148"/>
      <c r="N670" s="148"/>
      <c r="O670" s="148"/>
      <c r="P670" s="148"/>
      <c r="Q670" s="148"/>
      <c r="R670" s="148"/>
      <c r="S670" s="148"/>
      <c r="T670" s="148"/>
      <c r="U670" s="148"/>
    </row>
    <row r="671" spans="4:21">
      <c r="D671" s="148"/>
      <c r="E671" s="148"/>
      <c r="F671" s="148"/>
      <c r="G671" s="148"/>
      <c r="H671" s="148"/>
      <c r="I671" s="148"/>
      <c r="J671" s="148"/>
      <c r="K671" s="148"/>
      <c r="L671" s="148"/>
      <c r="M671" s="148"/>
      <c r="N671" s="148"/>
      <c r="O671" s="148"/>
      <c r="P671" s="148"/>
      <c r="Q671" s="148"/>
      <c r="R671" s="148"/>
      <c r="S671" s="148"/>
      <c r="T671" s="148"/>
      <c r="U671" s="148"/>
    </row>
    <row r="672" spans="4:21">
      <c r="D672" s="148"/>
      <c r="E672" s="148"/>
      <c r="F672" s="148"/>
      <c r="G672" s="148"/>
      <c r="H672" s="148"/>
      <c r="I672" s="148"/>
      <c r="J672" s="148"/>
      <c r="K672" s="148"/>
      <c r="L672" s="148"/>
      <c r="M672" s="148"/>
      <c r="N672" s="148"/>
      <c r="O672" s="148"/>
      <c r="P672" s="148"/>
      <c r="Q672" s="148"/>
      <c r="R672" s="148"/>
      <c r="S672" s="148"/>
      <c r="T672" s="148"/>
      <c r="U672" s="148"/>
    </row>
    <row r="673" spans="4:21">
      <c r="D673" s="148"/>
      <c r="E673" s="148"/>
      <c r="F673" s="148"/>
      <c r="G673" s="148"/>
      <c r="H673" s="148"/>
      <c r="I673" s="148"/>
      <c r="J673" s="148"/>
      <c r="K673" s="148"/>
      <c r="L673" s="148"/>
      <c r="M673" s="148"/>
      <c r="N673" s="148"/>
      <c r="O673" s="148"/>
      <c r="P673" s="148"/>
      <c r="Q673" s="148"/>
      <c r="R673" s="148"/>
      <c r="S673" s="148"/>
      <c r="T673" s="148"/>
      <c r="U673" s="148"/>
    </row>
    <row r="674" spans="4:21">
      <c r="D674" s="148"/>
      <c r="E674" s="148"/>
      <c r="F674" s="148"/>
      <c r="G674" s="148"/>
      <c r="H674" s="148"/>
      <c r="I674" s="148"/>
      <c r="J674" s="148"/>
      <c r="K674" s="148"/>
      <c r="L674" s="148"/>
      <c r="M674" s="148"/>
      <c r="N674" s="148"/>
      <c r="O674" s="148"/>
      <c r="P674" s="148"/>
      <c r="Q674" s="148"/>
      <c r="R674" s="148"/>
      <c r="S674" s="148"/>
      <c r="T674" s="148"/>
      <c r="U674" s="148"/>
    </row>
    <row r="675" spans="4:21">
      <c r="D675" s="148"/>
      <c r="E675" s="148"/>
      <c r="F675" s="148"/>
      <c r="G675" s="148"/>
      <c r="H675" s="148"/>
      <c r="I675" s="148"/>
      <c r="J675" s="148"/>
      <c r="K675" s="148"/>
      <c r="L675" s="148"/>
      <c r="M675" s="148"/>
      <c r="N675" s="148"/>
      <c r="O675" s="148"/>
      <c r="P675" s="148"/>
      <c r="Q675" s="148"/>
      <c r="R675" s="148"/>
      <c r="S675" s="148"/>
      <c r="T675" s="148"/>
      <c r="U675" s="148"/>
    </row>
    <row r="676" spans="4:21">
      <c r="D676" s="148"/>
      <c r="E676" s="148"/>
      <c r="F676" s="148"/>
      <c r="G676" s="148"/>
      <c r="H676" s="148"/>
      <c r="I676" s="148"/>
      <c r="J676" s="148"/>
      <c r="K676" s="148"/>
      <c r="L676" s="148"/>
      <c r="M676" s="148"/>
      <c r="N676" s="148"/>
      <c r="O676" s="148"/>
      <c r="P676" s="148"/>
      <c r="Q676" s="148"/>
      <c r="R676" s="148"/>
      <c r="S676" s="148"/>
      <c r="T676" s="148"/>
      <c r="U676" s="148"/>
    </row>
    <row r="677" spans="4:21">
      <c r="D677" s="148"/>
      <c r="E677" s="148"/>
      <c r="F677" s="148"/>
      <c r="G677" s="148"/>
      <c r="H677" s="148"/>
      <c r="I677" s="148"/>
      <c r="J677" s="148"/>
      <c r="K677" s="148"/>
      <c r="L677" s="148"/>
      <c r="M677" s="148"/>
      <c r="N677" s="148"/>
      <c r="O677" s="148"/>
      <c r="P677" s="148"/>
      <c r="Q677" s="148"/>
      <c r="R677" s="148"/>
      <c r="S677" s="148"/>
      <c r="T677" s="148"/>
      <c r="U677" s="148"/>
    </row>
    <row r="678" spans="4:21">
      <c r="D678" s="148"/>
      <c r="E678" s="148"/>
      <c r="F678" s="148"/>
      <c r="G678" s="148"/>
      <c r="H678" s="148"/>
      <c r="I678" s="148"/>
      <c r="J678" s="148"/>
      <c r="K678" s="148"/>
      <c r="L678" s="148"/>
      <c r="M678" s="148"/>
      <c r="N678" s="148"/>
      <c r="O678" s="148"/>
      <c r="P678" s="148"/>
      <c r="Q678" s="148"/>
      <c r="R678" s="148"/>
      <c r="S678" s="148"/>
      <c r="T678" s="148"/>
      <c r="U678" s="148"/>
    </row>
    <row r="679" spans="4:21">
      <c r="D679" s="148"/>
      <c r="E679" s="148"/>
      <c r="F679" s="148"/>
      <c r="G679" s="148"/>
      <c r="H679" s="148"/>
      <c r="I679" s="148"/>
      <c r="J679" s="148"/>
      <c r="K679" s="148"/>
      <c r="L679" s="148"/>
      <c r="M679" s="148"/>
      <c r="N679" s="148"/>
      <c r="O679" s="148"/>
      <c r="P679" s="148"/>
      <c r="Q679" s="148"/>
      <c r="R679" s="148"/>
      <c r="S679" s="148"/>
      <c r="T679" s="148"/>
      <c r="U679" s="148"/>
    </row>
    <row r="680" spans="4:21">
      <c r="D680" s="148"/>
      <c r="E680" s="148"/>
      <c r="F680" s="148"/>
      <c r="G680" s="148"/>
      <c r="H680" s="148"/>
      <c r="I680" s="148"/>
      <c r="J680" s="148"/>
      <c r="K680" s="148"/>
      <c r="L680" s="148"/>
      <c r="M680" s="148"/>
      <c r="N680" s="148"/>
      <c r="O680" s="148"/>
      <c r="P680" s="148"/>
      <c r="Q680" s="148"/>
      <c r="R680" s="148"/>
      <c r="S680" s="148"/>
      <c r="T680" s="148"/>
      <c r="U680" s="148"/>
    </row>
    <row r="681" spans="4:21">
      <c r="D681" s="148"/>
      <c r="E681" s="148"/>
      <c r="F681" s="148"/>
      <c r="G681" s="148"/>
      <c r="H681" s="148"/>
      <c r="I681" s="148"/>
      <c r="J681" s="148"/>
      <c r="K681" s="148"/>
      <c r="L681" s="148"/>
      <c r="M681" s="148"/>
      <c r="N681" s="148"/>
      <c r="O681" s="148"/>
      <c r="P681" s="148"/>
      <c r="Q681" s="148"/>
      <c r="R681" s="148"/>
      <c r="S681" s="148"/>
      <c r="T681" s="148"/>
      <c r="U681" s="148"/>
    </row>
    <row r="682" spans="4:21">
      <c r="D682" s="148"/>
      <c r="E682" s="148"/>
      <c r="F682" s="148"/>
      <c r="G682" s="148"/>
      <c r="H682" s="148"/>
      <c r="I682" s="148"/>
      <c r="J682" s="148"/>
      <c r="K682" s="148"/>
      <c r="L682" s="148"/>
      <c r="M682" s="148"/>
      <c r="N682" s="148"/>
      <c r="O682" s="148"/>
      <c r="P682" s="148"/>
      <c r="Q682" s="148"/>
      <c r="R682" s="148"/>
      <c r="S682" s="148"/>
      <c r="T682" s="148"/>
      <c r="U682" s="148"/>
    </row>
    <row r="683" spans="4:21">
      <c r="D683" s="148"/>
      <c r="E683" s="148"/>
      <c r="F683" s="148"/>
      <c r="G683" s="148"/>
      <c r="H683" s="148"/>
      <c r="I683" s="148"/>
      <c r="J683" s="148"/>
      <c r="K683" s="148"/>
      <c r="L683" s="148"/>
      <c r="M683" s="148"/>
      <c r="N683" s="148"/>
      <c r="O683" s="148"/>
      <c r="P683" s="148"/>
      <c r="Q683" s="148"/>
      <c r="R683" s="148"/>
      <c r="S683" s="148"/>
      <c r="T683" s="148"/>
      <c r="U683" s="148"/>
    </row>
    <row r="684" spans="4:21">
      <c r="D684" s="148"/>
      <c r="E684" s="148"/>
      <c r="F684" s="148"/>
      <c r="G684" s="148"/>
      <c r="H684" s="148"/>
      <c r="I684" s="148"/>
      <c r="J684" s="148"/>
      <c r="K684" s="148"/>
      <c r="L684" s="148"/>
      <c r="M684" s="148"/>
      <c r="N684" s="148"/>
      <c r="O684" s="148"/>
      <c r="P684" s="148"/>
      <c r="Q684" s="148"/>
      <c r="R684" s="148"/>
      <c r="S684" s="148"/>
      <c r="T684" s="148"/>
      <c r="U684" s="148"/>
    </row>
    <row r="685" spans="4:21">
      <c r="D685" s="148"/>
      <c r="E685" s="148"/>
      <c r="F685" s="148"/>
      <c r="G685" s="148"/>
      <c r="H685" s="148"/>
      <c r="I685" s="148"/>
      <c r="J685" s="148"/>
      <c r="K685" s="148"/>
      <c r="L685" s="148"/>
      <c r="M685" s="148"/>
      <c r="N685" s="148"/>
      <c r="O685" s="148"/>
      <c r="P685" s="148"/>
      <c r="Q685" s="148"/>
      <c r="R685" s="148"/>
      <c r="S685" s="148"/>
      <c r="T685" s="148"/>
      <c r="U685" s="148"/>
    </row>
    <row r="686" spans="4:21">
      <c r="D686" s="148"/>
      <c r="E686" s="148"/>
      <c r="F686" s="148"/>
      <c r="G686" s="148"/>
      <c r="H686" s="148"/>
      <c r="I686" s="148"/>
      <c r="J686" s="148"/>
      <c r="K686" s="148"/>
      <c r="L686" s="148"/>
      <c r="M686" s="148"/>
      <c r="N686" s="148"/>
      <c r="O686" s="148"/>
      <c r="P686" s="148"/>
      <c r="Q686" s="148"/>
      <c r="R686" s="148"/>
      <c r="S686" s="148"/>
      <c r="T686" s="148"/>
      <c r="U686" s="148"/>
    </row>
    <row r="687" spans="4:21">
      <c r="D687" s="148"/>
      <c r="E687" s="148"/>
      <c r="F687" s="148"/>
      <c r="G687" s="148"/>
      <c r="H687" s="148"/>
      <c r="I687" s="148"/>
      <c r="J687" s="148"/>
      <c r="K687" s="148"/>
      <c r="L687" s="148"/>
      <c r="M687" s="148"/>
      <c r="N687" s="148"/>
      <c r="O687" s="148"/>
      <c r="P687" s="148"/>
      <c r="Q687" s="148"/>
      <c r="R687" s="148"/>
      <c r="S687" s="148"/>
      <c r="T687" s="148"/>
      <c r="U687" s="148"/>
    </row>
    <row r="688" spans="4:21">
      <c r="D688" s="148"/>
      <c r="E688" s="148"/>
      <c r="F688" s="148"/>
      <c r="G688" s="148"/>
      <c r="H688" s="148"/>
      <c r="I688" s="148"/>
      <c r="J688" s="148"/>
      <c r="K688" s="148"/>
      <c r="L688" s="148"/>
      <c r="M688" s="148"/>
      <c r="N688" s="148"/>
      <c r="O688" s="148"/>
      <c r="P688" s="148"/>
      <c r="Q688" s="148"/>
      <c r="R688" s="148"/>
      <c r="S688" s="148"/>
      <c r="T688" s="148"/>
      <c r="U688" s="148"/>
    </row>
    <row r="689" spans="4:21">
      <c r="D689" s="148"/>
      <c r="E689" s="148"/>
      <c r="F689" s="148"/>
      <c r="G689" s="148"/>
      <c r="H689" s="148"/>
      <c r="I689" s="148"/>
      <c r="J689" s="148"/>
      <c r="K689" s="148"/>
      <c r="L689" s="148"/>
      <c r="M689" s="148"/>
      <c r="N689" s="148"/>
      <c r="O689" s="148"/>
      <c r="P689" s="148"/>
      <c r="Q689" s="148"/>
      <c r="R689" s="148"/>
      <c r="S689" s="148"/>
      <c r="T689" s="148"/>
      <c r="U689" s="148"/>
    </row>
    <row r="690" spans="4:21">
      <c r="D690" s="148"/>
      <c r="E690" s="148"/>
      <c r="F690" s="148"/>
      <c r="G690" s="148"/>
      <c r="H690" s="148"/>
      <c r="I690" s="148"/>
      <c r="J690" s="148"/>
      <c r="K690" s="148"/>
      <c r="L690" s="148"/>
      <c r="M690" s="148"/>
      <c r="N690" s="148"/>
      <c r="O690" s="148"/>
      <c r="P690" s="148"/>
      <c r="Q690" s="148"/>
      <c r="R690" s="148"/>
      <c r="S690" s="148"/>
      <c r="T690" s="148"/>
      <c r="U690" s="148"/>
    </row>
    <row r="691" spans="4:21">
      <c r="D691" s="148"/>
      <c r="E691" s="148"/>
      <c r="F691" s="148"/>
      <c r="G691" s="148"/>
      <c r="H691" s="148"/>
      <c r="I691" s="148"/>
      <c r="J691" s="148"/>
      <c r="K691" s="148"/>
      <c r="L691" s="148"/>
      <c r="M691" s="148"/>
      <c r="N691" s="148"/>
      <c r="O691" s="148"/>
      <c r="P691" s="148"/>
      <c r="Q691" s="148"/>
      <c r="R691" s="148"/>
      <c r="S691" s="148"/>
      <c r="T691" s="148"/>
      <c r="U691" s="148"/>
    </row>
    <row r="692" spans="4:21">
      <c r="D692" s="148"/>
      <c r="E692" s="148"/>
      <c r="F692" s="148"/>
      <c r="G692" s="148"/>
      <c r="H692" s="148"/>
      <c r="I692" s="148"/>
      <c r="J692" s="148"/>
      <c r="K692" s="148"/>
      <c r="L692" s="148"/>
      <c r="M692" s="148"/>
      <c r="N692" s="148"/>
      <c r="O692" s="148"/>
      <c r="P692" s="148"/>
      <c r="Q692" s="148"/>
      <c r="R692" s="148"/>
      <c r="S692" s="148"/>
      <c r="T692" s="148"/>
      <c r="U692" s="148"/>
    </row>
    <row r="693" spans="4:21">
      <c r="D693" s="148"/>
      <c r="E693" s="148"/>
      <c r="F693" s="148"/>
      <c r="G693" s="148"/>
      <c r="H693" s="148"/>
      <c r="I693" s="148"/>
      <c r="J693" s="148"/>
      <c r="K693" s="148"/>
      <c r="L693" s="148"/>
      <c r="M693" s="148"/>
      <c r="N693" s="148"/>
      <c r="O693" s="148"/>
      <c r="P693" s="148"/>
      <c r="Q693" s="148"/>
      <c r="R693" s="148"/>
      <c r="S693" s="148"/>
      <c r="T693" s="148"/>
      <c r="U693" s="148"/>
    </row>
    <row r="694" spans="4:21">
      <c r="D694" s="148"/>
      <c r="E694" s="148"/>
      <c r="F694" s="148"/>
      <c r="G694" s="148"/>
      <c r="H694" s="148"/>
      <c r="I694" s="148"/>
      <c r="J694" s="148"/>
      <c r="K694" s="148"/>
      <c r="L694" s="148"/>
      <c r="M694" s="148"/>
      <c r="N694" s="148"/>
      <c r="O694" s="148"/>
      <c r="P694" s="148"/>
      <c r="Q694" s="148"/>
      <c r="R694" s="148"/>
      <c r="S694" s="148"/>
      <c r="T694" s="148"/>
      <c r="U694" s="148"/>
    </row>
    <row r="695" spans="4:21">
      <c r="D695" s="148"/>
      <c r="E695" s="148"/>
      <c r="F695" s="148"/>
      <c r="G695" s="148"/>
      <c r="H695" s="148"/>
      <c r="I695" s="148"/>
      <c r="J695" s="148"/>
      <c r="K695" s="148"/>
      <c r="L695" s="148"/>
      <c r="M695" s="148"/>
      <c r="N695" s="148"/>
      <c r="O695" s="148"/>
      <c r="P695" s="148"/>
      <c r="Q695" s="148"/>
      <c r="R695" s="148"/>
      <c r="S695" s="148"/>
      <c r="T695" s="148"/>
      <c r="U695" s="148"/>
    </row>
    <row r="696" spans="4:21">
      <c r="D696" s="148"/>
      <c r="E696" s="148"/>
      <c r="F696" s="148"/>
      <c r="G696" s="148"/>
      <c r="H696" s="148"/>
      <c r="I696" s="148"/>
      <c r="J696" s="148"/>
      <c r="K696" s="148"/>
      <c r="L696" s="148"/>
      <c r="M696" s="148"/>
      <c r="N696" s="148"/>
      <c r="O696" s="148"/>
      <c r="P696" s="148"/>
      <c r="Q696" s="148"/>
      <c r="R696" s="148"/>
      <c r="S696" s="148"/>
      <c r="T696" s="148"/>
      <c r="U696" s="148"/>
    </row>
    <row r="697" spans="4:21">
      <c r="D697" s="148"/>
      <c r="E697" s="148"/>
      <c r="F697" s="148"/>
      <c r="G697" s="148"/>
      <c r="H697" s="148"/>
      <c r="I697" s="148"/>
      <c r="J697" s="148"/>
      <c r="K697" s="148"/>
      <c r="L697" s="148"/>
      <c r="M697" s="148"/>
      <c r="N697" s="148"/>
      <c r="O697" s="148"/>
      <c r="P697" s="148"/>
      <c r="Q697" s="148"/>
      <c r="R697" s="148"/>
      <c r="S697" s="148"/>
      <c r="T697" s="148"/>
      <c r="U697" s="148"/>
    </row>
    <row r="698" spans="4:21">
      <c r="D698" s="148"/>
      <c r="E698" s="148"/>
      <c r="F698" s="148"/>
      <c r="G698" s="148"/>
      <c r="H698" s="148"/>
      <c r="I698" s="148"/>
      <c r="J698" s="148"/>
      <c r="K698" s="148"/>
      <c r="L698" s="148"/>
      <c r="M698" s="148"/>
      <c r="N698" s="148"/>
      <c r="O698" s="148"/>
      <c r="P698" s="148"/>
      <c r="Q698" s="148"/>
      <c r="R698" s="148"/>
      <c r="S698" s="148"/>
      <c r="T698" s="148"/>
      <c r="U698" s="148"/>
    </row>
    <row r="699" spans="4:21">
      <c r="D699" s="148"/>
      <c r="E699" s="148"/>
      <c r="F699" s="148"/>
      <c r="G699" s="148"/>
      <c r="H699" s="148"/>
      <c r="I699" s="148"/>
      <c r="J699" s="148"/>
      <c r="K699" s="148"/>
      <c r="L699" s="148"/>
      <c r="M699" s="148"/>
      <c r="N699" s="148"/>
      <c r="O699" s="148"/>
      <c r="P699" s="148"/>
      <c r="Q699" s="148"/>
      <c r="R699" s="148"/>
      <c r="S699" s="148"/>
      <c r="T699" s="148"/>
      <c r="U699" s="148"/>
    </row>
    <row r="700" spans="4:21">
      <c r="D700" s="148"/>
      <c r="E700" s="148"/>
      <c r="F700" s="148"/>
      <c r="G700" s="148"/>
      <c r="H700" s="148"/>
      <c r="I700" s="148"/>
      <c r="J700" s="148"/>
      <c r="K700" s="148"/>
      <c r="L700" s="148"/>
      <c r="M700" s="148"/>
      <c r="N700" s="148"/>
      <c r="O700" s="148"/>
      <c r="P700" s="148"/>
      <c r="Q700" s="148"/>
      <c r="R700" s="148"/>
      <c r="S700" s="148"/>
      <c r="T700" s="148"/>
      <c r="U700" s="148"/>
    </row>
    <row r="701" spans="4:21">
      <c r="D701" s="148"/>
      <c r="E701" s="148"/>
      <c r="F701" s="148"/>
      <c r="G701" s="148"/>
      <c r="H701" s="148"/>
      <c r="I701" s="148"/>
      <c r="J701" s="148"/>
      <c r="K701" s="148"/>
      <c r="L701" s="148"/>
      <c r="M701" s="148"/>
      <c r="N701" s="148"/>
      <c r="O701" s="148"/>
      <c r="P701" s="148"/>
      <c r="Q701" s="148"/>
      <c r="R701" s="148"/>
      <c r="S701" s="148"/>
      <c r="T701" s="148"/>
      <c r="U701" s="148"/>
    </row>
    <row r="702" spans="4:21">
      <c r="D702" s="148"/>
      <c r="E702" s="148"/>
      <c r="F702" s="148"/>
      <c r="G702" s="148"/>
      <c r="H702" s="148"/>
      <c r="I702" s="148"/>
      <c r="J702" s="148"/>
      <c r="K702" s="148"/>
      <c r="L702" s="148"/>
      <c r="M702" s="148"/>
      <c r="N702" s="148"/>
      <c r="O702" s="148"/>
      <c r="P702" s="148"/>
      <c r="Q702" s="148"/>
      <c r="R702" s="148"/>
      <c r="S702" s="148"/>
      <c r="T702" s="148"/>
      <c r="U702" s="148"/>
    </row>
    <row r="703" spans="4:21">
      <c r="D703" s="148"/>
      <c r="E703" s="148"/>
      <c r="F703" s="148"/>
      <c r="G703" s="148"/>
      <c r="H703" s="148"/>
      <c r="I703" s="148"/>
      <c r="J703" s="148"/>
      <c r="K703" s="148"/>
      <c r="L703" s="148"/>
      <c r="M703" s="148"/>
      <c r="N703" s="148"/>
      <c r="O703" s="148"/>
      <c r="P703" s="148"/>
      <c r="Q703" s="148"/>
      <c r="R703" s="148"/>
      <c r="S703" s="148"/>
      <c r="T703" s="148"/>
      <c r="U703" s="148"/>
    </row>
    <row r="704" spans="4:21">
      <c r="D704" s="148"/>
      <c r="E704" s="148"/>
      <c r="F704" s="148"/>
      <c r="G704" s="148"/>
      <c r="H704" s="148"/>
      <c r="I704" s="148"/>
      <c r="J704" s="148"/>
      <c r="K704" s="148"/>
      <c r="L704" s="148"/>
      <c r="M704" s="148"/>
      <c r="N704" s="148"/>
      <c r="O704" s="148"/>
      <c r="P704" s="148"/>
      <c r="Q704" s="148"/>
      <c r="R704" s="148"/>
      <c r="S704" s="148"/>
      <c r="T704" s="148"/>
      <c r="U704" s="148"/>
    </row>
    <row r="705" spans="4:21">
      <c r="D705" s="148"/>
      <c r="E705" s="148"/>
      <c r="F705" s="148"/>
      <c r="G705" s="148"/>
      <c r="H705" s="148"/>
      <c r="I705" s="148"/>
      <c r="J705" s="148"/>
      <c r="K705" s="148"/>
      <c r="L705" s="148"/>
      <c r="M705" s="148"/>
      <c r="N705" s="148"/>
      <c r="O705" s="148"/>
      <c r="P705" s="148"/>
      <c r="Q705" s="148"/>
      <c r="R705" s="148"/>
      <c r="S705" s="148"/>
      <c r="T705" s="148"/>
      <c r="U705" s="148"/>
    </row>
    <row r="706" spans="4:21">
      <c r="D706" s="148"/>
      <c r="E706" s="148"/>
      <c r="F706" s="148"/>
      <c r="G706" s="148"/>
      <c r="H706" s="148"/>
      <c r="I706" s="148"/>
      <c r="J706" s="148"/>
      <c r="K706" s="148"/>
      <c r="L706" s="148"/>
      <c r="M706" s="148"/>
      <c r="N706" s="148"/>
      <c r="O706" s="148"/>
      <c r="P706" s="148"/>
      <c r="Q706" s="148"/>
      <c r="R706" s="148"/>
      <c r="S706" s="148"/>
      <c r="T706" s="148"/>
      <c r="U706" s="148"/>
    </row>
    <row r="707" spans="4:21">
      <c r="D707" s="148"/>
      <c r="E707" s="148"/>
      <c r="F707" s="148"/>
      <c r="G707" s="148"/>
      <c r="H707" s="148"/>
      <c r="I707" s="148"/>
      <c r="J707" s="148"/>
      <c r="K707" s="148"/>
      <c r="L707" s="148"/>
      <c r="M707" s="148"/>
      <c r="N707" s="148"/>
      <c r="O707" s="148"/>
      <c r="P707" s="148"/>
      <c r="Q707" s="148"/>
      <c r="R707" s="148"/>
      <c r="S707" s="148"/>
      <c r="T707" s="148"/>
      <c r="U707" s="148"/>
    </row>
    <row r="708" spans="4:21">
      <c r="D708" s="148"/>
      <c r="E708" s="148"/>
      <c r="F708" s="148"/>
      <c r="G708" s="148"/>
      <c r="H708" s="148"/>
      <c r="I708" s="148"/>
      <c r="J708" s="148"/>
      <c r="K708" s="148"/>
      <c r="L708" s="148"/>
      <c r="M708" s="148"/>
      <c r="N708" s="148"/>
      <c r="O708" s="148"/>
      <c r="P708" s="148"/>
      <c r="Q708" s="148"/>
      <c r="R708" s="148"/>
      <c r="S708" s="148"/>
      <c r="T708" s="148"/>
      <c r="U708" s="148"/>
    </row>
    <row r="709" spans="4:21">
      <c r="D709" s="148"/>
      <c r="E709" s="148"/>
      <c r="F709" s="148"/>
      <c r="G709" s="148"/>
      <c r="H709" s="148"/>
      <c r="I709" s="148"/>
      <c r="J709" s="148"/>
      <c r="K709" s="148"/>
      <c r="L709" s="148"/>
      <c r="M709" s="148"/>
      <c r="N709" s="148"/>
      <c r="O709" s="148"/>
      <c r="P709" s="148"/>
      <c r="Q709" s="148"/>
      <c r="R709" s="148"/>
      <c r="S709" s="148"/>
      <c r="T709" s="148"/>
      <c r="U709" s="148"/>
    </row>
    <row r="710" spans="4:21">
      <c r="D710" s="148"/>
      <c r="E710" s="148"/>
      <c r="F710" s="148"/>
      <c r="G710" s="148"/>
      <c r="H710" s="148"/>
      <c r="I710" s="148"/>
      <c r="J710" s="148"/>
      <c r="K710" s="148"/>
      <c r="L710" s="148"/>
      <c r="M710" s="148"/>
      <c r="N710" s="148"/>
      <c r="O710" s="148"/>
      <c r="P710" s="148"/>
      <c r="Q710" s="148"/>
      <c r="R710" s="148"/>
      <c r="S710" s="148"/>
      <c r="T710" s="148"/>
      <c r="U710" s="148"/>
    </row>
    <row r="711" spans="4:21">
      <c r="D711" s="148"/>
      <c r="E711" s="148"/>
      <c r="F711" s="148"/>
      <c r="G711" s="148"/>
      <c r="H711" s="148"/>
      <c r="I711" s="148"/>
      <c r="J711" s="148"/>
      <c r="K711" s="148"/>
      <c r="L711" s="148"/>
      <c r="M711" s="148"/>
      <c r="N711" s="148"/>
      <c r="O711" s="148"/>
      <c r="P711" s="148"/>
      <c r="Q711" s="148"/>
      <c r="R711" s="148"/>
      <c r="S711" s="148"/>
      <c r="T711" s="148"/>
      <c r="U711" s="148"/>
    </row>
    <row r="712" spans="4:21">
      <c r="D712" s="148"/>
      <c r="E712" s="148"/>
      <c r="F712" s="148"/>
      <c r="G712" s="148"/>
      <c r="H712" s="148"/>
      <c r="I712" s="148"/>
      <c r="J712" s="148"/>
      <c r="K712" s="148"/>
      <c r="L712" s="148"/>
      <c r="M712" s="148"/>
      <c r="N712" s="148"/>
      <c r="O712" s="148"/>
      <c r="P712" s="148"/>
      <c r="Q712" s="148"/>
      <c r="R712" s="148"/>
      <c r="S712" s="148"/>
      <c r="T712" s="148"/>
      <c r="U712" s="148"/>
    </row>
    <row r="713" spans="4:21">
      <c r="D713" s="148"/>
      <c r="E713" s="148"/>
      <c r="F713" s="148"/>
      <c r="G713" s="148"/>
      <c r="H713" s="148"/>
      <c r="I713" s="148"/>
      <c r="J713" s="148"/>
      <c r="K713" s="148"/>
      <c r="L713" s="148"/>
      <c r="M713" s="148"/>
      <c r="N713" s="148"/>
      <c r="O713" s="148"/>
      <c r="P713" s="148"/>
      <c r="Q713" s="148"/>
      <c r="R713" s="148"/>
      <c r="S713" s="148"/>
      <c r="T713" s="148"/>
      <c r="U713" s="148"/>
    </row>
    <row r="714" spans="4:21">
      <c r="D714" s="148"/>
      <c r="E714" s="148"/>
      <c r="F714" s="148"/>
      <c r="G714" s="148"/>
      <c r="H714" s="148"/>
      <c r="I714" s="148"/>
      <c r="J714" s="148"/>
      <c r="K714" s="148"/>
      <c r="L714" s="148"/>
      <c r="M714" s="148"/>
      <c r="N714" s="148"/>
      <c r="O714" s="148"/>
      <c r="P714" s="148"/>
      <c r="Q714" s="148"/>
      <c r="R714" s="148"/>
      <c r="S714" s="148"/>
      <c r="T714" s="148"/>
      <c r="U714" s="148"/>
    </row>
    <row r="715" spans="4:21">
      <c r="D715" s="148"/>
      <c r="E715" s="148"/>
      <c r="F715" s="148"/>
      <c r="G715" s="148"/>
      <c r="H715" s="148"/>
      <c r="I715" s="148"/>
      <c r="J715" s="148"/>
      <c r="K715" s="148"/>
      <c r="L715" s="148"/>
      <c r="M715" s="148"/>
      <c r="N715" s="148"/>
      <c r="O715" s="148"/>
      <c r="P715" s="148"/>
      <c r="Q715" s="148"/>
      <c r="R715" s="148"/>
      <c r="S715" s="148"/>
      <c r="T715" s="148"/>
      <c r="U715" s="148"/>
    </row>
    <row r="716" spans="4:21">
      <c r="D716" s="148"/>
      <c r="E716" s="148"/>
      <c r="F716" s="148"/>
      <c r="G716" s="148"/>
      <c r="H716" s="148"/>
      <c r="I716" s="148"/>
      <c r="J716" s="148"/>
      <c r="K716" s="148"/>
      <c r="L716" s="148"/>
      <c r="M716" s="148"/>
      <c r="N716" s="148"/>
      <c r="O716" s="148"/>
      <c r="P716" s="148"/>
      <c r="Q716" s="148"/>
      <c r="R716" s="148"/>
      <c r="S716" s="148"/>
      <c r="T716" s="148"/>
      <c r="U716" s="148"/>
    </row>
    <row r="717" spans="4:21">
      <c r="D717" s="148"/>
      <c r="E717" s="148"/>
      <c r="F717" s="148"/>
      <c r="G717" s="148"/>
      <c r="H717" s="148"/>
      <c r="I717" s="148"/>
      <c r="J717" s="148"/>
      <c r="K717" s="148"/>
      <c r="L717" s="148"/>
      <c r="M717" s="148"/>
      <c r="N717" s="148"/>
      <c r="O717" s="148"/>
      <c r="P717" s="148"/>
      <c r="Q717" s="148"/>
      <c r="R717" s="148"/>
      <c r="S717" s="148"/>
      <c r="T717" s="148"/>
      <c r="U717" s="148"/>
    </row>
    <row r="718" spans="4:21">
      <c r="D718" s="148"/>
      <c r="E718" s="148"/>
      <c r="F718" s="148"/>
      <c r="G718" s="148"/>
      <c r="H718" s="148"/>
      <c r="I718" s="148"/>
      <c r="J718" s="148"/>
      <c r="K718" s="148"/>
      <c r="L718" s="148"/>
      <c r="M718" s="148"/>
      <c r="N718" s="148"/>
      <c r="O718" s="148"/>
      <c r="P718" s="148"/>
      <c r="Q718" s="148"/>
      <c r="R718" s="148"/>
      <c r="S718" s="148"/>
      <c r="T718" s="148"/>
      <c r="U718" s="148"/>
    </row>
    <row r="719" spans="4:21">
      <c r="D719" s="148"/>
      <c r="E719" s="148"/>
      <c r="F719" s="148"/>
      <c r="G719" s="148"/>
      <c r="H719" s="148"/>
      <c r="I719" s="148"/>
      <c r="J719" s="148"/>
      <c r="K719" s="148"/>
      <c r="L719" s="148"/>
      <c r="M719" s="148"/>
      <c r="N719" s="148"/>
      <c r="O719" s="148"/>
      <c r="P719" s="148"/>
      <c r="Q719" s="148"/>
      <c r="R719" s="148"/>
      <c r="S719" s="148"/>
      <c r="T719" s="148"/>
      <c r="U719" s="148"/>
    </row>
    <row r="720" spans="4:21">
      <c r="D720" s="148"/>
      <c r="E720" s="148"/>
      <c r="F720" s="148"/>
      <c r="G720" s="148"/>
      <c r="H720" s="148"/>
      <c r="I720" s="148"/>
      <c r="J720" s="148"/>
      <c r="K720" s="148"/>
      <c r="L720" s="148"/>
      <c r="M720" s="148"/>
      <c r="N720" s="148"/>
      <c r="O720" s="148"/>
      <c r="P720" s="148"/>
      <c r="Q720" s="148"/>
      <c r="R720" s="148"/>
      <c r="S720" s="148"/>
      <c r="T720" s="148"/>
      <c r="U720" s="148"/>
    </row>
    <row r="721" spans="4:21">
      <c r="D721" s="148"/>
      <c r="E721" s="148"/>
      <c r="F721" s="148"/>
      <c r="G721" s="148"/>
      <c r="H721" s="148"/>
      <c r="I721" s="148"/>
      <c r="J721" s="148"/>
      <c r="K721" s="148"/>
      <c r="L721" s="148"/>
      <c r="M721" s="148"/>
      <c r="N721" s="148"/>
      <c r="O721" s="148"/>
      <c r="P721" s="148"/>
      <c r="Q721" s="148"/>
      <c r="R721" s="148"/>
      <c r="S721" s="148"/>
      <c r="T721" s="148"/>
      <c r="U721" s="148"/>
    </row>
    <row r="722" spans="4:21">
      <c r="D722" s="148"/>
      <c r="E722" s="148"/>
      <c r="F722" s="148"/>
      <c r="G722" s="148"/>
      <c r="H722" s="148"/>
      <c r="I722" s="148"/>
      <c r="J722" s="148"/>
      <c r="K722" s="148"/>
      <c r="L722" s="148"/>
      <c r="M722" s="148"/>
      <c r="N722" s="148"/>
      <c r="O722" s="148"/>
      <c r="P722" s="148"/>
      <c r="Q722" s="148"/>
      <c r="R722" s="148"/>
      <c r="S722" s="148"/>
      <c r="T722" s="148"/>
      <c r="U722" s="148"/>
    </row>
    <row r="723" spans="4:21">
      <c r="D723" s="148"/>
      <c r="E723" s="148"/>
      <c r="F723" s="148"/>
      <c r="G723" s="148"/>
      <c r="H723" s="148"/>
      <c r="I723" s="148"/>
      <c r="J723" s="148"/>
      <c r="K723" s="148"/>
      <c r="L723" s="148"/>
      <c r="M723" s="148"/>
      <c r="N723" s="148"/>
      <c r="O723" s="148"/>
      <c r="P723" s="148"/>
      <c r="Q723" s="148"/>
      <c r="R723" s="148"/>
      <c r="S723" s="148"/>
      <c r="T723" s="148"/>
      <c r="U723" s="148"/>
    </row>
    <row r="724" spans="4:21">
      <c r="D724" s="148"/>
      <c r="E724" s="148"/>
      <c r="F724" s="148"/>
      <c r="G724" s="148"/>
      <c r="H724" s="148"/>
      <c r="I724" s="148"/>
      <c r="J724" s="148"/>
      <c r="K724" s="148"/>
      <c r="L724" s="148"/>
      <c r="M724" s="148"/>
      <c r="N724" s="148"/>
      <c r="O724" s="148"/>
      <c r="P724" s="148"/>
      <c r="Q724" s="148"/>
      <c r="R724" s="148"/>
      <c r="S724" s="148"/>
      <c r="T724" s="148"/>
      <c r="U724" s="148"/>
    </row>
    <row r="725" spans="4:21">
      <c r="D725" s="148"/>
      <c r="E725" s="148"/>
      <c r="F725" s="148"/>
      <c r="G725" s="148"/>
      <c r="H725" s="148"/>
      <c r="I725" s="148"/>
      <c r="J725" s="148"/>
      <c r="K725" s="148"/>
      <c r="L725" s="148"/>
      <c r="M725" s="148"/>
      <c r="N725" s="148"/>
      <c r="O725" s="148"/>
      <c r="P725" s="148"/>
      <c r="Q725" s="148"/>
      <c r="R725" s="148"/>
      <c r="S725" s="148"/>
      <c r="T725" s="148"/>
      <c r="U725" s="14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H83"/>
  <sheetViews>
    <sheetView workbookViewId="0"/>
  </sheetViews>
  <sheetFormatPr defaultRowHeight="15"/>
  <cols>
    <col min="1" max="1" width="15.140625" style="275" customWidth="1"/>
    <col min="2" max="33" width="11.85546875" customWidth="1"/>
  </cols>
  <sheetData>
    <row r="1" spans="1:34">
      <c r="A1" s="274" t="s">
        <v>181</v>
      </c>
    </row>
    <row r="2" spans="1:34">
      <c r="B2" s="124" t="s">
        <v>182</v>
      </c>
      <c r="C2" s="125"/>
      <c r="D2" s="125"/>
      <c r="E2" s="125"/>
      <c r="F2" s="125"/>
      <c r="G2" s="125"/>
      <c r="H2" s="125"/>
      <c r="I2" s="125"/>
      <c r="J2" s="125"/>
      <c r="K2" s="125"/>
      <c r="L2" s="125"/>
      <c r="M2" s="125"/>
      <c r="N2" s="125"/>
      <c r="O2" s="125"/>
      <c r="P2" s="125"/>
      <c r="Q2" s="126"/>
      <c r="R2" s="127" t="s">
        <v>183</v>
      </c>
      <c r="S2" s="128"/>
      <c r="T2" s="128"/>
      <c r="U2" s="128"/>
      <c r="V2" s="128"/>
      <c r="W2" s="128"/>
      <c r="X2" s="128"/>
      <c r="Y2" s="128"/>
      <c r="Z2" s="128"/>
      <c r="AA2" s="129"/>
      <c r="AB2" s="130" t="s">
        <v>184</v>
      </c>
      <c r="AC2" s="131"/>
      <c r="AD2" s="131"/>
      <c r="AE2" s="131"/>
      <c r="AF2" s="131"/>
      <c r="AG2" s="131"/>
    </row>
    <row r="3" spans="1:34">
      <c r="B3" s="132">
        <v>1</v>
      </c>
      <c r="C3" s="133"/>
      <c r="D3" s="132">
        <v>2</v>
      </c>
      <c r="E3" s="133"/>
      <c r="F3" s="132">
        <v>3</v>
      </c>
      <c r="G3" s="133"/>
      <c r="H3" s="132">
        <v>4</v>
      </c>
      <c r="I3" s="133"/>
      <c r="J3" s="132">
        <v>5</v>
      </c>
      <c r="K3" s="133"/>
      <c r="L3" s="132">
        <v>6</v>
      </c>
      <c r="M3" s="133"/>
      <c r="N3" s="132">
        <v>15</v>
      </c>
      <c r="O3" s="133"/>
      <c r="P3" s="132" t="s">
        <v>185</v>
      </c>
      <c r="Q3" s="134"/>
      <c r="R3" s="135">
        <v>7</v>
      </c>
      <c r="S3" s="136"/>
      <c r="T3" s="135">
        <v>8</v>
      </c>
      <c r="U3" s="136"/>
      <c r="V3" s="135">
        <v>9</v>
      </c>
      <c r="W3" s="136"/>
      <c r="X3" s="135">
        <v>10</v>
      </c>
      <c r="Y3" s="136"/>
      <c r="Z3" s="135" t="s">
        <v>185</v>
      </c>
      <c r="AA3" s="136"/>
      <c r="AB3" s="137">
        <v>12</v>
      </c>
      <c r="AC3" s="138"/>
      <c r="AD3" s="137">
        <v>13</v>
      </c>
      <c r="AE3" s="138"/>
      <c r="AF3" s="137" t="s">
        <v>185</v>
      </c>
      <c r="AG3" s="138"/>
    </row>
    <row r="4" spans="1:34" s="203" customFormat="1">
      <c r="A4" s="278"/>
      <c r="B4" s="279">
        <v>2010</v>
      </c>
      <c r="C4" s="280">
        <v>2011</v>
      </c>
      <c r="D4" s="279">
        <v>2010</v>
      </c>
      <c r="E4" s="280">
        <v>2011</v>
      </c>
      <c r="F4" s="279">
        <v>2010</v>
      </c>
      <c r="G4" s="280">
        <v>2011</v>
      </c>
      <c r="H4" s="279">
        <v>2010</v>
      </c>
      <c r="I4" s="280">
        <v>2011</v>
      </c>
      <c r="J4" s="279">
        <v>2010</v>
      </c>
      <c r="K4" s="280">
        <v>2011</v>
      </c>
      <c r="L4" s="279">
        <v>2010</v>
      </c>
      <c r="M4" s="280">
        <v>2011</v>
      </c>
      <c r="N4" s="279">
        <v>2010</v>
      </c>
      <c r="O4" s="280">
        <v>2011</v>
      </c>
      <c r="P4" s="279">
        <v>2010</v>
      </c>
      <c r="Q4" s="280">
        <v>2011</v>
      </c>
      <c r="R4" s="281">
        <v>2010</v>
      </c>
      <c r="S4" s="282">
        <v>2011</v>
      </c>
      <c r="T4" s="281">
        <v>2010</v>
      </c>
      <c r="U4" s="282">
        <v>2011</v>
      </c>
      <c r="V4" s="281">
        <v>2010</v>
      </c>
      <c r="W4" s="282">
        <v>2011</v>
      </c>
      <c r="X4" s="281">
        <v>2010</v>
      </c>
      <c r="Y4" s="282">
        <v>2011</v>
      </c>
      <c r="Z4" s="281">
        <v>2010</v>
      </c>
      <c r="AA4" s="282">
        <v>2011</v>
      </c>
      <c r="AB4" s="283">
        <v>2010</v>
      </c>
      <c r="AC4" s="284">
        <v>2011</v>
      </c>
      <c r="AD4" s="283">
        <v>2010</v>
      </c>
      <c r="AE4" s="284">
        <v>2011</v>
      </c>
      <c r="AF4" s="283">
        <v>2010</v>
      </c>
      <c r="AG4" s="284">
        <v>2011</v>
      </c>
      <c r="AH4" s="204"/>
    </row>
    <row r="5" spans="1:34">
      <c r="A5" s="275" t="s">
        <v>141</v>
      </c>
      <c r="B5" s="139">
        <f>GETPIVOTDATA("Sum of OLD-Tot UG SCH Calc",'Pivot Table for Fact Book'!$A$3,"State","AL","type",1,"Type2","Four-Year")</f>
        <v>1549762</v>
      </c>
      <c r="C5" s="140">
        <f>GETPIVOTDATA("Sum of NEW-Tot UG SCH Calc",'Pivot Table for Fact Book'!$A$3,"State","AL","type",1,"Type2","Four-Year")</f>
        <v>1588642</v>
      </c>
      <c r="D5" s="139">
        <f>GETPIVOTDATA("Sum of OLD-Tot UG SCH Calc",'Pivot Table for Fact Book'!$A$3,"State","AL","type",2,"Type2","Four-Year")</f>
        <v>161061</v>
      </c>
      <c r="E5" s="140">
        <f>GETPIVOTDATA("Sum of NEW-Tot UG SCH Calc",'Pivot Table for Fact Book'!$A$3,"State","AL","type",2,"Type2","Four-Year")</f>
        <v>155382</v>
      </c>
      <c r="F5" s="139">
        <f>GETPIVOTDATA("Sum of OLD-Tot UG SCH Calc",'Pivot Table for Fact Book'!$A$3,"State","AL","type",3,"Type2","Four-Year")</f>
        <v>961969</v>
      </c>
      <c r="G5" s="140">
        <f>GETPIVOTDATA("Sum of NEW-Tot UG SCH Calc",'Pivot Table for Fact Book'!$A$3,"State","AL","type",3,"Type2","Four-Year")</f>
        <v>1010120</v>
      </c>
      <c r="H5" s="139">
        <f>GETPIVOTDATA("Sum of OLD-Tot UG SCH Calc",'Pivot Table for Fact Book'!$A$3,"State","AL","type",4,"Type2","Four-Year")</f>
        <v>441638</v>
      </c>
      <c r="I5" s="140">
        <f>GETPIVOTDATA("Sum of NEW-Tot UG SCH Calc",'Pivot Table for Fact Book'!$A$3,"State","AL","type",4,"Type2","Four-Year")</f>
        <v>432241</v>
      </c>
      <c r="J5" s="139">
        <f>GETPIVOTDATA("Sum of OLD-Tot UG SCH Calc",'Pivot Table for Fact Book'!$A$3,"State","AL","type",5,"Type2","Four-Year")</f>
        <v>123346</v>
      </c>
      <c r="K5" s="140">
        <f>GETPIVOTDATA("Sum of NEW-Tot UG SCH Calc",'Pivot Table for Fact Book'!$A$3,"State","AL","type",5,"Type2","Four-Year")</f>
        <v>124756</v>
      </c>
      <c r="L5" s="139">
        <f>GETPIVOTDATA("Sum of OLD-Tot UG SCH Calc",'Pivot Table for Fact Book'!$A$3,"State","AL","type",6,"Type2","Four-Year")</f>
        <v>89190</v>
      </c>
      <c r="M5" s="140">
        <f>GETPIVOTDATA("Sum of NEW-Tot UG SCH Calc",'Pivot Table for Fact Book'!$A$3,"State","AL","type",6,"Type2","Four-Year")</f>
        <v>85702</v>
      </c>
      <c r="N5" s="139">
        <f>GETPIVOTDATA("Sum of OLD-Tot UG SCH Calc",'Pivot Table for Fact Book'!$A$3,"State","AL","type",15,"Type2","Four-Year")</f>
        <v>0</v>
      </c>
      <c r="O5" s="140">
        <f>GETPIVOTDATA("Sum of NEW-Tot UG SCH Calc",'Pivot Table for Fact Book'!$A$3,"State","AL","type",15,"Type2","Four-Year")</f>
        <v>0</v>
      </c>
      <c r="P5" s="141">
        <f>GETPIVOTDATA("Sum of OLD-Tot UG SCH Calc",'Pivot Table for Fact Book'!$A$3,"State","AL","Type2","Four-Year")</f>
        <v>3326966</v>
      </c>
      <c r="Q5" s="141">
        <f>GETPIVOTDATA("Sum of NEW-Tot UG SCH Calc",'Pivot Table for Fact Book'!$A$3,"State","AL","Type2","Four-Year")</f>
        <v>3396843</v>
      </c>
      <c r="R5" s="139">
        <f>GETPIVOTDATA("Sum of OLD-Tot UG SCH Calc",'Pivot Table for Fact Book'!$A$3,"State","AL","type",7,"Type2","Two-Year")</f>
        <v>0</v>
      </c>
      <c r="S5" s="142">
        <f>GETPIVOTDATA("Sum of NEW-Tot UG SCH Calc",'Pivot Table for Fact Book'!$A$3,"State","AL","type",7,"Type2","Two-Year")</f>
        <v>0</v>
      </c>
      <c r="T5" s="142">
        <f>GETPIVOTDATA("Sum of OLD-Tot UG SCH Calc",'Pivot Table for Fact Book'!$A$3,"State","AL","type",8,"Type2","Two-Year")</f>
        <v>816617</v>
      </c>
      <c r="U5" s="142">
        <f>GETPIVOTDATA("Sum of NEW-Tot UG SCH Calc",'Pivot Table for Fact Book'!$A$3,"State","AL","type",8,"Type2","Two-Year")</f>
        <v>801324</v>
      </c>
      <c r="V5" s="142">
        <f>GETPIVOTDATA("Sum of OLD-Tot UG SCH Calc",'Pivot Table for Fact Book'!$A$3,"State","AL","type",9,"Type2","Two-Year")</f>
        <v>1204127</v>
      </c>
      <c r="W5" s="142">
        <f>GETPIVOTDATA("Sum of NEW-Tot UG SCH Calc",'Pivot Table for Fact Book'!$A$3,"State","AL","type",9,"Type2","Two-Year")</f>
        <v>1150347</v>
      </c>
      <c r="X5" s="142">
        <f>GETPIVOTDATA("Sum of OLD-Tot UG SCH Calc",'Pivot Table for Fact Book'!$A$3,"State","AL","type",10,"Type2","Two-Year")</f>
        <v>292760</v>
      </c>
      <c r="Y5" s="142">
        <f>GETPIVOTDATA("Sum of NEW-Tot UG SCH Calc",'Pivot Table for Fact Book'!$A$3,"State","AL","type",10,"Type2","Two-Year")</f>
        <v>283170</v>
      </c>
      <c r="Z5" s="143">
        <f>GETPIVOTDATA("Sum of OLD-Tot UG SCH Calc",'Pivot Table for Fact Book'!$A$3,"State","AL","Type2","Two-Year")</f>
        <v>2313504</v>
      </c>
      <c r="AA5" s="143">
        <f>GETPIVOTDATA("Sum of NEW-Tot UG SCH Calc",'Pivot Table for Fact Book'!$A$3,"State","AL","Type2","Two-Year")</f>
        <v>2234841</v>
      </c>
      <c r="AB5" s="139">
        <f>+GETPIVOTDATA("Sum of OLD-Tot UG SCH Calc",'Pivot Table for Fact Book'!$A$3,"State","AL","type",12,"type2","Techncial")</f>
        <v>49717</v>
      </c>
      <c r="AC5" s="142">
        <f>+GETPIVOTDATA("Sum of NEW-Tot UG SCH Calc",'Pivot Table for Fact Book'!$A$3,"State","AL","type",12,"type2","Techncial")</f>
        <v>49502</v>
      </c>
      <c r="AD5" s="139">
        <f>+GETPIVOTDATA("Sum of OLD-Tot UG SCH Calc",'Pivot Table for Fact Book'!$A$3,"State","AL","type",13,"type2","Techncial")</f>
        <v>79335</v>
      </c>
      <c r="AE5" s="142">
        <f>+GETPIVOTDATA("Sum of NEW-Tot UG SCH Calc",'Pivot Table for Fact Book'!$A$3,"State","AL","type",13,"type2","Techncial")</f>
        <v>74055</v>
      </c>
      <c r="AF5" s="144">
        <f>+GETPIVOTDATA("Sum of OLD-Tot UG SCH Calc",'Pivot Table for Fact Book'!$A$3,"State","AL","type2","Techncial")</f>
        <v>129052</v>
      </c>
      <c r="AG5" s="145">
        <f>+GETPIVOTDATA("Sum of NEW-Tot UG SCH Calc",'Pivot Table for Fact Book'!$A$3,"State","AL","type2","Techncial")</f>
        <v>123557</v>
      </c>
      <c r="AH5" s="14"/>
    </row>
    <row r="6" spans="1:34">
      <c r="A6" s="275" t="s">
        <v>142</v>
      </c>
      <c r="B6" s="139">
        <f>GETPIVOTDATA("Sum of OLD-Tot UG SCH Calc",'Pivot Table for Fact Book'!$A$3,"State","AR","type",1,"Type2","Four-Year")</f>
        <v>473313</v>
      </c>
      <c r="C6" s="140">
        <f>GETPIVOTDATA("Sum of NEW-Tot UG SCH Calc",'Pivot Table for Fact Book'!$A$3,"State","AR","type",1,"Type2","Four-Year")</f>
        <v>525893</v>
      </c>
      <c r="D6" s="139">
        <f>GETPIVOTDATA("Sum of OLD-Tot UG SCH Calc",'Pivot Table for Fact Book'!$A$3,"State","AR","type",2,"Type2","Four-Year")</f>
        <v>0</v>
      </c>
      <c r="E6" s="140">
        <f>GETPIVOTDATA("Sum of NEW-Tot UG SCH Calc",'Pivot Table for Fact Book'!$A$3,"State","AR","type",2,"Type2","Four-Year")</f>
        <v>0</v>
      </c>
      <c r="F6" s="139">
        <f>GETPIVOTDATA("Sum of OLD-Tot UG SCH Calc",'Pivot Table for Fact Book'!$A$3,"State","AR","type",3,"Type2","Four-Year")</f>
        <v>778618</v>
      </c>
      <c r="G6" s="140">
        <f>GETPIVOTDATA("Sum of NEW-Tot UG SCH Calc",'Pivot Table for Fact Book'!$A$3,"State","AR","type",3,"Type2","Four-Year")</f>
        <v>785555</v>
      </c>
      <c r="H6" s="139">
        <f>GETPIVOTDATA("Sum of OLD-Tot UG SCH Calc",'Pivot Table for Fact Book'!$A$3,"State","AR","type",4,"Type2","Four-Year")</f>
        <v>383965</v>
      </c>
      <c r="I6" s="140">
        <f>GETPIVOTDATA("Sum of NEW-Tot UG SCH Calc",'Pivot Table for Fact Book'!$A$3,"State","AR","type",4,"Type2","Four-Year")</f>
        <v>399791</v>
      </c>
      <c r="J6" s="139">
        <f>GETPIVOTDATA("Sum of OLD-Tot UG SCH Calc",'Pivot Table for Fact Book'!$A$3,"State","AR","type",5,"Type2","Four-Year")</f>
        <v>70587</v>
      </c>
      <c r="K6" s="140">
        <f>GETPIVOTDATA("Sum of NEW-Tot UG SCH Calc",'Pivot Table for Fact Book'!$A$3,"State","AR","type",5,"Type2","Four-Year")</f>
        <v>72002</v>
      </c>
      <c r="L6" s="139">
        <f>GETPIVOTDATA("Sum of OLD-Tot UG SCH Calc",'Pivot Table for Fact Book'!$A$3,"State","AR","type",6,"Type2","Four-Year")</f>
        <v>284271</v>
      </c>
      <c r="M6" s="140">
        <f>GETPIVOTDATA("Sum of NEW-Tot UG SCH Calc",'Pivot Table for Fact Book'!$A$3,"State","AR","type",6,"Type2","Four-Year")</f>
        <v>280667</v>
      </c>
      <c r="N6" s="139">
        <f>GETPIVOTDATA("Sum of OLD-Tot UG SCH Calc",'Pivot Table for Fact Book'!$A$3,"State","AR","type",15,"Type2","Four-Year")</f>
        <v>0</v>
      </c>
      <c r="O6" s="140">
        <f>GETPIVOTDATA("Sum of NEW-Tot UG SCH Calc",'Pivot Table for Fact Book'!$A$3,"State","AR","type",15,"Type2","Four-Year")</f>
        <v>0</v>
      </c>
      <c r="P6" s="141">
        <f>GETPIVOTDATA("Sum of OLD-Tot UG SCH Calc",'Pivot Table for Fact Book'!$A$3,"State","AR","Type2","Four-Year")</f>
        <v>1990754</v>
      </c>
      <c r="Q6" s="141">
        <f>GETPIVOTDATA("Sum of NEW-Tot UG SCH Calc",'Pivot Table for Fact Book'!$A$3,"State","AR","Type2","Four-Year")</f>
        <v>2063908</v>
      </c>
      <c r="R6" s="139">
        <f>GETPIVOTDATA("Sum of OLD-Tot UG SCH Calc",'Pivot Table for Fact Book'!$A$3,"State","AR","type",7,"Type2","Two-Year")</f>
        <v>0</v>
      </c>
      <c r="S6" s="142">
        <f>GETPIVOTDATA("Sum of NEW-Tot UG SCH Calc",'Pivot Table for Fact Book'!$A$3,"State","AR","type",7,"Type2","Two-Year")</f>
        <v>0</v>
      </c>
      <c r="T6" s="142">
        <f>GETPIVOTDATA("Sum of OLD-Tot UG SCH Calc",'Pivot Table for Fact Book'!$A$3,"State","AR","type",8,"Type2","Two-Year")</f>
        <v>417183</v>
      </c>
      <c r="U6" s="142">
        <f>GETPIVOTDATA("Sum of NEW-Tot UG SCH Calc",'Pivot Table for Fact Book'!$A$3,"State","AR","type",8,"Type2","Two-Year")</f>
        <v>435744</v>
      </c>
      <c r="V6" s="142">
        <f>GETPIVOTDATA("Sum of OLD-Tot UG SCH Calc",'Pivot Table for Fact Book'!$A$3,"State","AR","type",9,"Type2","Two-Year")</f>
        <v>193056</v>
      </c>
      <c r="W6" s="142">
        <f>GETPIVOTDATA("Sum of NEW-Tot UG SCH Calc",'Pivot Table for Fact Book'!$A$3,"State","AR","type",9,"Type2","Two-Year")</f>
        <v>192915</v>
      </c>
      <c r="X6" s="142">
        <f>GETPIVOTDATA("Sum of OLD-Tot UG SCH Calc",'Pivot Table for Fact Book'!$A$3,"State","AR","type",10,"Type2","Two-Year")</f>
        <v>743120</v>
      </c>
      <c r="Y6" s="142">
        <f>GETPIVOTDATA("Sum of NEW-Tot UG SCH Calc",'Pivot Table for Fact Book'!$A$3,"State","AR","type",10,"Type2","Two-Year")</f>
        <v>727792</v>
      </c>
      <c r="Z6" s="143">
        <f>GETPIVOTDATA("Sum of OLD-Tot UG SCH Calc",'Pivot Table for Fact Book'!$A$3,"State","AR","Type2","Two-Year")</f>
        <v>1353359</v>
      </c>
      <c r="AA6" s="143">
        <f>GETPIVOTDATA("Sum of NEW-Tot UG SCH Calc",'Pivot Table for Fact Book'!$A$3,"State","AR","Type2","Two-Year")</f>
        <v>1356451</v>
      </c>
      <c r="AB6" s="139">
        <f>+GETPIVOTDATA("Sum of OLD-Tot UG SCH Calc",'Pivot Table for Fact Book'!$A$3,"State","AR","type",12,"type2","Techncial")</f>
        <v>0</v>
      </c>
      <c r="AC6" s="142">
        <f>+GETPIVOTDATA("Sum of NEW-Tot UG SCH Calc",'Pivot Table for Fact Book'!$A$3,"State","AR","type",12,"type2","Techncial")</f>
        <v>0</v>
      </c>
      <c r="AD6" s="139">
        <f>+GETPIVOTDATA("Sum of OLD-Tot UG SCH Calc",'Pivot Table for Fact Book'!$A$3,"State","AR","type",13,"type2","Techncial")</f>
        <v>0</v>
      </c>
      <c r="AE6" s="142">
        <f>+GETPIVOTDATA("Sum of NEW-Tot UG SCH Calc",'Pivot Table for Fact Book'!$A$3,"State","AR","type",13,"type2","Techncial")</f>
        <v>0</v>
      </c>
      <c r="AF6" s="144">
        <f>+GETPIVOTDATA("Sum of OLD-Tot UG SCH Calc",'Pivot Table for Fact Book'!$A$3,"State","AR","type2","Techncial")</f>
        <v>0</v>
      </c>
      <c r="AG6" s="145">
        <f>+GETPIVOTDATA("Sum of NEW-Tot UG SCH Calc",'Pivot Table for Fact Book'!$A$3,"State","AR","type2","Techncial")</f>
        <v>0</v>
      </c>
      <c r="AH6" s="14"/>
    </row>
    <row r="7" spans="1:34">
      <c r="A7" s="275" t="s">
        <v>143</v>
      </c>
      <c r="B7" s="139">
        <f>GETPIVOTDATA("Sum of OLD-Tot UG SCH Calc",'Pivot Table for Fact Book'!$A$3,"State","DE","type",1,"Type2","Four-Year")</f>
        <v>519545</v>
      </c>
      <c r="C7" s="140">
        <f>GETPIVOTDATA("Sum of NEW-Tot UG SCH Calc",'Pivot Table for Fact Book'!$A$3,"State","DE","type",1,"Type2","Four-Year")</f>
        <v>525599</v>
      </c>
      <c r="D7" s="139">
        <f>GETPIVOTDATA("Sum of OLD-Tot UG SCH Calc",'Pivot Table for Fact Book'!$A$3,"State","DE","type",2,"Type2","Four-Year")</f>
        <v>0</v>
      </c>
      <c r="E7" s="140">
        <f>GETPIVOTDATA("Sum of NEW-Tot UG SCH Calc",'Pivot Table for Fact Book'!$A$3,"State","DE","type",2,"Type2","Four-Year")</f>
        <v>0</v>
      </c>
      <c r="F7" s="139">
        <f>GETPIVOTDATA("Sum of OLD-Tot UG SCH Calc",'Pivot Table for Fact Book'!$A$3,"State","DE","type",3,"Type2","Four-Year")</f>
        <v>0</v>
      </c>
      <c r="G7" s="140">
        <f>GETPIVOTDATA("Sum of NEW-Tot UG SCH Calc",'Pivot Table for Fact Book'!$A$3,"State","DE","type",3,"Type2","Four-Year")</f>
        <v>0</v>
      </c>
      <c r="H7" s="139">
        <f>GETPIVOTDATA("Sum of OLD-Tot UG SCH Calc",'Pivot Table for Fact Book'!$A$3,"State","DE","type",4,"Type2","Four-Year")</f>
        <v>105469</v>
      </c>
      <c r="I7" s="140">
        <f>GETPIVOTDATA("Sum of NEW-Tot UG SCH Calc",'Pivot Table for Fact Book'!$A$3,"State","DE","type",4,"Type2","Four-Year")</f>
        <v>105618</v>
      </c>
      <c r="J7" s="139">
        <f>GETPIVOTDATA("Sum of OLD-Tot UG SCH Calc",'Pivot Table for Fact Book'!$A$3,"State","DE","type",5,"Type2","Four-Year")</f>
        <v>0</v>
      </c>
      <c r="K7" s="140">
        <f>GETPIVOTDATA("Sum of NEW-Tot UG SCH Calc",'Pivot Table for Fact Book'!$A$3,"State","DE","type",5,"Type2","Four-Year")</f>
        <v>0</v>
      </c>
      <c r="L7" s="139">
        <f>GETPIVOTDATA("Sum of OLD-Tot UG SCH Calc",'Pivot Table for Fact Book'!$A$3,"State","DE","type",6,"Type2","Four-Year")</f>
        <v>0</v>
      </c>
      <c r="M7" s="140">
        <f>GETPIVOTDATA("Sum of NEW-Tot UG SCH Calc",'Pivot Table for Fact Book'!$A$3,"State","DE","type",6,"Type2","Four-Year")</f>
        <v>0</v>
      </c>
      <c r="N7" s="139">
        <f>GETPIVOTDATA("Sum of OLD-Tot UG SCH Calc",'Pivot Table for Fact Book'!$A$3,"State","DE","type",15,"Type2","Four-Year")</f>
        <v>0</v>
      </c>
      <c r="O7" s="140">
        <f>GETPIVOTDATA("Sum of NEW-Tot UG SCH Calc",'Pivot Table for Fact Book'!$A$3,"State","DE","type",15,"Type2","Four-Year")</f>
        <v>0</v>
      </c>
      <c r="P7" s="141">
        <f>GETPIVOTDATA("Sum of OLD-Tot UG SCH Calc",'Pivot Table for Fact Book'!$A$3,"State","DE","Type2","Four-Year")</f>
        <v>625014</v>
      </c>
      <c r="Q7" s="141">
        <f>GETPIVOTDATA("Sum of NEW-Tot UG SCH Calc",'Pivot Table for Fact Book'!$A$3,"State","DE","Type2","Four-Year")</f>
        <v>631217</v>
      </c>
      <c r="R7" s="139">
        <f>GETPIVOTDATA("Sum of OLD-Tot UG SCH Calc",'Pivot Table for Fact Book'!$A$3,"State","DE","type",7,"Type2","Two-Year")</f>
        <v>0</v>
      </c>
      <c r="S7" s="142">
        <f>GETPIVOTDATA("Sum of NEW-Tot UG SCH Calc",'Pivot Table for Fact Book'!$A$3,"State","DE","type",7,"Type2","Two-Year")</f>
        <v>0</v>
      </c>
      <c r="T7" s="142">
        <f>GETPIVOTDATA("Sum of OLD-Tot UG SCH Calc",'Pivot Table for Fact Book'!$A$3,"State","DE","type",8,"Type2","Two-Year")</f>
        <v>162690</v>
      </c>
      <c r="U7" s="142">
        <f>GETPIVOTDATA("Sum of NEW-Tot UG SCH Calc",'Pivot Table for Fact Book'!$A$3,"State","DE","type",8,"Type2","Two-Year")</f>
        <v>157752</v>
      </c>
      <c r="V7" s="142">
        <f>GETPIVOTDATA("Sum of OLD-Tot UG SCH Calc",'Pivot Table for Fact Book'!$A$3,"State","DE","type",9,"Type2","Two-Year")</f>
        <v>180809</v>
      </c>
      <c r="W7" s="142">
        <f>GETPIVOTDATA("Sum of NEW-Tot UG SCH Calc",'Pivot Table for Fact Book'!$A$3,"State","DE","type",9,"Type2","Two-Year")</f>
        <v>178768</v>
      </c>
      <c r="X7" s="142">
        <f>GETPIVOTDATA("Sum of OLD-Tot UG SCH Calc",'Pivot Table for Fact Book'!$A$3,"State","DE","type",10,"Type2","Two-Year")</f>
        <v>0</v>
      </c>
      <c r="Y7" s="142">
        <f>GETPIVOTDATA("Sum of NEW-Tot UG SCH Calc",'Pivot Table for Fact Book'!$A$3,"State","DE","type",10,"Type2","Two-Year")</f>
        <v>0</v>
      </c>
      <c r="Z7" s="143">
        <f>GETPIVOTDATA("Sum of OLD-Tot UG SCH Calc",'Pivot Table for Fact Book'!$A$3,"State","DE","Type2","Two-Year")</f>
        <v>343499</v>
      </c>
      <c r="AA7" s="143">
        <f>GETPIVOTDATA("Sum of NEW-Tot UG SCH Calc",'Pivot Table for Fact Book'!$A$3,"State","DE","Type2","Two-Year")</f>
        <v>336520</v>
      </c>
      <c r="AB7" s="139">
        <f>+GETPIVOTDATA("Sum of OLD-Tot UG SCH Calc",'Pivot Table for Fact Book'!$A$3,"State","DE","type",12,"type2","Techncial")</f>
        <v>0</v>
      </c>
      <c r="AC7" s="142">
        <f>+GETPIVOTDATA("Sum of NEW-Tot UG SCH Calc",'Pivot Table for Fact Book'!$A$3,"State","DE","type",12,"type2","Techncial")</f>
        <v>0</v>
      </c>
      <c r="AD7" s="139">
        <f>+GETPIVOTDATA("Sum of OLD-Tot UG SCH Calc",'Pivot Table for Fact Book'!$A$3,"State","DE","type",13,"type2","Techncial")</f>
        <v>0</v>
      </c>
      <c r="AE7" s="142">
        <f>+GETPIVOTDATA("Sum of NEW-Tot UG SCH Calc",'Pivot Table for Fact Book'!$A$3,"State","DE","type",13,"type2","Techncial")</f>
        <v>0</v>
      </c>
      <c r="AF7" s="144">
        <f>+GETPIVOTDATA("Sum of OLD-Tot UG SCH Calc",'Pivot Table for Fact Book'!$A$3,"State","DE","type2","Techncial")</f>
        <v>0</v>
      </c>
      <c r="AG7" s="145">
        <f>+GETPIVOTDATA("Sum of NEW-Tot UG SCH Calc",'Pivot Table for Fact Book'!$A$3,"State","DE","type2","Techncial")</f>
        <v>0</v>
      </c>
      <c r="AH7" s="14"/>
    </row>
    <row r="8" spans="1:34">
      <c r="A8" s="275" t="s">
        <v>144</v>
      </c>
      <c r="B8" s="139">
        <f>GETPIVOTDATA("Sum of OLD-Tot UG SCH Calc",'Pivot Table for Fact Book'!$A$3,"State","FL","type",1,"Type2","Four-Year")</f>
        <v>5146567</v>
      </c>
      <c r="C8" s="140">
        <f>GETPIVOTDATA("Sum of NEW-Tot UG SCH Calc",'Pivot Table for Fact Book'!$A$3,"State","FL","type",1,"Type2","Four-Year")</f>
        <v>5303102</v>
      </c>
      <c r="D8" s="139">
        <f>GETPIVOTDATA("Sum of OLD-Tot UG SCH Calc",'Pivot Table for Fact Book'!$A$3,"State","FL","type",2,"Type2","Four-Year")</f>
        <v>570235</v>
      </c>
      <c r="E8" s="140">
        <f>GETPIVOTDATA("Sum of NEW-Tot UG SCH Calc",'Pivot Table for Fact Book'!$A$3,"State","FL","type",2,"Type2","Four-Year")</f>
        <v>599677</v>
      </c>
      <c r="F8" s="139">
        <f>GETPIVOTDATA("Sum of OLD-Tot UG SCH Calc",'Pivot Table for Fact Book'!$A$3,"State","FL","type",3,"Type2","Four-Year")</f>
        <v>953563</v>
      </c>
      <c r="G8" s="140">
        <f>GETPIVOTDATA("Sum of NEW-Tot UG SCH Calc",'Pivot Table for Fact Book'!$A$3,"State","FL","type",3,"Type2","Four-Year")</f>
        <v>962337.5</v>
      </c>
      <c r="H8" s="139">
        <f>GETPIVOTDATA("Sum of OLD-Tot UG SCH Calc",'Pivot Table for Fact Book'!$A$3,"State","FL","type",4,"Type2","Four-Year")</f>
        <v>268823</v>
      </c>
      <c r="I8" s="140">
        <f>GETPIVOTDATA("Sum of NEW-Tot UG SCH Calc",'Pivot Table for Fact Book'!$A$3,"State","FL","type",4,"Type2","Four-Year")</f>
        <v>288563</v>
      </c>
      <c r="J8" s="139">
        <f>GETPIVOTDATA("Sum of OLD-Tot UG SCH Calc",'Pivot Table for Fact Book'!$A$3,"State","FL","type",5,"Type2","Four-Year")</f>
        <v>0</v>
      </c>
      <c r="K8" s="140">
        <f>GETPIVOTDATA("Sum of NEW-Tot UG SCH Calc",'Pivot Table for Fact Book'!$A$3,"State","FL","type",5,"Type2","Four-Year")</f>
        <v>0</v>
      </c>
      <c r="L8" s="139">
        <f>GETPIVOTDATA("Sum of OLD-Tot UG SCH Calc",'Pivot Table for Fact Book'!$A$3,"State","FL","type",6,"Type2","Four-Year")</f>
        <v>27680</v>
      </c>
      <c r="M8" s="140">
        <f>GETPIVOTDATA("Sum of NEW-Tot UG SCH Calc",'Pivot Table for Fact Book'!$A$3,"State","FL","type",6,"Type2","Four-Year")</f>
        <v>28208</v>
      </c>
      <c r="N8" s="139">
        <f>GETPIVOTDATA("Sum of OLD-Tot UG SCH Calc",'Pivot Table for Fact Book'!$A$3,"State","FL","type",15,"Type2","Four-Year")</f>
        <v>0</v>
      </c>
      <c r="O8" s="140">
        <f>GETPIVOTDATA("Sum of NEW-Tot UG SCH Calc",'Pivot Table for Fact Book'!$A$3,"State","FL","type",15,"Type2","Four-Year")</f>
        <v>0</v>
      </c>
      <c r="P8" s="141">
        <f>GETPIVOTDATA("Sum of OLD-Tot UG SCH Calc",'Pivot Table for Fact Book'!$A$3,"State","FL","Type2","Four-Year")</f>
        <v>6966868</v>
      </c>
      <c r="Q8" s="141">
        <f>GETPIVOTDATA("Sum of NEW-Tot UG SCH Calc",'Pivot Table for Fact Book'!$A$3,"State","FL","Type2","Four-Year")</f>
        <v>7181887.5</v>
      </c>
      <c r="R8" s="139">
        <f>GETPIVOTDATA("Sum of OLD-Tot UG SCH Calc",'Pivot Table for Fact Book'!$A$3,"State","FL","type",7,"Type2","Two-Year")</f>
        <v>4203398</v>
      </c>
      <c r="S8" s="142">
        <f>GETPIVOTDATA("Sum of NEW-Tot UG SCH Calc",'Pivot Table for Fact Book'!$A$3,"State","FL","type",7,"Type2","Two-Year")</f>
        <v>4309508</v>
      </c>
      <c r="T8" s="142">
        <f>GETPIVOTDATA("Sum of OLD-Tot UG SCH Calc",'Pivot Table for Fact Book'!$A$3,"State","FL","type",8,"Type2","Two-Year")</f>
        <v>5522972</v>
      </c>
      <c r="U8" s="142">
        <f>GETPIVOTDATA("Sum of NEW-Tot UG SCH Calc",'Pivot Table for Fact Book'!$A$3,"State","FL","type",8,"Type2","Two-Year")</f>
        <v>5702741</v>
      </c>
      <c r="V8" s="142">
        <f>GETPIVOTDATA("Sum of OLD-Tot UG SCH Calc",'Pivot Table for Fact Book'!$A$3,"State","FL","type",9,"Type2","Two-Year")</f>
        <v>484330</v>
      </c>
      <c r="W8" s="142">
        <f>GETPIVOTDATA("Sum of NEW-Tot UG SCH Calc",'Pivot Table for Fact Book'!$A$3,"State","FL","type",9,"Type2","Two-Year")</f>
        <v>485740</v>
      </c>
      <c r="X8" s="142">
        <f>GETPIVOTDATA("Sum of OLD-Tot UG SCH Calc",'Pivot Table for Fact Book'!$A$3,"State","FL","type",10,"Type2","Two-Year")</f>
        <v>55835</v>
      </c>
      <c r="Y8" s="142">
        <f>GETPIVOTDATA("Sum of NEW-Tot UG SCH Calc",'Pivot Table for Fact Book'!$A$3,"State","FL","type",10,"Type2","Two-Year")</f>
        <v>53854</v>
      </c>
      <c r="Z8" s="143">
        <f>GETPIVOTDATA("Sum of OLD-Tot UG SCH Calc",'Pivot Table for Fact Book'!$A$3,"State","FL","Type2","Two-Year")</f>
        <v>10266535</v>
      </c>
      <c r="AA8" s="143">
        <f>GETPIVOTDATA("Sum of NEW-Tot UG SCH Calc",'Pivot Table for Fact Book'!$A$3,"State","FL","Type2","Two-Year")</f>
        <v>10551843</v>
      </c>
      <c r="AB8" s="139">
        <f>+GETPIVOTDATA("Sum of OLD-Tot UG SCH Calc",'Pivot Table for Fact Book'!$A$3,"State","FL","type",12,"type2","Techncial")</f>
        <v>0</v>
      </c>
      <c r="AC8" s="142">
        <f>+GETPIVOTDATA("Sum of NEW-Tot UG SCH Calc",'Pivot Table for Fact Book'!$A$3,"State","FL","type",12,"type2","Techncial")</f>
        <v>0</v>
      </c>
      <c r="AD8" s="139">
        <f>+GETPIVOTDATA("Sum of OLD-Tot UG SCH Calc",'Pivot Table for Fact Book'!$A$3,"State","FL","type",13,"type2","Techncial")</f>
        <v>0</v>
      </c>
      <c r="AE8" s="142">
        <f>+GETPIVOTDATA("Sum of NEW-Tot UG SCH Calc",'Pivot Table for Fact Book'!$A$3,"State","FL","type",13,"type2","Techncial")</f>
        <v>0</v>
      </c>
      <c r="AF8" s="144">
        <f>+GETPIVOTDATA("Sum of OLD-Tot UG SCH Calc",'Pivot Table for Fact Book'!$A$3,"State","FL","type2","Techncial")</f>
        <v>0</v>
      </c>
      <c r="AG8" s="145">
        <f>+GETPIVOTDATA("Sum of NEW-Tot UG SCH Calc",'Pivot Table for Fact Book'!$A$3,"State","FL","type2","Techncial")</f>
        <v>0</v>
      </c>
      <c r="AH8" s="14"/>
    </row>
    <row r="9" spans="1:34">
      <c r="A9" s="275" t="s">
        <v>145</v>
      </c>
      <c r="B9" s="139">
        <f>GETPIVOTDATA("Sum of OLD-Tot UG SCH Calc",'Pivot Table for Fact Book'!$A$3,"State","GA","type",1,"Type2","Four-Year")</f>
        <v>0</v>
      </c>
      <c r="C9" s="140">
        <f>GETPIVOTDATA("Sum of NEW-Tot UG SCH Calc",'Pivot Table for Fact Book'!$A$3,"State","GA","type",1,"Type2","Four-Year")</f>
        <v>0</v>
      </c>
      <c r="D9" s="139">
        <f>GETPIVOTDATA("Sum of OLD-Tot UG SCH Calc",'Pivot Table for Fact Book'!$A$3,"State","GA","type",2,"Type2","Four-Year")</f>
        <v>0</v>
      </c>
      <c r="E9" s="140">
        <f>GETPIVOTDATA("Sum of NEW-Tot UG SCH Calc",'Pivot Table for Fact Book'!$A$3,"State","GA","type",2,"Type2","Four-Year")</f>
        <v>0</v>
      </c>
      <c r="F9" s="139">
        <f>GETPIVOTDATA("Sum of OLD-Tot UG SCH Calc",'Pivot Table for Fact Book'!$A$3,"State","GA","type",3,"Type2","Four-Year")</f>
        <v>0</v>
      </c>
      <c r="G9" s="140">
        <f>GETPIVOTDATA("Sum of NEW-Tot UG SCH Calc",'Pivot Table for Fact Book'!$A$3,"State","GA","type",3,"Type2","Four-Year")</f>
        <v>0</v>
      </c>
      <c r="H9" s="139">
        <f>GETPIVOTDATA("Sum of OLD-Tot UG SCH Calc",'Pivot Table for Fact Book'!$A$3,"State","GA","type",4,"Type2","Four-Year")</f>
        <v>0</v>
      </c>
      <c r="I9" s="140">
        <f>GETPIVOTDATA("Sum of NEW-Tot UG SCH Calc",'Pivot Table for Fact Book'!$A$3,"State","GA","type",4,"Type2","Four-Year")</f>
        <v>0</v>
      </c>
      <c r="J9" s="139">
        <f>GETPIVOTDATA("Sum of OLD-Tot UG SCH Calc",'Pivot Table for Fact Book'!$A$3,"State","GA","type",5,"Type2","Four-Year")</f>
        <v>0</v>
      </c>
      <c r="K9" s="140">
        <f>GETPIVOTDATA("Sum of NEW-Tot UG SCH Calc",'Pivot Table for Fact Book'!$A$3,"State","GA","type",5,"Type2","Four-Year")</f>
        <v>0</v>
      </c>
      <c r="L9" s="139">
        <f>GETPIVOTDATA("Sum of OLD-Tot UG SCH Calc",'Pivot Table for Fact Book'!$A$3,"State","GA","type",6,"Type2","Four-Year")</f>
        <v>0</v>
      </c>
      <c r="M9" s="140">
        <f>GETPIVOTDATA("Sum of NEW-Tot UG SCH Calc",'Pivot Table for Fact Book'!$A$3,"State","GA","type",6,"Type2","Four-Year")</f>
        <v>0</v>
      </c>
      <c r="N9" s="139">
        <f>GETPIVOTDATA("Sum of OLD-Tot UG SCH Calc",'Pivot Table for Fact Book'!$A$3,"State","GA","type",15,"Type2","Four-Year")</f>
        <v>0</v>
      </c>
      <c r="O9" s="140">
        <f>GETPIVOTDATA("Sum of NEW-Tot UG SCH Calc",'Pivot Table for Fact Book'!$A$3,"State","GA","type",15,"Type2","Four-Year")</f>
        <v>0</v>
      </c>
      <c r="P9" s="141">
        <f>GETPIVOTDATA("Sum of OLD-Tot UG SCH Calc",'Pivot Table for Fact Book'!$A$3,"State","GA","Type2","Four-Year")</f>
        <v>0</v>
      </c>
      <c r="Q9" s="141">
        <f>GETPIVOTDATA("Sum of NEW-Tot UG SCH Calc",'Pivot Table for Fact Book'!$A$3,"State","GA","Type2","Four-Year")</f>
        <v>0</v>
      </c>
      <c r="R9" s="139">
        <f>GETPIVOTDATA("Sum of OLD-Tot UG SCH Calc",'Pivot Table for Fact Book'!$A$3,"State","GA","type",7,"Type2","Two-Year")</f>
        <v>0</v>
      </c>
      <c r="S9" s="142">
        <f>GETPIVOTDATA("Sum of NEW-Tot UG SCH Calc",'Pivot Table for Fact Book'!$A$3,"State","GA","type",7,"Type2","Two-Year")</f>
        <v>0</v>
      </c>
      <c r="T9" s="142">
        <f>GETPIVOTDATA("Sum of OLD-Tot UG SCH Calc",'Pivot Table for Fact Book'!$A$3,"State","GA","type",8,"Type2","Two-Year")</f>
        <v>0</v>
      </c>
      <c r="U9" s="142">
        <f>GETPIVOTDATA("Sum of NEW-Tot UG SCH Calc",'Pivot Table for Fact Book'!$A$3,"State","GA","type",8,"Type2","Two-Year")</f>
        <v>0</v>
      </c>
      <c r="V9" s="142">
        <f>GETPIVOTDATA("Sum of OLD-Tot UG SCH Calc",'Pivot Table for Fact Book'!$A$3,"State","GA","type",9,"Type2","Two-Year")</f>
        <v>0</v>
      </c>
      <c r="W9" s="142">
        <f>GETPIVOTDATA("Sum of NEW-Tot UG SCH Calc",'Pivot Table for Fact Book'!$A$3,"State","GA","type",9,"Type2","Two-Year")</f>
        <v>0</v>
      </c>
      <c r="X9" s="142">
        <f>GETPIVOTDATA("Sum of OLD-Tot UG SCH Calc",'Pivot Table for Fact Book'!$A$3,"State","GA","type",10,"Type2","Two-Year")</f>
        <v>0</v>
      </c>
      <c r="Y9" s="142">
        <f>GETPIVOTDATA("Sum of NEW-Tot UG SCH Calc",'Pivot Table for Fact Book'!$A$3,"State","GA","type",10,"Type2","Two-Year")</f>
        <v>0</v>
      </c>
      <c r="Z9" s="143">
        <f>GETPIVOTDATA("Sum of OLD-Tot UG SCH Calc",'Pivot Table for Fact Book'!$A$3,"State","GA","Type2","Two-Year")</f>
        <v>0</v>
      </c>
      <c r="AA9" s="143">
        <f>GETPIVOTDATA("Sum of NEW-Tot UG SCH Calc",'Pivot Table for Fact Book'!$A$3,"State","GA","Type2","Two-Year")</f>
        <v>0</v>
      </c>
      <c r="AB9" s="139">
        <f>+GETPIVOTDATA("Sum of OLD-Tot UG SCH Calc",'Pivot Table for Fact Book'!$A$3,"State","GA","type",12,"type2","Techncial")</f>
        <v>3091550.3697899994</v>
      </c>
      <c r="AC9" s="142">
        <f>+GETPIVOTDATA("Sum of NEW-Tot UG SCH Calc",'Pivot Table for Fact Book'!$A$3,"State","GA","type",12,"type2","Techncial")</f>
        <v>2900244.5000000005</v>
      </c>
      <c r="AD9" s="139">
        <f>+GETPIVOTDATA("Sum of OLD-Tot UG SCH Calc",'Pivot Table for Fact Book'!$A$3,"State","GA","type",13,"type2","Techncial")</f>
        <v>0</v>
      </c>
      <c r="AE9" s="142">
        <f>+GETPIVOTDATA("Sum of NEW-Tot UG SCH Calc",'Pivot Table for Fact Book'!$A$3,"State","GA","type",13,"type2","Techncial")</f>
        <v>0</v>
      </c>
      <c r="AF9" s="144">
        <f>+GETPIVOTDATA("Sum of OLD-Tot UG SCH Calc",'Pivot Table for Fact Book'!$A$3,"State","GA","type2","Techncial")</f>
        <v>3091550.3697899994</v>
      </c>
      <c r="AG9" s="145">
        <f>+GETPIVOTDATA("Sum of NEW-Tot UG SCH Calc",'Pivot Table for Fact Book'!$A$3,"State","GA","type2","Techncial")</f>
        <v>2900244.5000000005</v>
      </c>
      <c r="AH9" s="14"/>
    </row>
    <row r="10" spans="1:34">
      <c r="A10" s="275" t="s">
        <v>146</v>
      </c>
      <c r="B10" s="139">
        <f>GETPIVOTDATA("Sum of OLD-Tot UG SCH Calc",'Pivot Table for Fact Book'!$A$3,"State","KY","type",1,"Type2","Four-Year")</f>
        <v>933808</v>
      </c>
      <c r="C10" s="140">
        <f>GETPIVOTDATA("Sum of NEW-Tot UG SCH Calc",'Pivot Table for Fact Book'!$A$3,"State","KY","type",1,"Type2","Four-Year")</f>
        <v>952973.5</v>
      </c>
      <c r="D10" s="139">
        <f>GETPIVOTDATA("Sum of OLD-Tot UG SCH Calc",'Pivot Table for Fact Book'!$A$3,"State","KY","type",2,"Type2","Four-Year")</f>
        <v>0</v>
      </c>
      <c r="E10" s="140">
        <f>GETPIVOTDATA("Sum of NEW-Tot UG SCH Calc",'Pivot Table for Fact Book'!$A$3,"State","KY","type",2,"Type2","Four-Year")</f>
        <v>0</v>
      </c>
      <c r="F10" s="139">
        <f>GETPIVOTDATA("Sum of OLD-Tot UG SCH Calc",'Pivot Table for Fact Book'!$A$3,"State","KY","type",3,"Type2","Four-Year")</f>
        <v>1247754</v>
      </c>
      <c r="G10" s="140">
        <f>GETPIVOTDATA("Sum of NEW-Tot UG SCH Calc",'Pivot Table for Fact Book'!$A$3,"State","KY","type",3,"Type2","Four-Year")</f>
        <v>1237192</v>
      </c>
      <c r="H10" s="139">
        <f>GETPIVOTDATA("Sum of OLD-Tot UG SCH Calc",'Pivot Table for Fact Book'!$A$3,"State","KY","type",4,"Type2","Four-Year")</f>
        <v>398429</v>
      </c>
      <c r="I10" s="140">
        <f>GETPIVOTDATA("Sum of NEW-Tot UG SCH Calc",'Pivot Table for Fact Book'!$A$3,"State","KY","type",4,"Type2","Four-Year")</f>
        <v>398500</v>
      </c>
      <c r="J10" s="139">
        <f>GETPIVOTDATA("Sum of OLD-Tot UG SCH Calc",'Pivot Table for Fact Book'!$A$3,"State","KY","type",5,"Type2","Four-Year")</f>
        <v>0</v>
      </c>
      <c r="K10" s="140">
        <f>GETPIVOTDATA("Sum of NEW-Tot UG SCH Calc",'Pivot Table for Fact Book'!$A$3,"State","KY","type",5,"Type2","Four-Year")</f>
        <v>0</v>
      </c>
      <c r="L10" s="139">
        <f>GETPIVOTDATA("Sum of OLD-Tot UG SCH Calc",'Pivot Table for Fact Book'!$A$3,"State","KY","type",6,"Type2","Four-Year")</f>
        <v>0</v>
      </c>
      <c r="M10" s="140">
        <f>GETPIVOTDATA("Sum of NEW-Tot UG SCH Calc",'Pivot Table for Fact Book'!$A$3,"State","KY","type",6,"Type2","Four-Year")</f>
        <v>0</v>
      </c>
      <c r="N10" s="139">
        <f>GETPIVOTDATA("Sum of OLD-Tot UG SCH Calc",'Pivot Table for Fact Book'!$A$3,"State","KY","type",15,"Type2","Four-Year")</f>
        <v>0</v>
      </c>
      <c r="O10" s="140">
        <f>GETPIVOTDATA("Sum of NEW-Tot UG SCH Calc",'Pivot Table for Fact Book'!$A$3,"State","KY","type",15,"Type2","Four-Year")</f>
        <v>0</v>
      </c>
      <c r="P10" s="141">
        <f>GETPIVOTDATA("Sum of OLD-Tot UG SCH Calc",'Pivot Table for Fact Book'!$A$3,"State","KY","Type2","Four-Year")</f>
        <v>2579991</v>
      </c>
      <c r="Q10" s="141">
        <f>GETPIVOTDATA("Sum of NEW-Tot UG SCH Calc",'Pivot Table for Fact Book'!$A$3,"State","KY","Type2","Four-Year")</f>
        <v>2588665.5</v>
      </c>
      <c r="R10" s="139">
        <f>GETPIVOTDATA("Sum of OLD-Tot UG SCH Calc",'Pivot Table for Fact Book'!$A$3,"State","KY","type",7,"Type2","Two-Year")</f>
        <v>0</v>
      </c>
      <c r="S10" s="142">
        <f>GETPIVOTDATA("Sum of NEW-Tot UG SCH Calc",'Pivot Table for Fact Book'!$A$3,"State","KY","type",7,"Type2","Two-Year")</f>
        <v>0</v>
      </c>
      <c r="T10" s="142">
        <f>GETPIVOTDATA("Sum of OLD-Tot UG SCH Calc",'Pivot Table for Fact Book'!$A$3,"State","KY","type",8,"Type2","Two-Year")</f>
        <v>553195</v>
      </c>
      <c r="U10" s="142">
        <f>GETPIVOTDATA("Sum of NEW-Tot UG SCH Calc",'Pivot Table for Fact Book'!$A$3,"State","KY","type",8,"Type2","Two-Year")</f>
        <v>552702</v>
      </c>
      <c r="V10" s="142">
        <f>GETPIVOTDATA("Sum of OLD-Tot UG SCH Calc",'Pivot Table for Fact Book'!$A$3,"State","KY","type",9,"Type2","Two-Year")</f>
        <v>1013200</v>
      </c>
      <c r="W10" s="142">
        <f>GETPIVOTDATA("Sum of NEW-Tot UG SCH Calc",'Pivot Table for Fact Book'!$A$3,"State","KY","type",9,"Type2","Two-Year")</f>
        <v>1018276</v>
      </c>
      <c r="X10" s="142">
        <f>GETPIVOTDATA("Sum of OLD-Tot UG SCH Calc",'Pivot Table for Fact Book'!$A$3,"State","KY","type",10,"Type2","Two-Year")</f>
        <v>114870</v>
      </c>
      <c r="Y10" s="142">
        <f>GETPIVOTDATA("Sum of NEW-Tot UG SCH Calc",'Pivot Table for Fact Book'!$A$3,"State","KY","type",10,"Type2","Two-Year")</f>
        <v>111599</v>
      </c>
      <c r="Z10" s="143">
        <f>GETPIVOTDATA("Sum of OLD-Tot UG SCH Calc",'Pivot Table for Fact Book'!$A$3,"State","KY","Type2","Two-Year")</f>
        <v>1681265</v>
      </c>
      <c r="AA10" s="143">
        <f>GETPIVOTDATA("Sum of NEW-Tot UG SCH Calc",'Pivot Table for Fact Book'!$A$3,"State","KY","Type2","Two-Year")</f>
        <v>1682577</v>
      </c>
      <c r="AB10" s="139">
        <f>+GETPIVOTDATA("Sum of OLD-Tot UG SCH Calc",'Pivot Table for Fact Book'!$A$3,"State","KY","type",12,"type2","Techncial")</f>
        <v>137533</v>
      </c>
      <c r="AC10" s="142">
        <f>+GETPIVOTDATA("Sum of NEW-Tot UG SCH Calc",'Pivot Table for Fact Book'!$A$3,"State","KY","type",12,"type2","Techncial")</f>
        <v>144514</v>
      </c>
      <c r="AD10" s="139">
        <f>+GETPIVOTDATA("Sum of OLD-Tot UG SCH Calc",'Pivot Table for Fact Book'!$A$3,"State","KY","type",13,"type2","Techncial")</f>
        <v>0</v>
      </c>
      <c r="AE10" s="142">
        <f>+GETPIVOTDATA("Sum of NEW-Tot UG SCH Calc",'Pivot Table for Fact Book'!$A$3,"State","KY","type",13,"type2","Techncial")</f>
        <v>0</v>
      </c>
      <c r="AF10" s="144">
        <f>+GETPIVOTDATA("Sum of OLD-Tot UG SCH Calc",'Pivot Table for Fact Book'!$A$3,"State","KY","type2","Techncial")</f>
        <v>137533</v>
      </c>
      <c r="AG10" s="145">
        <f>+GETPIVOTDATA("Sum of NEW-Tot UG SCH Calc",'Pivot Table for Fact Book'!$A$3,"State","KY","type2","Techncial")</f>
        <v>144514</v>
      </c>
      <c r="AH10" s="14"/>
    </row>
    <row r="11" spans="1:34">
      <c r="A11" s="275" t="s">
        <v>147</v>
      </c>
      <c r="B11" s="139">
        <f>GETPIVOTDATA("Sum of OLD-Tot UG SCH Calc",'Pivot Table for Fact Book'!$A$3,"State","LA","type",1,"Type2","Four-Year")</f>
        <v>0</v>
      </c>
      <c r="C11" s="140">
        <f>GETPIVOTDATA("Sum of NEW-Tot UG SCH Calc",'Pivot Table for Fact Book'!$A$3,"State","LA","type",1,"Type2","Four-Year")</f>
        <v>0</v>
      </c>
      <c r="D11" s="139">
        <f>GETPIVOTDATA("Sum of OLD-Tot UG SCH Calc",'Pivot Table for Fact Book'!$A$3,"State","LA","type",2,"Type2","Four-Year")</f>
        <v>0</v>
      </c>
      <c r="E11" s="140">
        <f>GETPIVOTDATA("Sum of NEW-Tot UG SCH Calc",'Pivot Table for Fact Book'!$A$3,"State","LA","type",2,"Type2","Four-Year")</f>
        <v>0</v>
      </c>
      <c r="F11" s="139">
        <f>GETPIVOTDATA("Sum of OLD-Tot UG SCH Calc",'Pivot Table for Fact Book'!$A$3,"State","LA","type",3,"Type2","Four-Year")</f>
        <v>0</v>
      </c>
      <c r="G11" s="140">
        <f>GETPIVOTDATA("Sum of NEW-Tot UG SCH Calc",'Pivot Table for Fact Book'!$A$3,"State","LA","type",3,"Type2","Four-Year")</f>
        <v>0</v>
      </c>
      <c r="H11" s="139">
        <f>GETPIVOTDATA("Sum of OLD-Tot UG SCH Calc",'Pivot Table for Fact Book'!$A$3,"State","LA","type",4,"Type2","Four-Year")</f>
        <v>0</v>
      </c>
      <c r="I11" s="140">
        <f>GETPIVOTDATA("Sum of NEW-Tot UG SCH Calc",'Pivot Table for Fact Book'!$A$3,"State","LA","type",4,"Type2","Four-Year")</f>
        <v>0</v>
      </c>
      <c r="J11" s="139">
        <f>GETPIVOTDATA("Sum of OLD-Tot UG SCH Calc",'Pivot Table for Fact Book'!$A$3,"State","LA","type",5,"Type2","Four-Year")</f>
        <v>0</v>
      </c>
      <c r="K11" s="140">
        <f>GETPIVOTDATA("Sum of NEW-Tot UG SCH Calc",'Pivot Table for Fact Book'!$A$3,"State","LA","type",5,"Type2","Four-Year")</f>
        <v>0</v>
      </c>
      <c r="L11" s="139">
        <f>GETPIVOTDATA("Sum of OLD-Tot UG SCH Calc",'Pivot Table for Fact Book'!$A$3,"State","LA","type",6,"Type2","Four-Year")</f>
        <v>0</v>
      </c>
      <c r="M11" s="140">
        <f>GETPIVOTDATA("Sum of NEW-Tot UG SCH Calc",'Pivot Table for Fact Book'!$A$3,"State","LA","type",6,"Type2","Four-Year")</f>
        <v>0</v>
      </c>
      <c r="N11" s="139">
        <f>GETPIVOTDATA("Sum of OLD-Tot UG SCH Calc",'Pivot Table for Fact Book'!$A$3,"State","LA","type",15,"Type2","Four-Year")</f>
        <v>0</v>
      </c>
      <c r="O11" s="140">
        <f>GETPIVOTDATA("Sum of NEW-Tot UG SCH Calc",'Pivot Table for Fact Book'!$A$3,"State","LA","type",15,"Type2","Four-Year")</f>
        <v>0</v>
      </c>
      <c r="P11" s="141">
        <f>GETPIVOTDATA("Sum of OLD-Tot UG SCH Calc",'Pivot Table for Fact Book'!$A$3,"State","LA","Type2","Four-Year")</f>
        <v>0</v>
      </c>
      <c r="Q11" s="141">
        <f>GETPIVOTDATA("Sum of NEW-Tot UG SCH Calc",'Pivot Table for Fact Book'!$A$3,"State","LA","Type2","Four-Year")</f>
        <v>0</v>
      </c>
      <c r="R11" s="139">
        <f>GETPIVOTDATA("Sum of OLD-Tot UG SCH Calc",'Pivot Table for Fact Book'!$A$3,"State","LA","type",7,"Type2","Two-Year")</f>
        <v>0</v>
      </c>
      <c r="S11" s="142">
        <f>GETPIVOTDATA("Sum of NEW-Tot UG SCH Calc",'Pivot Table for Fact Book'!$A$3,"State","LA","type",7,"Type2","Two-Year")</f>
        <v>0</v>
      </c>
      <c r="T11" s="142">
        <f>GETPIVOTDATA("Sum of OLD-Tot UG SCH Calc",'Pivot Table for Fact Book'!$A$3,"State","LA","type",8,"Type2","Two-Year")</f>
        <v>0</v>
      </c>
      <c r="U11" s="142">
        <f>GETPIVOTDATA("Sum of NEW-Tot UG SCH Calc",'Pivot Table for Fact Book'!$A$3,"State","LA","type",8,"Type2","Two-Year")</f>
        <v>0</v>
      </c>
      <c r="V11" s="142">
        <f>GETPIVOTDATA("Sum of OLD-Tot UG SCH Calc",'Pivot Table for Fact Book'!$A$3,"State","LA","type",9,"Type2","Two-Year")</f>
        <v>0</v>
      </c>
      <c r="W11" s="142">
        <f>GETPIVOTDATA("Sum of NEW-Tot UG SCH Calc",'Pivot Table for Fact Book'!$A$3,"State","LA","type",9,"Type2","Two-Year")</f>
        <v>0</v>
      </c>
      <c r="X11" s="142">
        <f>GETPIVOTDATA("Sum of OLD-Tot UG SCH Calc",'Pivot Table for Fact Book'!$A$3,"State","LA","type",10,"Type2","Two-Year")</f>
        <v>0</v>
      </c>
      <c r="Y11" s="142">
        <f>GETPIVOTDATA("Sum of NEW-Tot UG SCH Calc",'Pivot Table for Fact Book'!$A$3,"State","LA","type",10,"Type2","Two-Year")</f>
        <v>0</v>
      </c>
      <c r="Z11" s="143">
        <f>GETPIVOTDATA("Sum of OLD-Tot UG SCH Calc",'Pivot Table for Fact Book'!$A$3,"State","LA","Type2","Two-Year")</f>
        <v>0</v>
      </c>
      <c r="AA11" s="143">
        <f>GETPIVOTDATA("Sum of NEW-Tot UG SCH Calc",'Pivot Table for Fact Book'!$A$3,"State","LA","Type2","Two-Year")</f>
        <v>0</v>
      </c>
      <c r="AB11" s="139">
        <f>+GETPIVOTDATA("Sum of OLD-Tot UG SCH Calc",'Pivot Table for Fact Book'!$A$3,"State","LA","type",12,"type2","Techncial")</f>
        <v>0</v>
      </c>
      <c r="AC11" s="142">
        <f>+GETPIVOTDATA("Sum of NEW-Tot UG SCH Calc",'Pivot Table for Fact Book'!$A$3,"State","LA","type",12,"type2","Techncial")</f>
        <v>0</v>
      </c>
      <c r="AD11" s="139">
        <f>+GETPIVOTDATA("Sum of OLD-Tot UG SCH Calc",'Pivot Table for Fact Book'!$A$3,"State","LA","type",13,"type2","Techncial")</f>
        <v>0</v>
      </c>
      <c r="AE11" s="142">
        <f>+GETPIVOTDATA("Sum of NEW-Tot UG SCH Calc",'Pivot Table for Fact Book'!$A$3,"State","LA","type",13,"type2","Techncial")</f>
        <v>0</v>
      </c>
      <c r="AF11" s="144">
        <f>+GETPIVOTDATA("Sum of OLD-Tot UG SCH Calc",'Pivot Table for Fact Book'!$A$3,"State","LA","type2","Techncial")</f>
        <v>0</v>
      </c>
      <c r="AG11" s="145">
        <f>+GETPIVOTDATA("Sum of NEW-Tot UG SCH Calc",'Pivot Table for Fact Book'!$A$3,"State","LA","type2","Techncial")</f>
        <v>0</v>
      </c>
      <c r="AH11" s="14"/>
    </row>
    <row r="12" spans="1:34">
      <c r="A12" s="275" t="s">
        <v>177</v>
      </c>
      <c r="B12" s="139">
        <f>GETPIVOTDATA("Sum of OLD-Tot UG SCH Calc",'Pivot Table for Fact Book'!$A$3,"State","MD","type",1,"Type2","Four-Year")</f>
        <v>799218</v>
      </c>
      <c r="C12" s="140">
        <f>GETPIVOTDATA("Sum of NEW-Tot UG SCH Calc",'Pivot Table for Fact Book'!$A$3,"State","MD","type",1,"Type2","Four-Year")</f>
        <v>799551</v>
      </c>
      <c r="D12" s="139">
        <f>GETPIVOTDATA("Sum of OLD-Tot UG SCH Calc",'Pivot Table for Fact Book'!$A$3,"State","MD","type",2,"Type2","Four-Year")</f>
        <v>471640.5</v>
      </c>
      <c r="E12" s="140">
        <f>GETPIVOTDATA("Sum of NEW-Tot UG SCH Calc",'Pivot Table for Fact Book'!$A$3,"State","MD","type",2,"Type2","Four-Year")</f>
        <v>488823</v>
      </c>
      <c r="F12" s="139">
        <f>GETPIVOTDATA("Sum of OLD-Tot UG SCH Calc",'Pivot Table for Fact Book'!$A$3,"State","MD","type",3,"Type2","Four-Year")</f>
        <v>506715.5</v>
      </c>
      <c r="G12" s="140">
        <f>GETPIVOTDATA("Sum of NEW-Tot UG SCH Calc",'Pivot Table for Fact Book'!$A$3,"State","MD","type",3,"Type2","Four-Year")</f>
        <v>506306.5</v>
      </c>
      <c r="H12" s="139">
        <f>GETPIVOTDATA("Sum of OLD-Tot UG SCH Calc",'Pivot Table for Fact Book'!$A$3,"State","MD","type",4,"Type2","Four-Year")</f>
        <v>765194</v>
      </c>
      <c r="I12" s="140">
        <f>GETPIVOTDATA("Sum of NEW-Tot UG SCH Calc",'Pivot Table for Fact Book'!$A$3,"State","MD","type",4,"Type2","Four-Year")</f>
        <v>767429.5</v>
      </c>
      <c r="J12" s="139">
        <f>GETPIVOTDATA("Sum of OLD-Tot UG SCH Calc",'Pivot Table for Fact Book'!$A$3,"State","MD","type",5,"Type2","Four-Year")</f>
        <v>0</v>
      </c>
      <c r="K12" s="140">
        <f>GETPIVOTDATA("Sum of NEW-Tot UG SCH Calc",'Pivot Table for Fact Book'!$A$3,"State","MD","type",5,"Type2","Four-Year")</f>
        <v>0</v>
      </c>
      <c r="L12" s="139">
        <f>GETPIVOTDATA("Sum of OLD-Tot UG SCH Calc",'Pivot Table for Fact Book'!$A$3,"State","MD","type",6,"Type2","Four-Year")</f>
        <v>62834.5</v>
      </c>
      <c r="M12" s="140">
        <f>GETPIVOTDATA("Sum of NEW-Tot UG SCH Calc",'Pivot Table for Fact Book'!$A$3,"State","MD","type",6,"Type2","Four-Year")</f>
        <v>65152.5</v>
      </c>
      <c r="N12" s="139">
        <f>GETPIVOTDATA("Sum of OLD-Tot UG SCH Calc",'Pivot Table for Fact Book'!$A$3,"State","MD","type",15,"Type2","Four-Year")</f>
        <v>422643</v>
      </c>
      <c r="O12" s="140">
        <f>GETPIVOTDATA("Sum of NEW-Tot UG SCH Calc",'Pivot Table for Fact Book'!$A$3,"State","MD","type",15,"Type2","Four-Year")</f>
        <v>467863</v>
      </c>
      <c r="P12" s="141">
        <f>GETPIVOTDATA("Sum of OLD-Tot UG SCH Calc",'Pivot Table for Fact Book'!$A$3,"State","MD","Type2","Four-Year")</f>
        <v>3028245.5</v>
      </c>
      <c r="Q12" s="141">
        <f>GETPIVOTDATA("Sum of NEW-Tot UG SCH Calc",'Pivot Table for Fact Book'!$A$3,"State","MD","Type2","Four-Year")</f>
        <v>3095125.5</v>
      </c>
      <c r="R12" s="139">
        <f>GETPIVOTDATA("Sum of OLD-Tot UG SCH Calc",'Pivot Table for Fact Book'!$A$3,"State","MD","type",7,"Type2","Two-Year")</f>
        <v>0</v>
      </c>
      <c r="S12" s="142">
        <f>GETPIVOTDATA("Sum of NEW-Tot UG SCH Calc",'Pivot Table for Fact Book'!$A$3,"State","MD","type",7,"Type2","Two-Year")</f>
        <v>0</v>
      </c>
      <c r="T12" s="142">
        <f>GETPIVOTDATA("Sum of OLD-Tot UG SCH Calc",'Pivot Table for Fact Book'!$A$3,"State","MD","type",8,"Type2","Two-Year")</f>
        <v>2099019.7000000002</v>
      </c>
      <c r="U12" s="142">
        <f>GETPIVOTDATA("Sum of NEW-Tot UG SCH Calc",'Pivot Table for Fact Book'!$A$3,"State","MD","type",8,"Type2","Two-Year")</f>
        <v>2105923.5</v>
      </c>
      <c r="V12" s="142">
        <f>GETPIVOTDATA("Sum of OLD-Tot UG SCH Calc",'Pivot Table for Fact Book'!$A$3,"State","MD","type",9,"Type2","Two-Year")</f>
        <v>729201.5</v>
      </c>
      <c r="W12" s="142">
        <f>GETPIVOTDATA("Sum of NEW-Tot UG SCH Calc",'Pivot Table for Fact Book'!$A$3,"State","MD","type",9,"Type2","Two-Year")</f>
        <v>743982.5</v>
      </c>
      <c r="X12" s="142">
        <f>GETPIVOTDATA("Sum of OLD-Tot UG SCH Calc",'Pivot Table for Fact Book'!$A$3,"State","MD","type",10,"Type2","Two-Year")</f>
        <v>123677.25</v>
      </c>
      <c r="Y12" s="142">
        <f>GETPIVOTDATA("Sum of NEW-Tot UG SCH Calc",'Pivot Table for Fact Book'!$A$3,"State","MD","type",10,"Type2","Two-Year")</f>
        <v>125828.75</v>
      </c>
      <c r="Z12" s="143">
        <f>GETPIVOTDATA("Sum of OLD-Tot UG SCH Calc",'Pivot Table for Fact Book'!$A$3,"State","MD","Type2","Two-Year")</f>
        <v>2951898.45</v>
      </c>
      <c r="AA12" s="143">
        <f>GETPIVOTDATA("Sum of NEW-Tot UG SCH Calc",'Pivot Table for Fact Book'!$A$3,"State","MD","Type2","Two-Year")</f>
        <v>2975734.75</v>
      </c>
      <c r="AB12" s="139">
        <f>+GETPIVOTDATA("Sum of OLD-Tot UG SCH Calc",'Pivot Table for Fact Book'!$A$3,"State","MD","type",12,"type2","Techncial")</f>
        <v>0</v>
      </c>
      <c r="AC12" s="142">
        <f>+GETPIVOTDATA("Sum of NEW-Tot UG SCH Calc",'Pivot Table for Fact Book'!$A$3,"State","MD","type",12,"type2","Techncial")</f>
        <v>0</v>
      </c>
      <c r="AD12" s="139">
        <f>+GETPIVOTDATA("Sum of OLD-Tot UG SCH Calc",'Pivot Table for Fact Book'!$A$3,"State","MD","type",13,"type2","Techncial")</f>
        <v>0</v>
      </c>
      <c r="AE12" s="142">
        <f>+GETPIVOTDATA("Sum of NEW-Tot UG SCH Calc",'Pivot Table for Fact Book'!$A$3,"State","MD","type",13,"type2","Techncial")</f>
        <v>0</v>
      </c>
      <c r="AF12" s="144">
        <f>+GETPIVOTDATA("Sum of OLD-Tot UG SCH Calc",'Pivot Table for Fact Book'!$A$3,"State","MD","type2","Techncial")</f>
        <v>0</v>
      </c>
      <c r="AG12" s="145">
        <f>+GETPIVOTDATA("Sum of NEW-Tot UG SCH Calc",'Pivot Table for Fact Book'!$A$3,"State","MD","type2","Techncial")</f>
        <v>0</v>
      </c>
      <c r="AH12" s="14"/>
    </row>
    <row r="13" spans="1:34">
      <c r="A13" s="275" t="s">
        <v>148</v>
      </c>
      <c r="B13" s="139">
        <f>GETPIVOTDATA("Sum of OLD-Tot UG SCH Calc",'Pivot Table for Fact Book'!$A$3,"State","MS","type",1,"Type2","Four-Year")</f>
        <v>761085</v>
      </c>
      <c r="C13" s="140">
        <f>GETPIVOTDATA("Sum of NEW-Tot UG SCH Calc",'Pivot Table for Fact Book'!$A$3,"State","MS","type",1,"Type2","Four-Year")</f>
        <v>790323</v>
      </c>
      <c r="D13" s="139">
        <f>GETPIVOTDATA("Sum of OLD-Tot UG SCH Calc",'Pivot Table for Fact Book'!$A$3,"State","MS","type",2,"Type2","Four-Year")</f>
        <v>577234.5</v>
      </c>
      <c r="E13" s="140">
        <f>GETPIVOTDATA("Sum of NEW-Tot UG SCH Calc",'Pivot Table for Fact Book'!$A$3,"State","MS","type",2,"Type2","Four-Year")</f>
        <v>614306</v>
      </c>
      <c r="F13" s="139">
        <f>GETPIVOTDATA("Sum of OLD-Tot UG SCH Calc",'Pivot Table for Fact Book'!$A$3,"State","MS","type",3,"Type2","Four-Year")</f>
        <v>0</v>
      </c>
      <c r="G13" s="140">
        <f>GETPIVOTDATA("Sum of NEW-Tot UG SCH Calc",'Pivot Table for Fact Book'!$A$3,"State","MS","type",3,"Type2","Four-Year")</f>
        <v>0</v>
      </c>
      <c r="H13" s="139">
        <f>GETPIVOTDATA("Sum of OLD-Tot UG SCH Calc",'Pivot Table for Fact Book'!$A$3,"State","MS","type",4,"Type2","Four-Year")</f>
        <v>228354</v>
      </c>
      <c r="I13" s="140">
        <f>GETPIVOTDATA("Sum of NEW-Tot UG SCH Calc",'Pivot Table for Fact Book'!$A$3,"State","MS","type",4,"Type2","Four-Year")</f>
        <v>231762</v>
      </c>
      <c r="J13" s="139">
        <f>GETPIVOTDATA("Sum of OLD-Tot UG SCH Calc",'Pivot Table for Fact Book'!$A$3,"State","MS","type",5,"Type2","Four-Year")</f>
        <v>63024</v>
      </c>
      <c r="K13" s="140">
        <f>GETPIVOTDATA("Sum of NEW-Tot UG SCH Calc",'Pivot Table for Fact Book'!$A$3,"State","MS","type",5,"Type2","Four-Year")</f>
        <v>67624</v>
      </c>
      <c r="L13" s="139">
        <f>GETPIVOTDATA("Sum of OLD-Tot UG SCH Calc",'Pivot Table for Fact Book'!$A$3,"State","MS","type",6,"Type2","Four-Year")</f>
        <v>0</v>
      </c>
      <c r="M13" s="140">
        <f>GETPIVOTDATA("Sum of NEW-Tot UG SCH Calc",'Pivot Table for Fact Book'!$A$3,"State","MS","type",6,"Type2","Four-Year")</f>
        <v>0</v>
      </c>
      <c r="N13" s="139">
        <f>GETPIVOTDATA("Sum of OLD-Tot UG SCH Calc",'Pivot Table for Fact Book'!$A$3,"State","MS","type",15,"Type2","Four-Year")</f>
        <v>0</v>
      </c>
      <c r="O13" s="140">
        <f>GETPIVOTDATA("Sum of NEW-Tot UG SCH Calc",'Pivot Table for Fact Book'!$A$3,"State","MS","type",15,"Type2","Four-Year")</f>
        <v>0</v>
      </c>
      <c r="P13" s="141">
        <f>GETPIVOTDATA("Sum of OLD-Tot UG SCH Calc",'Pivot Table for Fact Book'!$A$3,"State","MS","Type2","Four-Year")</f>
        <v>1629697.5</v>
      </c>
      <c r="Q13" s="141">
        <f>GETPIVOTDATA("Sum of NEW-Tot UG SCH Calc",'Pivot Table for Fact Book'!$A$3,"State","MS","Type2","Four-Year")</f>
        <v>1704015</v>
      </c>
      <c r="R13" s="139">
        <f>GETPIVOTDATA("Sum of OLD-Tot UG SCH Calc",'Pivot Table for Fact Book'!$A$3,"State","MS","type",7,"Type2","Two-Year")</f>
        <v>0</v>
      </c>
      <c r="S13" s="142">
        <f>GETPIVOTDATA("Sum of NEW-Tot UG SCH Calc",'Pivot Table for Fact Book'!$A$3,"State","MS","type",7,"Type2","Two-Year")</f>
        <v>0</v>
      </c>
      <c r="T13" s="142">
        <f>GETPIVOTDATA("Sum of OLD-Tot UG SCH Calc",'Pivot Table for Fact Book'!$A$3,"State","MS","type",8,"Type2","Two-Year")</f>
        <v>1046744</v>
      </c>
      <c r="U13" s="142">
        <f>GETPIVOTDATA("Sum of NEW-Tot UG SCH Calc",'Pivot Table for Fact Book'!$A$3,"State","MS","type",8,"Type2","Two-Year")</f>
        <v>1012727</v>
      </c>
      <c r="V13" s="142">
        <f>GETPIVOTDATA("Sum of OLD-Tot UG SCH Calc",'Pivot Table for Fact Book'!$A$3,"State","MS","type",9,"Type2","Two-Year")</f>
        <v>1052107</v>
      </c>
      <c r="W13" s="142">
        <f>GETPIVOTDATA("Sum of NEW-Tot UG SCH Calc",'Pivot Table for Fact Book'!$A$3,"State","MS","type",9,"Type2","Two-Year")</f>
        <v>1021317.5</v>
      </c>
      <c r="X13" s="142">
        <f>GETPIVOTDATA("Sum of OLD-Tot UG SCH Calc",'Pivot Table for Fact Book'!$A$3,"State","MS","type",10,"Type2","Two-Year")</f>
        <v>120095</v>
      </c>
      <c r="Y13" s="142">
        <f>GETPIVOTDATA("Sum of NEW-Tot UG SCH Calc",'Pivot Table for Fact Book'!$A$3,"State","MS","type",10,"Type2","Two-Year")</f>
        <v>129482</v>
      </c>
      <c r="Z13" s="143">
        <f>GETPIVOTDATA("Sum of OLD-Tot UG SCH Calc",'Pivot Table for Fact Book'!$A$3,"State","MS","Type2","Two-Year")</f>
        <v>2218946</v>
      </c>
      <c r="AA13" s="143">
        <f>GETPIVOTDATA("Sum of NEW-Tot UG SCH Calc",'Pivot Table for Fact Book'!$A$3,"State","MS","Type2","Two-Year")</f>
        <v>2163526.5</v>
      </c>
      <c r="AB13" s="139">
        <f>+GETPIVOTDATA("Sum of OLD-Tot UG SCH Calc",'Pivot Table for Fact Book'!$A$3,"State","MS","type",12,"type2","Techncial")</f>
        <v>0</v>
      </c>
      <c r="AC13" s="142">
        <f>+GETPIVOTDATA("Sum of NEW-Tot UG SCH Calc",'Pivot Table for Fact Book'!$A$3,"State","MS","type",12,"type2","Techncial")</f>
        <v>0</v>
      </c>
      <c r="AD13" s="139">
        <f>+GETPIVOTDATA("Sum of OLD-Tot UG SCH Calc",'Pivot Table for Fact Book'!$A$3,"State","MS","type",13,"type2","Techncial")</f>
        <v>0</v>
      </c>
      <c r="AE13" s="142">
        <f>+GETPIVOTDATA("Sum of NEW-Tot UG SCH Calc",'Pivot Table for Fact Book'!$A$3,"State","MS","type",13,"type2","Techncial")</f>
        <v>0</v>
      </c>
      <c r="AF13" s="144">
        <f>+GETPIVOTDATA("Sum of OLD-Tot UG SCH Calc",'Pivot Table for Fact Book'!$A$3,"State","MS","type2","Techncial")</f>
        <v>0</v>
      </c>
      <c r="AG13" s="145">
        <f>+GETPIVOTDATA("Sum of NEW-Tot UG SCH Calc",'Pivot Table for Fact Book'!$A$3,"State","MS","type2","Techncial")</f>
        <v>0</v>
      </c>
      <c r="AH13" s="14"/>
    </row>
    <row r="14" spans="1:34">
      <c r="A14" s="275" t="s">
        <v>149</v>
      </c>
      <c r="B14" s="139">
        <f>GETPIVOTDATA("Sum of OLD-Tot UG SCH Calc",'Pivot Table for Fact Book'!$A$3,"State","NC","type",1,"Type2","Four-Year")</f>
        <v>1649031</v>
      </c>
      <c r="C14" s="140">
        <f>GETPIVOTDATA("Sum of NEW-Tot UG SCH Calc",'Pivot Table for Fact Book'!$A$3,"State","NC","type",1,"Type2","Four-Year")</f>
        <v>1663616</v>
      </c>
      <c r="D14" s="139">
        <f>GETPIVOTDATA("Sum of OLD-Tot UG SCH Calc",'Pivot Table for Fact Book'!$A$3,"State","NC","type",2,"Type2","Four-Year")</f>
        <v>550912</v>
      </c>
      <c r="E14" s="140">
        <f>GETPIVOTDATA("Sum of NEW-Tot UG SCH Calc",'Pivot Table for Fact Book'!$A$3,"State","NC","type",2,"Type2","Four-Year")</f>
        <v>566448</v>
      </c>
      <c r="F14" s="139">
        <f>GETPIVOTDATA("Sum of OLD-Tot UG SCH Calc",'Pivot Table for Fact Book'!$A$3,"State","NC","type",3,"Type2","Four-Year")</f>
        <v>2064575</v>
      </c>
      <c r="G14" s="140">
        <f>GETPIVOTDATA("Sum of NEW-Tot UG SCH Calc",'Pivot Table for Fact Book'!$A$3,"State","NC","type",3,"Type2","Four-Year")</f>
        <v>2089313</v>
      </c>
      <c r="H14" s="139">
        <f>GETPIVOTDATA("Sum of OLD-Tot UG SCH Calc",'Pivot Table for Fact Book'!$A$3,"State","NC","type",4,"Type2","Four-Year")</f>
        <v>144829</v>
      </c>
      <c r="I14" s="140">
        <f>GETPIVOTDATA("Sum of NEW-Tot UG SCH Calc",'Pivot Table for Fact Book'!$A$3,"State","NC","type",4,"Type2","Four-Year")</f>
        <v>148382</v>
      </c>
      <c r="J14" s="139">
        <f>GETPIVOTDATA("Sum of OLD-Tot UG SCH Calc",'Pivot Table for Fact Book'!$A$3,"State","NC","type",5,"Type2","Four-Year")</f>
        <v>342848</v>
      </c>
      <c r="K14" s="140">
        <f>GETPIVOTDATA("Sum of NEW-Tot UG SCH Calc",'Pivot Table for Fact Book'!$A$3,"State","NC","type",5,"Type2","Four-Year")</f>
        <v>328916</v>
      </c>
      <c r="L14" s="139">
        <f>GETPIVOTDATA("Sum of OLD-Tot UG SCH Calc",'Pivot Table for Fact Book'!$A$3,"State","NC","type",6,"Type2","Four-Year")</f>
        <v>202516</v>
      </c>
      <c r="M14" s="140">
        <f>GETPIVOTDATA("Sum of NEW-Tot UG SCH Calc",'Pivot Table for Fact Book'!$A$3,"State","NC","type",6,"Type2","Four-Year")</f>
        <v>196642</v>
      </c>
      <c r="N14" s="139">
        <f>GETPIVOTDATA("Sum of OLD-Tot UG SCH Calc",'Pivot Table for Fact Book'!$A$3,"State","NC","type",15,"Type2","Four-Year")</f>
        <v>0</v>
      </c>
      <c r="O14" s="140">
        <f>GETPIVOTDATA("Sum of NEW-Tot UG SCH Calc",'Pivot Table for Fact Book'!$A$3,"State","NC","type",15,"Type2","Four-Year")</f>
        <v>0</v>
      </c>
      <c r="P14" s="141">
        <f>GETPIVOTDATA("Sum of OLD-Tot UG SCH Calc",'Pivot Table for Fact Book'!$A$3,"State","NC","Type2","Four-Year")</f>
        <v>4954711</v>
      </c>
      <c r="Q14" s="141">
        <f>GETPIVOTDATA("Sum of NEW-Tot UG SCH Calc",'Pivot Table for Fact Book'!$A$3,"State","NC","Type2","Four-Year")</f>
        <v>4993317</v>
      </c>
      <c r="R14" s="139">
        <f>GETPIVOTDATA("Sum of OLD-Tot UG SCH Calc",'Pivot Table for Fact Book'!$A$3,"State","NC","type",7,"Type2","Two-Year")</f>
        <v>0</v>
      </c>
      <c r="S14" s="142">
        <f>GETPIVOTDATA("Sum of NEW-Tot UG SCH Calc",'Pivot Table for Fact Book'!$A$3,"State","NC","type",7,"Type2","Two-Year")</f>
        <v>0</v>
      </c>
      <c r="T14" s="142">
        <f>GETPIVOTDATA("Sum of OLD-Tot UG SCH Calc",'Pivot Table for Fact Book'!$A$3,"State","NC","type",8,"Type2","Two-Year")</f>
        <v>2426176</v>
      </c>
      <c r="U14" s="142">
        <f>GETPIVOTDATA("Sum of NEW-Tot UG SCH Calc",'Pivot Table for Fact Book'!$A$3,"State","NC","type",8,"Type2","Two-Year")</f>
        <v>2511660</v>
      </c>
      <c r="V14" s="142">
        <f>GETPIVOTDATA("Sum of OLD-Tot UG SCH Calc",'Pivot Table for Fact Book'!$A$3,"State","NC","type",9,"Type2","Two-Year")</f>
        <v>2128322</v>
      </c>
      <c r="W14" s="142">
        <f>GETPIVOTDATA("Sum of NEW-Tot UG SCH Calc",'Pivot Table for Fact Book'!$A$3,"State","NC","type",9,"Type2","Two-Year")</f>
        <v>2067397</v>
      </c>
      <c r="X14" s="142">
        <f>GETPIVOTDATA("Sum of OLD-Tot UG SCH Calc",'Pivot Table for Fact Book'!$A$3,"State","NC","type",10,"Type2","Two-Year")</f>
        <v>885250</v>
      </c>
      <c r="Y14" s="142">
        <f>GETPIVOTDATA("Sum of NEW-Tot UG SCH Calc",'Pivot Table for Fact Book'!$A$3,"State","NC","type",10,"Type2","Two-Year")</f>
        <v>852525</v>
      </c>
      <c r="Z14" s="143">
        <f>GETPIVOTDATA("Sum of OLD-Tot UG SCH Calc",'Pivot Table for Fact Book'!$A$3,"State","NC","Type2","Two-Year")</f>
        <v>5439748</v>
      </c>
      <c r="AA14" s="143">
        <f>GETPIVOTDATA("Sum of NEW-Tot UG SCH Calc",'Pivot Table for Fact Book'!$A$3,"State","NC","Type2","Two-Year")</f>
        <v>5431582</v>
      </c>
      <c r="AB14" s="139">
        <f>+GETPIVOTDATA("Sum of OLD-Tot UG SCH Calc",'Pivot Table for Fact Book'!$A$3,"State","NC","type",12,"type2","Techncial")</f>
        <v>0</v>
      </c>
      <c r="AC14" s="142">
        <f>+GETPIVOTDATA("Sum of NEW-Tot UG SCH Calc",'Pivot Table for Fact Book'!$A$3,"State","NC","type",12,"type2","Techncial")</f>
        <v>0</v>
      </c>
      <c r="AD14" s="139">
        <f>+GETPIVOTDATA("Sum of OLD-Tot UG SCH Calc",'Pivot Table for Fact Book'!$A$3,"State","NC","type",13,"type2","Techncial")</f>
        <v>0</v>
      </c>
      <c r="AE14" s="142">
        <f>+GETPIVOTDATA("Sum of NEW-Tot UG SCH Calc",'Pivot Table for Fact Book'!$A$3,"State","NC","type",13,"type2","Techncial")</f>
        <v>0</v>
      </c>
      <c r="AF14" s="144">
        <f>+GETPIVOTDATA("Sum of OLD-Tot UG SCH Calc",'Pivot Table for Fact Book'!$A$3,"State","NC","type2","Techncial")</f>
        <v>0</v>
      </c>
      <c r="AG14" s="145">
        <f>+GETPIVOTDATA("Sum of NEW-Tot UG SCH Calc",'Pivot Table for Fact Book'!$A$3,"State","NC","type2","Techncial")</f>
        <v>0</v>
      </c>
      <c r="AH14" s="14"/>
    </row>
    <row r="15" spans="1:34">
      <c r="A15" s="275" t="s">
        <v>150</v>
      </c>
      <c r="B15" s="139">
        <f>GETPIVOTDATA("Sum of OLD-Tot UG SCH Calc",'Pivot Table for Fact Book'!$A$3,"State","OK","type",1,"Type2","Four-Year")</f>
        <v>527383</v>
      </c>
      <c r="C15" s="140">
        <f>GETPIVOTDATA("Sum of NEW-Tot UG SCH Calc",'Pivot Table for Fact Book'!$A$3,"State","OK","type",1,"Type2","Four-Year")</f>
        <v>542963</v>
      </c>
      <c r="D15" s="139">
        <f>GETPIVOTDATA("Sum of OLD-Tot UG SCH Calc",'Pivot Table for Fact Book'!$A$3,"State","OK","type",2,"Type2","Four-Year")</f>
        <v>0</v>
      </c>
      <c r="E15" s="140">
        <f>GETPIVOTDATA("Sum of NEW-Tot UG SCH Calc",'Pivot Table for Fact Book'!$A$3,"State","OK","type",2,"Type2","Four-Year")</f>
        <v>0</v>
      </c>
      <c r="F15" s="139">
        <f>GETPIVOTDATA("Sum of OLD-Tot UG SCH Calc",'Pivot Table for Fact Book'!$A$3,"State","OK","type",3,"Type2","Four-Year")</f>
        <v>570594</v>
      </c>
      <c r="G15" s="140">
        <f>GETPIVOTDATA("Sum of NEW-Tot UG SCH Calc",'Pivot Table for Fact Book'!$A$3,"State","OK","type",3,"Type2","Four-Year")</f>
        <v>580617</v>
      </c>
      <c r="H15" s="139">
        <f>GETPIVOTDATA("Sum of OLD-Tot UG SCH Calc",'Pivot Table for Fact Book'!$A$3,"State","OK","type",4,"Type2","Four-Year")</f>
        <v>0</v>
      </c>
      <c r="I15" s="140">
        <f>GETPIVOTDATA("Sum of NEW-Tot UG SCH Calc",'Pivot Table for Fact Book'!$A$3,"State","OK","type",4,"Type2","Four-Year")</f>
        <v>0</v>
      </c>
      <c r="J15" s="139">
        <f>GETPIVOTDATA("Sum of OLD-Tot UG SCH Calc",'Pivot Table for Fact Book'!$A$3,"State","OK","type",5,"Type2","Four-Year")</f>
        <v>584608</v>
      </c>
      <c r="K15" s="140">
        <f>GETPIVOTDATA("Sum of NEW-Tot UG SCH Calc",'Pivot Table for Fact Book'!$A$3,"State","OK","type",5,"Type2","Four-Year")</f>
        <v>582775</v>
      </c>
      <c r="L15" s="139">
        <f>GETPIVOTDATA("Sum of OLD-Tot UG SCH Calc",'Pivot Table for Fact Book'!$A$3,"State","OK","type",6,"Type2","Four-Year")</f>
        <v>168945</v>
      </c>
      <c r="M15" s="140">
        <f>GETPIVOTDATA("Sum of NEW-Tot UG SCH Calc",'Pivot Table for Fact Book'!$A$3,"State","OK","type",6,"Type2","Four-Year")</f>
        <v>174874</v>
      </c>
      <c r="N15" s="139">
        <f>GETPIVOTDATA("Sum of OLD-Tot UG SCH Calc",'Pivot Table for Fact Book'!$A$3,"State","OK","type",15,"Type2","Four-Year")</f>
        <v>0</v>
      </c>
      <c r="O15" s="140">
        <f>GETPIVOTDATA("Sum of NEW-Tot UG SCH Calc",'Pivot Table for Fact Book'!$A$3,"State","OK","type",15,"Type2","Four-Year")</f>
        <v>0</v>
      </c>
      <c r="P15" s="141">
        <f>GETPIVOTDATA("Sum of OLD-Tot UG SCH Calc",'Pivot Table for Fact Book'!$A$3,"State","OK","Type2","Four-Year")</f>
        <v>1851530</v>
      </c>
      <c r="Q15" s="141">
        <f>GETPIVOTDATA("Sum of NEW-Tot UG SCH Calc",'Pivot Table for Fact Book'!$A$3,"State","OK","Type2","Four-Year")</f>
        <v>1881229</v>
      </c>
      <c r="R15" s="139">
        <f>GETPIVOTDATA("Sum of OLD-Tot UG SCH Calc",'Pivot Table for Fact Book'!$A$3,"State","OK","type",7,"Type2","Two-Year")</f>
        <v>256386</v>
      </c>
      <c r="S15" s="142">
        <f>GETPIVOTDATA("Sum of NEW-Tot UG SCH Calc",'Pivot Table for Fact Book'!$A$3,"State","OK","type",7,"Type2","Two-Year")</f>
        <v>265072</v>
      </c>
      <c r="T15" s="142">
        <f>GETPIVOTDATA("Sum of OLD-Tot UG SCH Calc",'Pivot Table for Fact Book'!$A$3,"State","OK","type",8,"Type2","Two-Year")</f>
        <v>814596</v>
      </c>
      <c r="U15" s="142">
        <f>GETPIVOTDATA("Sum of NEW-Tot UG SCH Calc",'Pivot Table for Fact Book'!$A$3,"State","OK","type",8,"Type2","Two-Year")</f>
        <v>882644</v>
      </c>
      <c r="V15" s="142">
        <f>GETPIVOTDATA("Sum of OLD-Tot UG SCH Calc",'Pivot Table for Fact Book'!$A$3,"State","OK","type",9,"Type2","Two-Year")</f>
        <v>112504</v>
      </c>
      <c r="W15" s="142">
        <f>GETPIVOTDATA("Sum of NEW-Tot UG SCH Calc",'Pivot Table for Fact Book'!$A$3,"State","OK","type",9,"Type2","Two-Year")</f>
        <v>120330</v>
      </c>
      <c r="X15" s="142">
        <f>GETPIVOTDATA("Sum of OLD-Tot UG SCH Calc",'Pivot Table for Fact Book'!$A$3,"State","OK","type",10,"Type2","Two-Year")</f>
        <v>445740</v>
      </c>
      <c r="Y15" s="142">
        <f>GETPIVOTDATA("Sum of NEW-Tot UG SCH Calc",'Pivot Table for Fact Book'!$A$3,"State","OK","type",10,"Type2","Two-Year")</f>
        <v>447794</v>
      </c>
      <c r="Z15" s="143">
        <f>GETPIVOTDATA("Sum of OLD-Tot UG SCH Calc",'Pivot Table for Fact Book'!$A$3,"State","OK","Type2","Two-Year")</f>
        <v>1629226</v>
      </c>
      <c r="AA15" s="143">
        <f>GETPIVOTDATA("Sum of NEW-Tot UG SCH Calc",'Pivot Table for Fact Book'!$A$3,"State","OK","Type2","Two-Year")</f>
        <v>1715840</v>
      </c>
      <c r="AB15" s="139">
        <f>+GETPIVOTDATA("Sum of OLD-Tot UG SCH Calc",'Pivot Table for Fact Book'!$A$3,"State","OK","type",12,"type2","Techncial")</f>
        <v>0</v>
      </c>
      <c r="AC15" s="142">
        <f>+GETPIVOTDATA("Sum of NEW-Tot UG SCH Calc",'Pivot Table for Fact Book'!$A$3,"State","OK","type",12,"type2","Techncial")</f>
        <v>0</v>
      </c>
      <c r="AD15" s="139">
        <f>+GETPIVOTDATA("Sum of OLD-Tot UG SCH Calc",'Pivot Table for Fact Book'!$A$3,"State","OK","type",13,"type2","Techncial")</f>
        <v>0</v>
      </c>
      <c r="AE15" s="142">
        <f>+GETPIVOTDATA("Sum of NEW-Tot UG SCH Calc",'Pivot Table for Fact Book'!$A$3,"State","OK","type",13,"type2","Techncial")</f>
        <v>0</v>
      </c>
      <c r="AF15" s="144">
        <f>+GETPIVOTDATA("Sum of OLD-Tot UG SCH Calc",'Pivot Table for Fact Book'!$A$3,"State","OK","type2","Techncial")</f>
        <v>0</v>
      </c>
      <c r="AG15" s="145">
        <f>+GETPIVOTDATA("Sum of NEW-Tot UG SCH Calc",'Pivot Table for Fact Book'!$A$3,"State","OK","type2","Techncial")</f>
        <v>0</v>
      </c>
      <c r="AH15" s="14"/>
    </row>
    <row r="16" spans="1:34">
      <c r="A16" s="275" t="s">
        <v>151</v>
      </c>
      <c r="B16" s="139">
        <f>GETPIVOTDATA("Sum of OLD-Tot UG SCH Calc",'Pivot Table for Fact Book'!$A$3,"State","SC","type",1,"Type2","Four-Year")</f>
        <v>1096262</v>
      </c>
      <c r="C16" s="140">
        <f>GETPIVOTDATA("Sum of NEW-Tot UG SCH Calc",'Pivot Table for Fact Book'!$A$3,"State","SC","type",1,"Type2","Four-Year")</f>
        <v>1166277</v>
      </c>
      <c r="D16" s="139">
        <f>GETPIVOTDATA("Sum of OLD-Tot UG SCH Calc",'Pivot Table for Fact Book'!$A$3,"State","SC","type",2,"Type2","Four-Year")</f>
        <v>0</v>
      </c>
      <c r="E16" s="140">
        <f>GETPIVOTDATA("Sum of NEW-Tot UG SCH Calc",'Pivot Table for Fact Book'!$A$3,"State","SC","type",2,"Type2","Four-Year")</f>
        <v>0</v>
      </c>
      <c r="F16" s="139">
        <f>GETPIVOTDATA("Sum of OLD-Tot UG SCH Calc",'Pivot Table for Fact Book'!$A$3,"State","SC","type",3,"Type2","Four-Year")</f>
        <v>438067.5</v>
      </c>
      <c r="G16" s="140">
        <f>GETPIVOTDATA("Sum of NEW-Tot UG SCH Calc",'Pivot Table for Fact Book'!$A$3,"State","SC","type",3,"Type2","Four-Year")</f>
        <v>445886</v>
      </c>
      <c r="H16" s="139">
        <f>GETPIVOTDATA("Sum of OLD-Tot UG SCH Calc",'Pivot Table for Fact Book'!$A$3,"State","SC","type",4,"Type2","Four-Year")</f>
        <v>85876</v>
      </c>
      <c r="I16" s="140">
        <f>GETPIVOTDATA("Sum of NEW-Tot UG SCH Calc",'Pivot Table for Fact Book'!$A$3,"State","SC","type",4,"Type2","Four-Year")</f>
        <v>87469</v>
      </c>
      <c r="J16" s="139">
        <f>GETPIVOTDATA("Sum of OLD-Tot UG SCH Calc",'Pivot Table for Fact Book'!$A$3,"State","SC","type",5,"Type2","Four-Year")</f>
        <v>454983</v>
      </c>
      <c r="K16" s="140">
        <f>GETPIVOTDATA("Sum of NEW-Tot UG SCH Calc",'Pivot Table for Fact Book'!$A$3,"State","SC","type",5,"Type2","Four-Year")</f>
        <v>467191</v>
      </c>
      <c r="L16" s="139">
        <f>GETPIVOTDATA("Sum of OLD-Tot UG SCH Calc",'Pivot Table for Fact Book'!$A$3,"State","SC","type",6,"Type2","Four-Year")</f>
        <v>361664.5</v>
      </c>
      <c r="M16" s="140">
        <f>GETPIVOTDATA("Sum of NEW-Tot UG SCH Calc",'Pivot Table for Fact Book'!$A$3,"State","SC","type",6,"Type2","Four-Year")</f>
        <v>392132</v>
      </c>
      <c r="N16" s="139">
        <f>GETPIVOTDATA("Sum of OLD-Tot UG SCH Calc",'Pivot Table for Fact Book'!$A$3,"State","SC","type",15,"Type2","Four-Year")</f>
        <v>0</v>
      </c>
      <c r="O16" s="140">
        <f>GETPIVOTDATA("Sum of NEW-Tot UG SCH Calc",'Pivot Table for Fact Book'!$A$3,"State","SC","type",15,"Type2","Four-Year")</f>
        <v>0</v>
      </c>
      <c r="P16" s="141">
        <f>GETPIVOTDATA("Sum of OLD-Tot UG SCH Calc",'Pivot Table for Fact Book'!$A$3,"State","SC","Type2","Four-Year")</f>
        <v>2436853</v>
      </c>
      <c r="Q16" s="141">
        <f>GETPIVOTDATA("Sum of NEW-Tot UG SCH Calc",'Pivot Table for Fact Book'!$A$3,"State","SC","Type2","Four-Year")</f>
        <v>2558955</v>
      </c>
      <c r="R16" s="139">
        <f>GETPIVOTDATA("Sum of OLD-Tot UG SCH Calc",'Pivot Table for Fact Book'!$A$3,"State","SC","type",7,"Type2","Two-Year")</f>
        <v>0</v>
      </c>
      <c r="S16" s="142">
        <f>GETPIVOTDATA("Sum of NEW-Tot UG SCH Calc",'Pivot Table for Fact Book'!$A$3,"State","SC","type",7,"Type2","Two-Year")</f>
        <v>0</v>
      </c>
      <c r="T16" s="142">
        <f>GETPIVOTDATA("Sum of OLD-Tot UG SCH Calc",'Pivot Table for Fact Book'!$A$3,"State","SC","type",8,"Type2","Two-Year")</f>
        <v>1329057</v>
      </c>
      <c r="U16" s="142">
        <f>GETPIVOTDATA("Sum of NEW-Tot UG SCH Calc",'Pivot Table for Fact Book'!$A$3,"State","SC","type",8,"Type2","Two-Year")</f>
        <v>1425625.79</v>
      </c>
      <c r="V16" s="142">
        <f>GETPIVOTDATA("Sum of OLD-Tot UG SCH Calc",'Pivot Table for Fact Book'!$A$3,"State","SC","type",9,"Type2","Two-Year")</f>
        <v>803203</v>
      </c>
      <c r="W16" s="142">
        <f>GETPIVOTDATA("Sum of NEW-Tot UG SCH Calc",'Pivot Table for Fact Book'!$A$3,"State","SC","type",9,"Type2","Two-Year")</f>
        <v>906819.92</v>
      </c>
      <c r="X16" s="142">
        <f>GETPIVOTDATA("Sum of OLD-Tot UG SCH Calc",'Pivot Table for Fact Book'!$A$3,"State","SC","type",10,"Type2","Two-Year")</f>
        <v>235856</v>
      </c>
      <c r="Y16" s="142">
        <f>GETPIVOTDATA("Sum of NEW-Tot UG SCH Calc",'Pivot Table for Fact Book'!$A$3,"State","SC","type",10,"Type2","Two-Year")</f>
        <v>258949.58</v>
      </c>
      <c r="Z16" s="143">
        <f>GETPIVOTDATA("Sum of OLD-Tot UG SCH Calc",'Pivot Table for Fact Book'!$A$3,"State","SC","Type2","Two-Year")</f>
        <v>2368116</v>
      </c>
      <c r="AA16" s="143">
        <f>GETPIVOTDATA("Sum of NEW-Tot UG SCH Calc",'Pivot Table for Fact Book'!$A$3,"State","SC","Type2","Two-Year")</f>
        <v>2591395.29</v>
      </c>
      <c r="AB16" s="139">
        <f>+GETPIVOTDATA("Sum of OLD-Tot UG SCH Calc",'Pivot Table for Fact Book'!$A$3,"State","SC","type",12,"type2","Techncial")</f>
        <v>0</v>
      </c>
      <c r="AC16" s="142">
        <f>+GETPIVOTDATA("Sum of NEW-Tot UG SCH Calc",'Pivot Table for Fact Book'!$A$3,"State","SC","type",12,"type2","Techncial")</f>
        <v>0</v>
      </c>
      <c r="AD16" s="139">
        <f>+GETPIVOTDATA("Sum of OLD-Tot UG SCH Calc",'Pivot Table for Fact Book'!$A$3,"State","SC","type",13,"type2","Techncial")</f>
        <v>0</v>
      </c>
      <c r="AE16" s="142">
        <f>+GETPIVOTDATA("Sum of NEW-Tot UG SCH Calc",'Pivot Table for Fact Book'!$A$3,"State","SC","type",13,"type2","Techncial")</f>
        <v>0</v>
      </c>
      <c r="AF16" s="144">
        <f>+GETPIVOTDATA("Sum of OLD-Tot UG SCH Calc",'Pivot Table for Fact Book'!$A$3,"State","SC","type2","Techncial")</f>
        <v>0</v>
      </c>
      <c r="AG16" s="145">
        <f>+GETPIVOTDATA("Sum of NEW-Tot UG SCH Calc",'Pivot Table for Fact Book'!$A$3,"State","SC","type2","Techncial")</f>
        <v>0</v>
      </c>
      <c r="AH16" s="14"/>
    </row>
    <row r="17" spans="1:34">
      <c r="A17" s="275" t="s">
        <v>152</v>
      </c>
      <c r="B17" s="139">
        <f>GETPIVOTDATA("Sum of OLD-Tot UG SCH Calc",'Pivot Table for Fact Book'!$A$3,"State","TN","type",1,"Type2","Four-Year")</f>
        <v>990540</v>
      </c>
      <c r="C17" s="140">
        <f>GETPIVOTDATA("Sum of NEW-Tot UG SCH Calc",'Pivot Table for Fact Book'!$A$3,"State","TN","type",1,"Type2","Four-Year")</f>
        <v>1098614</v>
      </c>
      <c r="D17" s="139">
        <f>GETPIVOTDATA("Sum of OLD-Tot UG SCH Calc",'Pivot Table for Fact Book'!$A$3,"State","TN","type",2,"Type2","Four-Year")</f>
        <v>182408</v>
      </c>
      <c r="E17" s="140">
        <f>GETPIVOTDATA("Sum of NEW-Tot UG SCH Calc",'Pivot Table for Fact Book'!$A$3,"State","TN","type",2,"Type2","Four-Year")</f>
        <v>183269</v>
      </c>
      <c r="F17" s="139">
        <f>GETPIVOTDATA("Sum of OLD-Tot UG SCH Calc",'Pivot Table for Fact Book'!$A$3,"State","TN","type",3,"Type2","Four-Year")</f>
        <v>1668369</v>
      </c>
      <c r="G17" s="140">
        <f>GETPIVOTDATA("Sum of NEW-Tot UG SCH Calc",'Pivot Table for Fact Book'!$A$3,"State","TN","type",3,"Type2","Four-Year")</f>
        <v>1645112.3</v>
      </c>
      <c r="H17" s="139">
        <f>GETPIVOTDATA("Sum of OLD-Tot UG SCH Calc",'Pivot Table for Fact Book'!$A$3,"State","TN","type",4,"Type2","Four-Year")</f>
        <v>0</v>
      </c>
      <c r="I17" s="140">
        <f>GETPIVOTDATA("Sum of NEW-Tot UG SCH Calc",'Pivot Table for Fact Book'!$A$3,"State","TN","type",4,"Type2","Four-Year")</f>
        <v>0</v>
      </c>
      <c r="J17" s="139">
        <f>GETPIVOTDATA("Sum of OLD-Tot UG SCH Calc",'Pivot Table for Fact Book'!$A$3,"State","TN","type",5,"Type2","Four-Year")</f>
        <v>189533</v>
      </c>
      <c r="K17" s="140">
        <f>GETPIVOTDATA("Sum of NEW-Tot UG SCH Calc",'Pivot Table for Fact Book'!$A$3,"State","TN","type",5,"Type2","Four-Year")</f>
        <v>204980</v>
      </c>
      <c r="L17" s="139">
        <f>GETPIVOTDATA("Sum of OLD-Tot UG SCH Calc",'Pivot Table for Fact Book'!$A$3,"State","TN","type",6,"Type2","Four-Year")</f>
        <v>0</v>
      </c>
      <c r="M17" s="140">
        <f>GETPIVOTDATA("Sum of NEW-Tot UG SCH Calc",'Pivot Table for Fact Book'!$A$3,"State","TN","type",6,"Type2","Four-Year")</f>
        <v>0</v>
      </c>
      <c r="N17" s="139">
        <f>GETPIVOTDATA("Sum of OLD-Tot UG SCH Calc",'Pivot Table for Fact Book'!$A$3,"State","TN","type",15,"Type2","Four-Year")</f>
        <v>0</v>
      </c>
      <c r="O17" s="140">
        <f>GETPIVOTDATA("Sum of NEW-Tot UG SCH Calc",'Pivot Table for Fact Book'!$A$3,"State","TN","type",15,"Type2","Four-Year")</f>
        <v>0</v>
      </c>
      <c r="P17" s="141">
        <f>GETPIVOTDATA("Sum of OLD-Tot UG SCH Calc",'Pivot Table for Fact Book'!$A$3,"State","TN","Type2","Four-Year")</f>
        <v>3030850</v>
      </c>
      <c r="Q17" s="141">
        <f>GETPIVOTDATA("Sum of NEW-Tot UG SCH Calc",'Pivot Table for Fact Book'!$A$3,"State","TN","Type2","Four-Year")</f>
        <v>3131975.3</v>
      </c>
      <c r="R17" s="139">
        <f>GETPIVOTDATA("Sum of OLD-Tot UG SCH Calc",'Pivot Table for Fact Book'!$A$3,"State","TN","type",7,"Type2","Two-Year")</f>
        <v>0</v>
      </c>
      <c r="S17" s="142">
        <f>GETPIVOTDATA("Sum of NEW-Tot UG SCH Calc",'Pivot Table for Fact Book'!$A$3,"State","TN","type",7,"Type2","Two-Year")</f>
        <v>0</v>
      </c>
      <c r="T17" s="142">
        <f>GETPIVOTDATA("Sum of OLD-Tot UG SCH Calc",'Pivot Table for Fact Book'!$A$3,"State","TN","type",8,"Type2","Two-Year")</f>
        <v>1083827</v>
      </c>
      <c r="U17" s="142">
        <f>GETPIVOTDATA("Sum of NEW-Tot UG SCH Calc",'Pivot Table for Fact Book'!$A$3,"State","TN","type",8,"Type2","Two-Year")</f>
        <v>1098901.5</v>
      </c>
      <c r="V17" s="142">
        <f>GETPIVOTDATA("Sum of OLD-Tot UG SCH Calc",'Pivot Table for Fact Book'!$A$3,"State","TN","type",9,"Type2","Two-Year")</f>
        <v>902544</v>
      </c>
      <c r="W17" s="142">
        <f>GETPIVOTDATA("Sum of NEW-Tot UG SCH Calc",'Pivot Table for Fact Book'!$A$3,"State","TN","type",9,"Type2","Two-Year")</f>
        <v>885936</v>
      </c>
      <c r="X17" s="142">
        <f>GETPIVOTDATA("Sum of OLD-Tot UG SCH Calc",'Pivot Table for Fact Book'!$A$3,"State","TN","type",10,"Type2","Two-Year")</f>
        <v>0</v>
      </c>
      <c r="Y17" s="142">
        <f>GETPIVOTDATA("Sum of NEW-Tot UG SCH Calc",'Pivot Table for Fact Book'!$A$3,"State","TN","type",10,"Type2","Two-Year")</f>
        <v>0</v>
      </c>
      <c r="Z17" s="143">
        <f>GETPIVOTDATA("Sum of OLD-Tot UG SCH Calc",'Pivot Table for Fact Book'!$A$3,"State","TN","Type2","Two-Year")</f>
        <v>1986371</v>
      </c>
      <c r="AA17" s="143">
        <f>GETPIVOTDATA("Sum of NEW-Tot UG SCH Calc",'Pivot Table for Fact Book'!$A$3,"State","TN","Type2","Two-Year")</f>
        <v>1984837.5</v>
      </c>
      <c r="AB17" s="139">
        <f>+GETPIVOTDATA("Sum of OLD-Tot UG SCH Calc",'Pivot Table for Fact Book'!$A$3,"State","TN","type",12,"type2","Techncial")</f>
        <v>0</v>
      </c>
      <c r="AC17" s="142">
        <f>+GETPIVOTDATA("Sum of NEW-Tot UG SCH Calc",'Pivot Table for Fact Book'!$A$3,"State","TN","type",12,"type2","Techncial")</f>
        <v>0</v>
      </c>
      <c r="AD17" s="139">
        <f>+GETPIVOTDATA("Sum of OLD-Tot UG SCH Calc",'Pivot Table for Fact Book'!$A$3,"State","TN","type",13,"type2","Techncial")</f>
        <v>0</v>
      </c>
      <c r="AE17" s="142">
        <f>+GETPIVOTDATA("Sum of NEW-Tot UG SCH Calc",'Pivot Table for Fact Book'!$A$3,"State","TN","type",13,"type2","Techncial")</f>
        <v>0</v>
      </c>
      <c r="AF17" s="144">
        <f>+GETPIVOTDATA("Sum of OLD-Tot UG SCH Calc",'Pivot Table for Fact Book'!$A$3,"State","TN","type2","Techncial")</f>
        <v>0</v>
      </c>
      <c r="AG17" s="145">
        <f>+GETPIVOTDATA("Sum of NEW-Tot UG SCH Calc",'Pivot Table for Fact Book'!$A$3,"State","TN","type2","Techncial")</f>
        <v>0</v>
      </c>
      <c r="AH17" s="14"/>
    </row>
    <row r="18" spans="1:34">
      <c r="A18" s="275" t="s">
        <v>153</v>
      </c>
      <c r="B18" s="139">
        <f>GETPIVOTDATA("Sum of OLD-Tot UG SCH Calc",'Pivot Table for Fact Book'!$A$3,"State","TX","type",1,"Type2","Four-Year")</f>
        <v>5122035</v>
      </c>
      <c r="C18" s="140">
        <f>GETPIVOTDATA("Sum of NEW-Tot UG SCH Calc",'Pivot Table for Fact Book'!$A$3,"State","TX","type",1,"Type2","Four-Year")</f>
        <v>5276587</v>
      </c>
      <c r="D18" s="139">
        <f>GETPIVOTDATA("Sum of OLD-Tot UG SCH Calc",'Pivot Table for Fact Book'!$A$3,"State","TX","type",2,"Type2","Four-Year")</f>
        <v>1275570</v>
      </c>
      <c r="E18" s="140">
        <f>GETPIVOTDATA("Sum of NEW-Tot UG SCH Calc",'Pivot Table for Fact Book'!$A$3,"State","TX","type",2,"Type2","Four-Year")</f>
        <v>1332619</v>
      </c>
      <c r="F18" s="139">
        <f>GETPIVOTDATA("Sum of OLD-Tot UG SCH Calc",'Pivot Table for Fact Book'!$A$3,"State","TX","type",3,"Type2","Four-Year")</f>
        <v>4170292</v>
      </c>
      <c r="G18" s="140">
        <f>GETPIVOTDATA("Sum of NEW-Tot UG SCH Calc",'Pivot Table for Fact Book'!$A$3,"State","TX","type",3,"Type2","Four-Year")</f>
        <v>4280207</v>
      </c>
      <c r="H18" s="139">
        <f>GETPIVOTDATA("Sum of OLD-Tot UG SCH Calc",'Pivot Table for Fact Book'!$A$3,"State","TX","type",4,"Type2","Four-Year")</f>
        <v>76964</v>
      </c>
      <c r="I18" s="140">
        <f>GETPIVOTDATA("Sum of NEW-Tot UG SCH Calc",'Pivot Table for Fact Book'!$A$3,"State","TX","type",4,"Type2","Four-Year")</f>
        <v>91001</v>
      </c>
      <c r="J18" s="139">
        <f>GETPIVOTDATA("Sum of OLD-Tot UG SCH Calc",'Pivot Table for Fact Book'!$A$3,"State","TX","type",5,"Type2","Four-Year")</f>
        <v>281735</v>
      </c>
      <c r="K18" s="140">
        <f>GETPIVOTDATA("Sum of NEW-Tot UG SCH Calc",'Pivot Table for Fact Book'!$A$3,"State","TX","type",5,"Type2","Four-Year")</f>
        <v>284896</v>
      </c>
      <c r="L18" s="139">
        <f>GETPIVOTDATA("Sum of OLD-Tot UG SCH Calc",'Pivot Table for Fact Book'!$A$3,"State","TX","type",6,"Type2","Four-Year")</f>
        <v>49475</v>
      </c>
      <c r="M18" s="140">
        <f>GETPIVOTDATA("Sum of NEW-Tot UG SCH Calc",'Pivot Table for Fact Book'!$A$3,"State","TX","type",6,"Type2","Four-Year")</f>
        <v>54166</v>
      </c>
      <c r="N18" s="139">
        <f>GETPIVOTDATA("Sum of OLD-Tot UG SCH Calc",'Pivot Table for Fact Book'!$A$3,"State","TX","type",15,"Type2","Four-Year")</f>
        <v>0</v>
      </c>
      <c r="O18" s="140">
        <f>GETPIVOTDATA("Sum of NEW-Tot UG SCH Calc",'Pivot Table for Fact Book'!$A$3,"State","TX","type",15,"Type2","Four-Year")</f>
        <v>0</v>
      </c>
      <c r="P18" s="141">
        <f>GETPIVOTDATA("Sum of OLD-Tot UG SCH Calc",'Pivot Table for Fact Book'!$A$3,"State","TX","Type2","Four-Year")</f>
        <v>11081842</v>
      </c>
      <c r="Q18" s="141">
        <f>GETPIVOTDATA("Sum of NEW-Tot UG SCH Calc",'Pivot Table for Fact Book'!$A$3,"State","TX","Type2","Four-Year")</f>
        <v>11436168</v>
      </c>
      <c r="R18" s="139">
        <f>GETPIVOTDATA("Sum of OLD-Tot UG SCH Calc",'Pivot Table for Fact Book'!$A$3,"State","TX","type",7,"Type2","Two-Year")</f>
        <v>748106</v>
      </c>
      <c r="S18" s="142">
        <f>GETPIVOTDATA("Sum of NEW-Tot UG SCH Calc",'Pivot Table for Fact Book'!$A$3,"State","TX","type",7,"Type2","Two-Year")</f>
        <v>767841</v>
      </c>
      <c r="T18" s="142">
        <f>GETPIVOTDATA("Sum of OLD-Tot UG SCH Calc",'Pivot Table for Fact Book'!$A$3,"State","TX","type",8,"Type2","Two-Year")</f>
        <v>11171131</v>
      </c>
      <c r="U18" s="142">
        <f>GETPIVOTDATA("Sum of NEW-Tot UG SCH Calc",'Pivot Table for Fact Book'!$A$3,"State","TX","type",8,"Type2","Two-Year")</f>
        <v>11367099</v>
      </c>
      <c r="V18" s="142">
        <f>GETPIVOTDATA("Sum of OLD-Tot UG SCH Calc",'Pivot Table for Fact Book'!$A$3,"State","TX","type",9,"Type2","Two-Year")</f>
        <v>2441495</v>
      </c>
      <c r="W18" s="142">
        <f>GETPIVOTDATA("Sum of NEW-Tot UG SCH Calc",'Pivot Table for Fact Book'!$A$3,"State","TX","type",9,"Type2","Two-Year")</f>
        <v>2412924</v>
      </c>
      <c r="X18" s="142">
        <f>GETPIVOTDATA("Sum of OLD-Tot UG SCH Calc",'Pivot Table for Fact Book'!$A$3,"State","TX","type",10,"Type2","Two-Year")</f>
        <v>411354</v>
      </c>
      <c r="Y18" s="142">
        <f>GETPIVOTDATA("Sum of NEW-Tot UG SCH Calc",'Pivot Table for Fact Book'!$A$3,"State","TX","type",10,"Type2","Two-Year")</f>
        <v>416048</v>
      </c>
      <c r="Z18" s="143">
        <f>GETPIVOTDATA("Sum of OLD-Tot UG SCH Calc",'Pivot Table for Fact Book'!$A$3,"State","TX","Type2","Two-Year")</f>
        <v>14772086</v>
      </c>
      <c r="AA18" s="143">
        <f>GETPIVOTDATA("Sum of NEW-Tot UG SCH Calc",'Pivot Table for Fact Book'!$A$3,"State","TX","Type2","Two-Year")</f>
        <v>14963912</v>
      </c>
      <c r="AB18" s="139">
        <f>+GETPIVOTDATA("Sum of OLD-Tot UG SCH Calc",'Pivot Table for Fact Book'!$A$3,"State","TX","type",12,"type2","Techncial")</f>
        <v>0</v>
      </c>
      <c r="AC18" s="142">
        <f>+GETPIVOTDATA("Sum of NEW-Tot UG SCH Calc",'Pivot Table for Fact Book'!$A$3,"State","TX","type",12,"type2","Techncial")</f>
        <v>0</v>
      </c>
      <c r="AD18" s="139">
        <f>+GETPIVOTDATA("Sum of OLD-Tot UG SCH Calc",'Pivot Table for Fact Book'!$A$3,"State","TX","type",13,"type2","Techncial")</f>
        <v>0</v>
      </c>
      <c r="AE18" s="142">
        <f>+GETPIVOTDATA("Sum of NEW-Tot UG SCH Calc",'Pivot Table for Fact Book'!$A$3,"State","TX","type",13,"type2","Techncial")</f>
        <v>0</v>
      </c>
      <c r="AF18" s="144">
        <f>+GETPIVOTDATA("Sum of OLD-Tot UG SCH Calc",'Pivot Table for Fact Book'!$A$3,"State","TX","type2","Techncial")</f>
        <v>0</v>
      </c>
      <c r="AG18" s="145">
        <f>+GETPIVOTDATA("Sum of NEW-Tot UG SCH Calc",'Pivot Table for Fact Book'!$A$3,"State","TX","type2","Techncial")</f>
        <v>0</v>
      </c>
      <c r="AH18" s="14"/>
    </row>
    <row r="19" spans="1:34">
      <c r="A19" s="275" t="s">
        <v>154</v>
      </c>
      <c r="B19" s="139">
        <f>GETPIVOTDATA("Sum of OLD-Tot UG SCH Calc",'Pivot Table for Fact Book'!$A$3,"State","VA","type",1,"Type2","Four-Year")</f>
        <v>2239653.5</v>
      </c>
      <c r="C19" s="140">
        <f>GETPIVOTDATA("Sum of NEW-Tot UG SCH Calc",'Pivot Table for Fact Book'!$A$3,"State","VA","type",1,"Type2","Four-Year")</f>
        <v>2289603</v>
      </c>
      <c r="D19" s="139">
        <f>GETPIVOTDATA("Sum of OLD-Tot UG SCH Calc",'Pivot Table for Fact Book'!$A$3,"State","VA","type",2,"Type2","Four-Year")</f>
        <v>817799</v>
      </c>
      <c r="E19" s="140">
        <f>GETPIVOTDATA("Sum of NEW-Tot UG SCH Calc",'Pivot Table for Fact Book'!$A$3,"State","VA","type",2,"Type2","Four-Year")</f>
        <v>825507.5</v>
      </c>
      <c r="F19" s="139">
        <f>GETPIVOTDATA("Sum of OLD-Tot UG SCH Calc",'Pivot Table for Fact Book'!$A$3,"State","VA","type",3,"Type2","Four-Year")</f>
        <v>667628</v>
      </c>
      <c r="G19" s="140">
        <f>GETPIVOTDATA("Sum of NEW-Tot UG SCH Calc",'Pivot Table for Fact Book'!$A$3,"State","VA","type",3,"Type2","Four-Year")</f>
        <v>694589</v>
      </c>
      <c r="H19" s="139">
        <f>GETPIVOTDATA("Sum of OLD-Tot UG SCH Calc",'Pivot Table for Fact Book'!$A$3,"State","VA","type",4,"Type2","Four-Year")</f>
        <v>512517</v>
      </c>
      <c r="I19" s="140">
        <f>GETPIVOTDATA("Sum of NEW-Tot UG SCH Calc",'Pivot Table for Fact Book'!$A$3,"State","VA","type",4,"Type2","Four-Year")</f>
        <v>542305</v>
      </c>
      <c r="J19" s="139">
        <f>GETPIVOTDATA("Sum of OLD-Tot UG SCH Calc",'Pivot Table for Fact Book'!$A$3,"State","VA","type",5,"Type2","Four-Year")</f>
        <v>264323</v>
      </c>
      <c r="K19" s="140">
        <f>GETPIVOTDATA("Sum of NEW-Tot UG SCH Calc",'Pivot Table for Fact Book'!$A$3,"State","VA","type",5,"Type2","Four-Year")</f>
        <v>253503</v>
      </c>
      <c r="L19" s="139">
        <f>GETPIVOTDATA("Sum of OLD-Tot UG SCH Calc",'Pivot Table for Fact Book'!$A$3,"State","VA","type",6,"Type2","Four-Year")</f>
        <v>50690.3</v>
      </c>
      <c r="M19" s="140">
        <f>GETPIVOTDATA("Sum of NEW-Tot UG SCH Calc",'Pivot Table for Fact Book'!$A$3,"State","VA","type",6,"Type2","Four-Year")</f>
        <v>51098</v>
      </c>
      <c r="N19" s="139">
        <f>GETPIVOTDATA("Sum of OLD-Tot UG SCH Calc",'Pivot Table for Fact Book'!$A$3,"State","VA","type",15,"Type2","Four-Year")</f>
        <v>0</v>
      </c>
      <c r="O19" s="140">
        <f>GETPIVOTDATA("Sum of NEW-Tot UG SCH Calc",'Pivot Table for Fact Book'!$A$3,"State","VA","type",15,"Type2","Four-Year")</f>
        <v>0</v>
      </c>
      <c r="P19" s="141">
        <f>GETPIVOTDATA("Sum of OLD-Tot UG SCH Calc",'Pivot Table for Fact Book'!$A$3,"State","VA","Type2","Four-Year")</f>
        <v>4552610.8</v>
      </c>
      <c r="Q19" s="141">
        <f>GETPIVOTDATA("Sum of NEW-Tot UG SCH Calc",'Pivot Table for Fact Book'!$A$3,"State","VA","Type2","Four-Year")</f>
        <v>4656605.5</v>
      </c>
      <c r="R19" s="139">
        <f>GETPIVOTDATA("Sum of OLD-Tot UG SCH Calc",'Pivot Table for Fact Book'!$A$3,"State","VA","type",7,"Type2","Two-Year")</f>
        <v>0</v>
      </c>
      <c r="S19" s="142">
        <f>GETPIVOTDATA("Sum of NEW-Tot UG SCH Calc",'Pivot Table for Fact Book'!$A$3,"State","VA","type",7,"Type2","Two-Year")</f>
        <v>0</v>
      </c>
      <c r="T19" s="142">
        <f>GETPIVOTDATA("Sum of OLD-Tot UG SCH Calc",'Pivot Table for Fact Book'!$A$3,"State","VA","type",8,"Type2","Two-Year")</f>
        <v>2108344</v>
      </c>
      <c r="U19" s="142">
        <f>GETPIVOTDATA("Sum of NEW-Tot UG SCH Calc",'Pivot Table for Fact Book'!$A$3,"State","VA","type",8,"Type2","Two-Year")</f>
        <v>2216538</v>
      </c>
      <c r="V19" s="142">
        <f>GETPIVOTDATA("Sum of OLD-Tot UG SCH Calc",'Pivot Table for Fact Book'!$A$3,"State","VA","type",9,"Type2","Two-Year")</f>
        <v>1381549</v>
      </c>
      <c r="W19" s="142">
        <f>GETPIVOTDATA("Sum of NEW-Tot UG SCH Calc",'Pivot Table for Fact Book'!$A$3,"State","VA","type",9,"Type2","Two-Year")</f>
        <v>1313749</v>
      </c>
      <c r="X19" s="142">
        <f>GETPIVOTDATA("Sum of OLD-Tot UG SCH Calc",'Pivot Table for Fact Book'!$A$3,"State","VA","type",10,"Type2","Two-Year")</f>
        <v>292921</v>
      </c>
      <c r="Y19" s="142">
        <f>GETPIVOTDATA("Sum of NEW-Tot UG SCH Calc",'Pivot Table for Fact Book'!$A$3,"State","VA","type",10,"Type2","Two-Year")</f>
        <v>378830</v>
      </c>
      <c r="Z19" s="143">
        <f>GETPIVOTDATA("Sum of OLD-Tot UG SCH Calc",'Pivot Table for Fact Book'!$A$3,"State","VA","Type2","Two-Year")</f>
        <v>3782814</v>
      </c>
      <c r="AA19" s="143">
        <f>GETPIVOTDATA("Sum of NEW-Tot UG SCH Calc",'Pivot Table for Fact Book'!$A$3,"State","VA","Type2","Two-Year")</f>
        <v>3909117</v>
      </c>
      <c r="AB19" s="139">
        <f>+GETPIVOTDATA("Sum of OLD-Tot UG SCH Calc",'Pivot Table for Fact Book'!$A$3,"State","VA","type",12,"type2","Techncial")</f>
        <v>0</v>
      </c>
      <c r="AC19" s="142">
        <f>+GETPIVOTDATA("Sum of NEW-Tot UG SCH Calc",'Pivot Table for Fact Book'!$A$3,"State","VA","type",12,"type2","Techncial")</f>
        <v>0</v>
      </c>
      <c r="AD19" s="139">
        <f>+GETPIVOTDATA("Sum of OLD-Tot UG SCH Calc",'Pivot Table for Fact Book'!$A$3,"State","VA","type",13,"type2","Techncial")</f>
        <v>0</v>
      </c>
      <c r="AE19" s="142">
        <f>+GETPIVOTDATA("Sum of NEW-Tot UG SCH Calc",'Pivot Table for Fact Book'!$A$3,"State","VA","type",13,"type2","Techncial")</f>
        <v>0</v>
      </c>
      <c r="AF19" s="144">
        <f>+GETPIVOTDATA("Sum of OLD-Tot UG SCH Calc",'Pivot Table for Fact Book'!$A$3,"State","VA","type2","Techncial")</f>
        <v>0</v>
      </c>
      <c r="AG19" s="145">
        <f>+GETPIVOTDATA("Sum of NEW-Tot UG SCH Calc",'Pivot Table for Fact Book'!$A$3,"State","VA","type2","Techncial")</f>
        <v>0</v>
      </c>
      <c r="AH19" s="14"/>
    </row>
    <row r="20" spans="1:34">
      <c r="A20" s="285" t="s">
        <v>155</v>
      </c>
      <c r="B20" s="286">
        <f>GETPIVOTDATA("Sum of OLD-Tot UG SCH Calc",'Pivot Table for Fact Book'!$A$3,"State","WV","type",1,"Type2","Four-Year")</f>
        <v>650374</v>
      </c>
      <c r="C20" s="287">
        <f>GETPIVOTDATA("Sum of NEW-Tot UG SCH Calc",'Pivot Table for Fact Book'!$A$3,"State","WV","type",1,"Type2","Four-Year")</f>
        <v>662072</v>
      </c>
      <c r="D20" s="286">
        <f>GETPIVOTDATA("Sum of OLD-Tot UG SCH Calc",'Pivot Table for Fact Book'!$A$3,"State","WV","type",2,"Type2","Four-Year")</f>
        <v>0</v>
      </c>
      <c r="E20" s="287">
        <f>GETPIVOTDATA("Sum of NEW-Tot UG SCH Calc",'Pivot Table for Fact Book'!$A$3,"State","WV","type",2,"Type2","Four-Year")</f>
        <v>0</v>
      </c>
      <c r="F20" s="286">
        <f>GETPIVOTDATA("Sum of OLD-Tot UG SCH Calc",'Pivot Table for Fact Book'!$A$3,"State","WV","type",3,"Type2","Four-Year")</f>
        <v>268026</v>
      </c>
      <c r="G20" s="287">
        <f>GETPIVOTDATA("Sum of NEW-Tot UG SCH Calc",'Pivot Table for Fact Book'!$A$3,"State","WV","type",3,"Type2","Four-Year")</f>
        <v>274112</v>
      </c>
      <c r="H20" s="286">
        <f>GETPIVOTDATA("Sum of OLD-Tot UG SCH Calc",'Pivot Table for Fact Book'!$A$3,"State","WV","type",4,"Type2","Four-Year")</f>
        <v>0</v>
      </c>
      <c r="I20" s="287">
        <f>GETPIVOTDATA("Sum of NEW-Tot UG SCH Calc",'Pivot Table for Fact Book'!$A$3,"State","WV","type",4,"Type2","Four-Year")</f>
        <v>0</v>
      </c>
      <c r="J20" s="286">
        <f>GETPIVOTDATA("Sum of OLD-Tot UG SCH Calc",'Pivot Table for Fact Book'!$A$3,"State","WV","type",5,"Type2","Four-Year")</f>
        <v>229207</v>
      </c>
      <c r="K20" s="287">
        <f>GETPIVOTDATA("Sum of NEW-Tot UG SCH Calc",'Pivot Table for Fact Book'!$A$3,"State","WV","type",5,"Type2","Four-Year")</f>
        <v>231167</v>
      </c>
      <c r="L20" s="286">
        <f>GETPIVOTDATA("Sum of OLD-Tot UG SCH Calc",'Pivot Table for Fact Book'!$A$3,"State","WV","type",6,"Type2","Four-Year")</f>
        <v>365992</v>
      </c>
      <c r="M20" s="287">
        <f>GETPIVOTDATA("Sum of NEW-Tot UG SCH Calc",'Pivot Table for Fact Book'!$A$3,"State","WV","type",6,"Type2","Four-Year")</f>
        <v>359710</v>
      </c>
      <c r="N20" s="286">
        <f>GETPIVOTDATA("Sum of OLD-Tot UG SCH Calc",'Pivot Table for Fact Book'!$A$3,"State","WV","type",15,"Type2","Four-Year")</f>
        <v>0</v>
      </c>
      <c r="O20" s="287">
        <f>GETPIVOTDATA("Sum of NEW-Tot UG SCH Calc",'Pivot Table for Fact Book'!$A$3,"State","WV","type",15,"Type2","Four-Year")</f>
        <v>0</v>
      </c>
      <c r="P20" s="288">
        <f>GETPIVOTDATA("Sum of OLD-Tot UG SCH Calc",'Pivot Table for Fact Book'!$A$3,"State","WV","Type2","Four-Year")</f>
        <v>1513599</v>
      </c>
      <c r="Q20" s="288">
        <f>GETPIVOTDATA("Sum of NEW-Tot UG SCH Calc",'Pivot Table for Fact Book'!$A$3,"State","WV","Type2","Four-Year")</f>
        <v>1527061</v>
      </c>
      <c r="R20" s="286">
        <f>GETPIVOTDATA("Sum of OLD-Tot UG SCH Calc",'Pivot Table for Fact Book'!$A$3,"State","WV","type",7,"Type2","Two-Year")</f>
        <v>149791</v>
      </c>
      <c r="S20" s="287">
        <f>GETPIVOTDATA("Sum of NEW-Tot UG SCH Calc",'Pivot Table for Fact Book'!$A$3,"State","WV","type",7,"Type2","Two-Year")</f>
        <v>148566</v>
      </c>
      <c r="T20" s="287">
        <f>GETPIVOTDATA("Sum of OLD-Tot UG SCH Calc",'Pivot Table for Fact Book'!$A$3,"State","WV","type",8,"Type2","Two-Year")</f>
        <v>0</v>
      </c>
      <c r="U20" s="287">
        <f>GETPIVOTDATA("Sum of NEW-Tot UG SCH Calc",'Pivot Table for Fact Book'!$A$3,"State","WV","type",8,"Type2","Two-Year")</f>
        <v>0</v>
      </c>
      <c r="V20" s="287">
        <f>GETPIVOTDATA("Sum of OLD-Tot UG SCH Calc",'Pivot Table for Fact Book'!$A$3,"State","WV","type",9,"Type2","Two-Year")</f>
        <v>76666</v>
      </c>
      <c r="W20" s="287">
        <f>GETPIVOTDATA("Sum of NEW-Tot UG SCH Calc",'Pivot Table for Fact Book'!$A$3,"State","WV","type",9,"Type2","Two-Year")</f>
        <v>71666</v>
      </c>
      <c r="X20" s="287">
        <f>GETPIVOTDATA("Sum of OLD-Tot UG SCH Calc",'Pivot Table for Fact Book'!$A$3,"State","WV","type",10,"Type2","Two-Year")</f>
        <v>358666</v>
      </c>
      <c r="Y20" s="287">
        <f>GETPIVOTDATA("Sum of NEW-Tot UG SCH Calc",'Pivot Table for Fact Book'!$A$3,"State","WV","type",10,"Type2","Two-Year")</f>
        <v>365478</v>
      </c>
      <c r="Z20" s="289">
        <f>GETPIVOTDATA("Sum of OLD-Tot UG SCH Calc",'Pivot Table for Fact Book'!$A$3,"State","WV","Type2","Two-Year")</f>
        <v>585123</v>
      </c>
      <c r="AA20" s="289">
        <f>GETPIVOTDATA("Sum of NEW-Tot UG SCH Calc",'Pivot Table for Fact Book'!$A$3,"State","WV","Type2","Two-Year")</f>
        <v>585710</v>
      </c>
      <c r="AB20" s="286">
        <f>+GETPIVOTDATA("Sum of OLD-Tot UG SCH Calc",'Pivot Table for Fact Book'!$A$3,"State","WV","type",12,"type2","Techncial")</f>
        <v>0</v>
      </c>
      <c r="AC20" s="287">
        <f>+GETPIVOTDATA("Sum of NEW-Tot UG SCH Calc",'Pivot Table for Fact Book'!$A$3,"State","WV","type",12,"type2","Techncial")</f>
        <v>0</v>
      </c>
      <c r="AD20" s="286">
        <f>+GETPIVOTDATA("Sum of OLD-Tot UG SCH Calc",'Pivot Table for Fact Book'!$A$3,"State","WV","type",13,"type2","Techncial")</f>
        <v>0</v>
      </c>
      <c r="AE20" s="287">
        <f>+GETPIVOTDATA("Sum of NEW-Tot UG SCH Calc",'Pivot Table for Fact Book'!$A$3,"State","WV","type",13,"type2","Techncial")</f>
        <v>0</v>
      </c>
      <c r="AF20" s="290">
        <f>+GETPIVOTDATA("Sum of OLD-Tot UG SCH Calc",'Pivot Table for Fact Book'!$A$3,"State","WV","type2","Techncial")</f>
        <v>0</v>
      </c>
      <c r="AG20" s="291">
        <f>+GETPIVOTDATA("Sum of NEW-Tot UG SCH Calc",'Pivot Table for Fact Book'!$A$3,"State","WV","type2","Techncial")</f>
        <v>0</v>
      </c>
      <c r="AH20" s="14"/>
    </row>
    <row r="21" spans="1:3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34">
      <c r="A22" s="276" t="s">
        <v>186</v>
      </c>
    </row>
    <row r="23" spans="1:34">
      <c r="B23" s="124" t="s">
        <v>182</v>
      </c>
      <c r="C23" s="125"/>
      <c r="D23" s="125"/>
      <c r="E23" s="125"/>
      <c r="F23" s="125"/>
      <c r="G23" s="125"/>
      <c r="H23" s="125"/>
      <c r="I23" s="125"/>
      <c r="J23" s="125"/>
      <c r="K23" s="125"/>
      <c r="L23" s="125"/>
      <c r="M23" s="125"/>
      <c r="N23" s="125"/>
      <c r="O23" s="125"/>
      <c r="P23" s="125"/>
      <c r="Q23" s="126"/>
      <c r="R23" s="127" t="s">
        <v>183</v>
      </c>
      <c r="S23" s="128"/>
      <c r="T23" s="128"/>
      <c r="U23" s="128"/>
      <c r="V23" s="128"/>
      <c r="W23" s="128"/>
      <c r="X23" s="128"/>
      <c r="Y23" s="128"/>
      <c r="Z23" s="128"/>
      <c r="AA23" s="129"/>
      <c r="AB23" s="130" t="s">
        <v>184</v>
      </c>
      <c r="AC23" s="131"/>
      <c r="AD23" s="131"/>
      <c r="AE23" s="131"/>
      <c r="AF23" s="131"/>
      <c r="AG23" s="131"/>
    </row>
    <row r="24" spans="1:34">
      <c r="B24" s="132">
        <v>1</v>
      </c>
      <c r="C24" s="133"/>
      <c r="D24" s="132">
        <v>2</v>
      </c>
      <c r="E24" s="133"/>
      <c r="F24" s="132">
        <v>3</v>
      </c>
      <c r="G24" s="133"/>
      <c r="H24" s="132">
        <v>4</v>
      </c>
      <c r="I24" s="133"/>
      <c r="J24" s="132">
        <v>5</v>
      </c>
      <c r="K24" s="133"/>
      <c r="L24" s="132">
        <v>6</v>
      </c>
      <c r="M24" s="133"/>
      <c r="N24" s="132">
        <v>15</v>
      </c>
      <c r="O24" s="133"/>
      <c r="P24" s="132" t="s">
        <v>185</v>
      </c>
      <c r="Q24" s="134"/>
      <c r="R24" s="135">
        <v>7</v>
      </c>
      <c r="S24" s="136"/>
      <c r="T24" s="135">
        <v>8</v>
      </c>
      <c r="U24" s="136"/>
      <c r="V24" s="135">
        <v>9</v>
      </c>
      <c r="W24" s="136"/>
      <c r="X24" s="135">
        <v>10</v>
      </c>
      <c r="Y24" s="136"/>
      <c r="Z24" s="135" t="s">
        <v>185</v>
      </c>
      <c r="AA24" s="136"/>
      <c r="AB24" s="137">
        <v>12</v>
      </c>
      <c r="AC24" s="138"/>
      <c r="AD24" s="137">
        <v>13</v>
      </c>
      <c r="AE24" s="138"/>
      <c r="AF24" s="137" t="s">
        <v>185</v>
      </c>
      <c r="AG24" s="138"/>
    </row>
    <row r="25" spans="1:34">
      <c r="B25" s="279">
        <v>2010</v>
      </c>
      <c r="C25" s="280">
        <v>2011</v>
      </c>
      <c r="D25" s="279">
        <v>2010</v>
      </c>
      <c r="E25" s="280">
        <v>2011</v>
      </c>
      <c r="F25" s="279">
        <v>2010</v>
      </c>
      <c r="G25" s="280">
        <v>2011</v>
      </c>
      <c r="H25" s="279">
        <v>2010</v>
      </c>
      <c r="I25" s="280">
        <v>2011</v>
      </c>
      <c r="J25" s="279">
        <v>2010</v>
      </c>
      <c r="K25" s="280">
        <v>2011</v>
      </c>
      <c r="L25" s="279">
        <v>2010</v>
      </c>
      <c r="M25" s="280">
        <v>2011</v>
      </c>
      <c r="N25" s="279">
        <v>2010</v>
      </c>
      <c r="O25" s="280">
        <v>2011</v>
      </c>
      <c r="P25" s="279">
        <v>2010</v>
      </c>
      <c r="Q25" s="280">
        <v>2011</v>
      </c>
      <c r="R25" s="281">
        <v>2010</v>
      </c>
      <c r="S25" s="282">
        <v>2011</v>
      </c>
      <c r="T25" s="281">
        <v>2010</v>
      </c>
      <c r="U25" s="282">
        <v>2011</v>
      </c>
      <c r="V25" s="281">
        <v>2010</v>
      </c>
      <c r="W25" s="282">
        <v>2011</v>
      </c>
      <c r="X25" s="281">
        <v>2010</v>
      </c>
      <c r="Y25" s="282">
        <v>2011</v>
      </c>
      <c r="Z25" s="281">
        <v>2010</v>
      </c>
      <c r="AA25" s="282">
        <v>2011</v>
      </c>
      <c r="AB25" s="283">
        <v>2010</v>
      </c>
      <c r="AC25" s="284">
        <v>2011</v>
      </c>
      <c r="AD25" s="283">
        <v>2010</v>
      </c>
      <c r="AE25" s="284">
        <v>2011</v>
      </c>
      <c r="AF25" s="283">
        <v>2010</v>
      </c>
      <c r="AG25" s="284">
        <v>2011</v>
      </c>
      <c r="AH25" s="14"/>
    </row>
    <row r="26" spans="1:34">
      <c r="A26" s="275" t="s">
        <v>141</v>
      </c>
      <c r="B26" s="139">
        <f>GETPIVOTDATA("Sum of Old UG E-Learning",'Pivot Table for Fact Book'!$A$3,"State","AL","type",1,"Type2","Four-Year")</f>
        <v>65970</v>
      </c>
      <c r="C26" s="140">
        <f>GETPIVOTDATA("Sum of New UG E-Learning",'Pivot Table for Fact Book'!$A$3,"State","AL","type",1,"Type2","Four-Year")</f>
        <v>79932</v>
      </c>
      <c r="D26" s="139">
        <f>GETPIVOTDATA("Sum of Old UG E-Learning",'Pivot Table for Fact Book'!$A$3,"State","AL","type",2,"Type2","Four-Year")</f>
        <v>1991</v>
      </c>
      <c r="E26" s="140">
        <f>GETPIVOTDATA("Sum of New UG E-Learning",'Pivot Table for Fact Book'!$A$3,"State","AL","type",2,"Type2","Four-Year")</f>
        <v>2542</v>
      </c>
      <c r="F26" s="139">
        <f>GETPIVOTDATA("Sum of Old UG E-Learning",'Pivot Table for Fact Book'!$A$3,"State","AL","type",3,"Type2","Four-Year")</f>
        <v>157476</v>
      </c>
      <c r="G26" s="140">
        <f>GETPIVOTDATA("Sum of New UG E-Learning",'Pivot Table for Fact Book'!$A$3,"State","AL","type",3,"Type2","Four-Year")</f>
        <v>207173</v>
      </c>
      <c r="H26" s="139">
        <f>GETPIVOTDATA("Sum of Old UG E-Learning",'Pivot Table for Fact Book'!$A$3,"State","AL","type",4,"Type2","Four-Year")</f>
        <v>40275</v>
      </c>
      <c r="I26" s="140">
        <f>GETPIVOTDATA("Sum of New UG E-Learning",'Pivot Table for Fact Book'!$A$3,"State","AL","type",4,"Type2","Four-Year")</f>
        <v>42961</v>
      </c>
      <c r="J26" s="139">
        <f>GETPIVOTDATA("Sum of Old UG E-Learning",'Pivot Table for Fact Book'!$A$3,"State","AL","type",5,"Type2","Four-Year")</f>
        <v>3794</v>
      </c>
      <c r="K26" s="140">
        <f>GETPIVOTDATA("Sum of New UG E-Learning",'Pivot Table for Fact Book'!$A$3,"State","AL","type",5,"Type2","Four-Year")</f>
        <v>5747</v>
      </c>
      <c r="L26" s="139">
        <f>GETPIVOTDATA("Sum of Old UG E-Learning",'Pivot Table for Fact Book'!$A$3,"State","AL","type",6,"Type2","Four-Year")</f>
        <v>63163</v>
      </c>
      <c r="M26" s="140">
        <f>GETPIVOTDATA("Sum of New UG E-Learning",'Pivot Table for Fact Book'!$A$3,"State","AL","type",6,"Type2","Four-Year")</f>
        <v>61157</v>
      </c>
      <c r="N26" s="139">
        <f>GETPIVOTDATA("Sum of Old UG E-Learning",'Pivot Table for Fact Book'!$A$3,"State","AL","type",15,"Type2","Four-Year")</f>
        <v>0</v>
      </c>
      <c r="O26" s="140">
        <f>GETPIVOTDATA("Sum of New UG E-Learning",'Pivot Table for Fact Book'!$A$3,"State","AL","type",15,"Type2","Four-Year")</f>
        <v>0</v>
      </c>
      <c r="P26" s="141">
        <f>GETPIVOTDATA("Sum of Old UG E-Learning",'Pivot Table for Fact Book'!$A$3,"State","AL","Type2","Four-Year")</f>
        <v>332669</v>
      </c>
      <c r="Q26" s="141">
        <f>GETPIVOTDATA("Sum of New UG E-Learning",'Pivot Table for Fact Book'!$A$3,"State","AL","Type2","Four-Year")</f>
        <v>399512</v>
      </c>
      <c r="R26" s="139">
        <f>GETPIVOTDATA("Sum of Old UG E-Learning",'Pivot Table for Fact Book'!$A$3,"State","AL","type",7,"Type2","Two-Year")</f>
        <v>0</v>
      </c>
      <c r="S26" s="142">
        <f>GETPIVOTDATA("Sum of New UG E-Learning",'Pivot Table for Fact Book'!$A$3,"State","AL","type",7,"Type2","Two-Year")</f>
        <v>0</v>
      </c>
      <c r="T26" s="142">
        <f>GETPIVOTDATA("Sum of Old UG E-Learning",'Pivot Table for Fact Book'!$A$3,"State","AL","type",8,"Type2","Two-Year")</f>
        <v>154118</v>
      </c>
      <c r="U26" s="142">
        <f>GETPIVOTDATA("Sum of New UG E-Learning",'Pivot Table for Fact Book'!$A$3,"State","AL","type",8,"Type2","Two-Year")</f>
        <v>163099</v>
      </c>
      <c r="V26" s="142">
        <f>GETPIVOTDATA("Sum of Old UG E-Learning",'Pivot Table for Fact Book'!$A$3,"State","AL","type",9,"Type2","Two-Year")</f>
        <v>163221</v>
      </c>
      <c r="W26" s="142">
        <f>GETPIVOTDATA("Sum of New UG E-Learning",'Pivot Table for Fact Book'!$A$3,"State","AL","type",9,"Type2","Two-Year")</f>
        <v>170990</v>
      </c>
      <c r="X26" s="142">
        <f>GETPIVOTDATA("Sum of Old UG E-Learning",'Pivot Table for Fact Book'!$A$3,"State","AL","type",10,"Type2","Two-Year")</f>
        <v>64844</v>
      </c>
      <c r="Y26" s="142">
        <f>GETPIVOTDATA("Sum of New UG E-Learning",'Pivot Table for Fact Book'!$A$3,"State","AL","type",10,"Type2","Two-Year")</f>
        <v>64476</v>
      </c>
      <c r="Z26" s="143">
        <f>GETPIVOTDATA("Sum of Old UG E-Learning",'Pivot Table for Fact Book'!$A$3,"State","AL","Type2","Two-Year")</f>
        <v>382183</v>
      </c>
      <c r="AA26" s="143">
        <f>GETPIVOTDATA("Sum of New UG E-Learning",'Pivot Table for Fact Book'!$A$3,"State","AL","Type2","Two-Year")</f>
        <v>398565</v>
      </c>
      <c r="AB26" s="139">
        <f>+GETPIVOTDATA("Sum of Old UG E-Learning",'Pivot Table for Fact Book'!$A$3,"State","AL","type",12,"type2","Techncial")</f>
        <v>3740</v>
      </c>
      <c r="AC26" s="142">
        <f>+GETPIVOTDATA("Sum of New UG E-Learning",'Pivot Table for Fact Book'!$A$3,"State","AL","type",12,"type2","Techncial")</f>
        <v>3402</v>
      </c>
      <c r="AD26" s="142">
        <f>+GETPIVOTDATA("Sum of Old UG E-Learning",'Pivot Table for Fact Book'!$A$3,"State","AL","type",13,"type2","Techncial")</f>
        <v>6456</v>
      </c>
      <c r="AE26" s="142">
        <f>+GETPIVOTDATA("Sum of New UG E-Learning",'Pivot Table for Fact Book'!$A$3,"State","AL","type",13,"type2","Techncial")</f>
        <v>8988</v>
      </c>
      <c r="AF26" s="145">
        <f>+GETPIVOTDATA("Sum of Old UG E-Learning",'Pivot Table for Fact Book'!$A$3,"State","AL","type2","Techncial")</f>
        <v>10196</v>
      </c>
      <c r="AG26" s="145">
        <f>+GETPIVOTDATA("Sum of New UG E-Learning",'Pivot Table for Fact Book'!$A$3,"State","AL","type2","Techncial")</f>
        <v>12390</v>
      </c>
      <c r="AH26" s="14"/>
    </row>
    <row r="27" spans="1:34">
      <c r="A27" s="275" t="s">
        <v>142</v>
      </c>
      <c r="B27" s="139">
        <f>GETPIVOTDATA("Sum of Old UG E-Learning",'Pivot Table for Fact Book'!$A$3,"State","AR","type",1,"Type2","Four-Year")</f>
        <v>15109</v>
      </c>
      <c r="C27" s="140">
        <f>GETPIVOTDATA("Sum of New UG E-Learning",'Pivot Table for Fact Book'!$A$3,"State","AR","type",1,"Type2","Four-Year")</f>
        <v>15554</v>
      </c>
      <c r="D27" s="139">
        <f>GETPIVOTDATA("Sum of Old UG E-Learning",'Pivot Table for Fact Book'!$A$3,"State","AR","type",2,"Type2","Four-Year")</f>
        <v>0</v>
      </c>
      <c r="E27" s="140">
        <f>GETPIVOTDATA("Sum of New UG E-Learning",'Pivot Table for Fact Book'!$A$3,"State","AR","type",2,"Type2","Four-Year")</f>
        <v>0</v>
      </c>
      <c r="F27" s="139">
        <f>GETPIVOTDATA("Sum of Old UG E-Learning",'Pivot Table for Fact Book'!$A$3,"State","AR","type",3,"Type2","Four-Year")</f>
        <v>118459</v>
      </c>
      <c r="G27" s="140">
        <f>GETPIVOTDATA("Sum of New UG E-Learning",'Pivot Table for Fact Book'!$A$3,"State","AR","type",3,"Type2","Four-Year")</f>
        <v>127844</v>
      </c>
      <c r="H27" s="139">
        <f>GETPIVOTDATA("Sum of Old UG E-Learning",'Pivot Table for Fact Book'!$A$3,"State","AR","type",4,"Type2","Four-Year")</f>
        <v>45687</v>
      </c>
      <c r="I27" s="140">
        <f>GETPIVOTDATA("Sum of New UG E-Learning",'Pivot Table for Fact Book'!$A$3,"State","AR","type",4,"Type2","Four-Year")</f>
        <v>55034</v>
      </c>
      <c r="J27" s="139">
        <f>GETPIVOTDATA("Sum of Old UG E-Learning",'Pivot Table for Fact Book'!$A$3,"State","AR","type",5,"Type2","Four-Year")</f>
        <v>9894</v>
      </c>
      <c r="K27" s="140">
        <f>GETPIVOTDATA("Sum of New UG E-Learning",'Pivot Table for Fact Book'!$A$3,"State","AR","type",5,"Type2","Four-Year")</f>
        <v>11817</v>
      </c>
      <c r="L27" s="139">
        <f>GETPIVOTDATA("Sum of Old UG E-Learning",'Pivot Table for Fact Book'!$A$3,"State","AR","type",6,"Type2","Four-Year")</f>
        <v>30094</v>
      </c>
      <c r="M27" s="140">
        <f>GETPIVOTDATA("Sum of New UG E-Learning",'Pivot Table for Fact Book'!$A$3,"State","AR","type",6,"Type2","Four-Year")</f>
        <v>32443</v>
      </c>
      <c r="N27" s="139">
        <f>GETPIVOTDATA("Sum of Old UG E-Learning",'Pivot Table for Fact Book'!$A$3,"State","AR","type",15,"Type2","Four-Year")</f>
        <v>0</v>
      </c>
      <c r="O27" s="140">
        <f>GETPIVOTDATA("Sum of New UG E-Learning",'Pivot Table for Fact Book'!$A$3,"State","AR","type",15,"Type2","Four-Year")</f>
        <v>0</v>
      </c>
      <c r="P27" s="141">
        <f>GETPIVOTDATA("Sum of Old UG E-Learning",'Pivot Table for Fact Book'!$A$3,"State","AR","Type2","Four-Year")</f>
        <v>219243</v>
      </c>
      <c r="Q27" s="141">
        <f>GETPIVOTDATA("Sum of New UG E-Learning",'Pivot Table for Fact Book'!$A$3,"State","AR","Type2","Four-Year")</f>
        <v>242692</v>
      </c>
      <c r="R27" s="139">
        <f>GETPIVOTDATA("Sum of Old UG E-Learning",'Pivot Table for Fact Book'!$A$3,"State","AR","type",7,"Type2","Two-Year")</f>
        <v>0</v>
      </c>
      <c r="S27" s="142">
        <f>GETPIVOTDATA("Sum of New UG E-Learning",'Pivot Table for Fact Book'!$A$3,"State","AR","type",7,"Type2","Two-Year")</f>
        <v>0</v>
      </c>
      <c r="T27" s="142">
        <f>GETPIVOTDATA("Sum of Old UG E-Learning",'Pivot Table for Fact Book'!$A$3,"State","AR","type",8,"Type2","Two-Year")</f>
        <v>112983</v>
      </c>
      <c r="U27" s="142">
        <f>GETPIVOTDATA("Sum of New UG E-Learning",'Pivot Table for Fact Book'!$A$3,"State","AR","type",8,"Type2","Two-Year")</f>
        <v>121356</v>
      </c>
      <c r="V27" s="142">
        <f>GETPIVOTDATA("Sum of Old UG E-Learning",'Pivot Table for Fact Book'!$A$3,"State","AR","type",9,"Type2","Two-Year")</f>
        <v>31542</v>
      </c>
      <c r="W27" s="142">
        <f>GETPIVOTDATA("Sum of New UG E-Learning",'Pivot Table for Fact Book'!$A$3,"State","AR","type",9,"Type2","Two-Year")</f>
        <v>34522</v>
      </c>
      <c r="X27" s="142">
        <f>GETPIVOTDATA("Sum of Old UG E-Learning",'Pivot Table for Fact Book'!$A$3,"State","AR","type",10,"Type2","Two-Year")</f>
        <v>131038</v>
      </c>
      <c r="Y27" s="142">
        <f>GETPIVOTDATA("Sum of New UG E-Learning",'Pivot Table for Fact Book'!$A$3,"State","AR","type",10,"Type2","Two-Year")</f>
        <v>138112</v>
      </c>
      <c r="Z27" s="143">
        <f>GETPIVOTDATA("Sum of Old UG E-Learning",'Pivot Table for Fact Book'!$A$3,"State","AR","Type2","Two-Year")</f>
        <v>275563</v>
      </c>
      <c r="AA27" s="143">
        <f>GETPIVOTDATA("Sum of New UG E-Learning",'Pivot Table for Fact Book'!$A$3,"State","AR","Type2","Two-Year")</f>
        <v>293990</v>
      </c>
      <c r="AB27" s="139">
        <f>+GETPIVOTDATA("Sum of Old UG E-Learning",'Pivot Table for Fact Book'!$A$3,"State","AR","type",12,"type2","Techncial")</f>
        <v>0</v>
      </c>
      <c r="AC27" s="142">
        <f>+GETPIVOTDATA("Sum of New UG E-Learning",'Pivot Table for Fact Book'!$A$3,"State","AR","type",12,"type2","Techncial")</f>
        <v>0</v>
      </c>
      <c r="AD27" s="142">
        <f>+GETPIVOTDATA("Sum of Old UG E-Learning",'Pivot Table for Fact Book'!$A$3,"State","AR","type",13,"type2","Techncial")</f>
        <v>0</v>
      </c>
      <c r="AE27" s="142">
        <f>+GETPIVOTDATA("Sum of New UG E-Learning",'Pivot Table for Fact Book'!$A$3,"State","AR","type",13,"type2","Techncial")</f>
        <v>0</v>
      </c>
      <c r="AF27" s="145">
        <f>+GETPIVOTDATA("Sum of Old UG E-Learning",'Pivot Table for Fact Book'!$A$3,"State","AR","type2","Techncial")</f>
        <v>0</v>
      </c>
      <c r="AG27" s="145">
        <f>+GETPIVOTDATA("Sum of New UG E-Learning",'Pivot Table for Fact Book'!$A$3,"State","AR","type2","Techncial")</f>
        <v>0</v>
      </c>
      <c r="AH27" s="14"/>
    </row>
    <row r="28" spans="1:34">
      <c r="A28" s="275" t="s">
        <v>143</v>
      </c>
      <c r="B28" s="139">
        <f>GETPIVOTDATA("Sum of Old UG E-Learning",'Pivot Table for Fact Book'!$A$3,"State","DE","type",1,"Type2","Four-Year")</f>
        <v>18191</v>
      </c>
      <c r="C28" s="140">
        <f>GETPIVOTDATA("Sum of New UG E-Learning",'Pivot Table for Fact Book'!$A$3,"State","DE","type",1,"Type2","Four-Year")</f>
        <v>15918</v>
      </c>
      <c r="D28" s="139">
        <f>GETPIVOTDATA("Sum of Old UG E-Learning",'Pivot Table for Fact Book'!$A$3,"State","DE","type",2,"Type2","Four-Year")</f>
        <v>0</v>
      </c>
      <c r="E28" s="140">
        <f>GETPIVOTDATA("Sum of New UG E-Learning",'Pivot Table for Fact Book'!$A$3,"State","DE","type",2,"Type2","Four-Year")</f>
        <v>0</v>
      </c>
      <c r="F28" s="139">
        <f>GETPIVOTDATA("Sum of Old UG E-Learning",'Pivot Table for Fact Book'!$A$3,"State","DE","type",3,"Type2","Four-Year")</f>
        <v>0</v>
      </c>
      <c r="G28" s="140">
        <f>GETPIVOTDATA("Sum of New UG E-Learning",'Pivot Table for Fact Book'!$A$3,"State","DE","type",3,"Type2","Four-Year")</f>
        <v>0</v>
      </c>
      <c r="H28" s="139">
        <f>GETPIVOTDATA("Sum of Old UG E-Learning",'Pivot Table for Fact Book'!$A$3,"State","DE","type",4,"Type2","Four-Year")</f>
        <v>96</v>
      </c>
      <c r="I28" s="140">
        <f>GETPIVOTDATA("Sum of New UG E-Learning",'Pivot Table for Fact Book'!$A$3,"State","DE","type",4,"Type2","Four-Year")</f>
        <v>1731</v>
      </c>
      <c r="J28" s="139">
        <f>GETPIVOTDATA("Sum of Old UG E-Learning",'Pivot Table for Fact Book'!$A$3,"State","DE","type",5,"Type2","Four-Year")</f>
        <v>0</v>
      </c>
      <c r="K28" s="140">
        <f>GETPIVOTDATA("Sum of New UG E-Learning",'Pivot Table for Fact Book'!$A$3,"State","DE","type",5,"Type2","Four-Year")</f>
        <v>0</v>
      </c>
      <c r="L28" s="139">
        <f>GETPIVOTDATA("Sum of Old UG E-Learning",'Pivot Table for Fact Book'!$A$3,"State","DE","type",6,"Type2","Four-Year")</f>
        <v>0</v>
      </c>
      <c r="M28" s="140">
        <f>GETPIVOTDATA("Sum of New UG E-Learning",'Pivot Table for Fact Book'!$A$3,"State","DE","type",6,"Type2","Four-Year")</f>
        <v>0</v>
      </c>
      <c r="N28" s="139">
        <f>GETPIVOTDATA("Sum of Old UG E-Learning",'Pivot Table for Fact Book'!$A$3,"State","DE","type",15,"Type2","Four-Year")</f>
        <v>0</v>
      </c>
      <c r="O28" s="140">
        <f>GETPIVOTDATA("Sum of New UG E-Learning",'Pivot Table for Fact Book'!$A$3,"State","DE","type",15,"Type2","Four-Year")</f>
        <v>0</v>
      </c>
      <c r="P28" s="141">
        <f>GETPIVOTDATA("Sum of Old UG E-Learning",'Pivot Table for Fact Book'!$A$3,"State","DE","Type2","Four-Year")</f>
        <v>18287</v>
      </c>
      <c r="Q28" s="141">
        <f>GETPIVOTDATA("Sum of New UG E-Learning",'Pivot Table for Fact Book'!$A$3,"State","DE","Type2","Four-Year")</f>
        <v>17649</v>
      </c>
      <c r="R28" s="139">
        <f>GETPIVOTDATA("Sum of Old UG E-Learning",'Pivot Table for Fact Book'!$A$3,"State","DE","type",7,"Type2","Two-Year")</f>
        <v>0</v>
      </c>
      <c r="S28" s="142">
        <f>GETPIVOTDATA("Sum of New UG E-Learning",'Pivot Table for Fact Book'!$A$3,"State","DE","type",7,"Type2","Two-Year")</f>
        <v>0</v>
      </c>
      <c r="T28" s="142">
        <f>GETPIVOTDATA("Sum of Old UG E-Learning",'Pivot Table for Fact Book'!$A$3,"State","DE","type",8,"Type2","Two-Year")</f>
        <v>16805</v>
      </c>
      <c r="U28" s="142">
        <f>GETPIVOTDATA("Sum of New UG E-Learning",'Pivot Table for Fact Book'!$A$3,"State","DE","type",8,"Type2","Two-Year")</f>
        <v>20973</v>
      </c>
      <c r="V28" s="142">
        <f>GETPIVOTDATA("Sum of Old UG E-Learning",'Pivot Table for Fact Book'!$A$3,"State","DE","type",9,"Type2","Two-Year")</f>
        <v>30623</v>
      </c>
      <c r="W28" s="142">
        <f>GETPIVOTDATA("Sum of New UG E-Learning",'Pivot Table for Fact Book'!$A$3,"State","DE","type",9,"Type2","Two-Year")</f>
        <v>34033</v>
      </c>
      <c r="X28" s="142">
        <f>GETPIVOTDATA("Sum of Old UG E-Learning",'Pivot Table for Fact Book'!$A$3,"State","DE","type",10,"Type2","Two-Year")</f>
        <v>0</v>
      </c>
      <c r="Y28" s="142">
        <f>GETPIVOTDATA("Sum of New UG E-Learning",'Pivot Table for Fact Book'!$A$3,"State","DE","type",10,"Type2","Two-Year")</f>
        <v>0</v>
      </c>
      <c r="Z28" s="143">
        <f>GETPIVOTDATA("Sum of Old UG E-Learning",'Pivot Table for Fact Book'!$A$3,"State","DE","Type2","Two-Year")</f>
        <v>47428</v>
      </c>
      <c r="AA28" s="143">
        <f>GETPIVOTDATA("Sum of New UG E-Learning",'Pivot Table for Fact Book'!$A$3,"State","DE","Type2","Two-Year")</f>
        <v>55006</v>
      </c>
      <c r="AB28" s="139">
        <f>+GETPIVOTDATA("Sum of Old UG E-Learning",'Pivot Table for Fact Book'!$A$3,"State","DE","type",12,"type2","Techncial")</f>
        <v>0</v>
      </c>
      <c r="AC28" s="142">
        <f>+GETPIVOTDATA("Sum of New UG E-Learning",'Pivot Table for Fact Book'!$A$3,"State","DE","type",12,"type2","Techncial")</f>
        <v>0</v>
      </c>
      <c r="AD28" s="142">
        <f>+GETPIVOTDATA("Sum of Old UG E-Learning",'Pivot Table for Fact Book'!$A$3,"State","DE","type",13,"type2","Techncial")</f>
        <v>0</v>
      </c>
      <c r="AE28" s="142">
        <f>+GETPIVOTDATA("Sum of New UG E-Learning",'Pivot Table for Fact Book'!$A$3,"State","DE","type",13,"type2","Techncial")</f>
        <v>0</v>
      </c>
      <c r="AF28" s="145">
        <f>+GETPIVOTDATA("Sum of Old UG E-Learning",'Pivot Table for Fact Book'!$A$3,"State","DE","type2","Techncial")</f>
        <v>0</v>
      </c>
      <c r="AG28" s="145">
        <f>+GETPIVOTDATA("Sum of New UG E-Learning",'Pivot Table for Fact Book'!$A$3,"State","DE","type2","Techncial")</f>
        <v>0</v>
      </c>
      <c r="AH28" s="14"/>
    </row>
    <row r="29" spans="1:34">
      <c r="A29" s="275" t="s">
        <v>144</v>
      </c>
      <c r="B29" s="139">
        <f>GETPIVOTDATA("Sum of Old UG E-Learning",'Pivot Table for Fact Book'!$A$3,"State","FL","type",1,"Type2","Four-Year")</f>
        <v>999740</v>
      </c>
      <c r="C29" s="140">
        <f>GETPIVOTDATA("Sum of New UG E-Learning",'Pivot Table for Fact Book'!$A$3,"State","FL","type",1,"Type2","Four-Year")</f>
        <v>1073681</v>
      </c>
      <c r="D29" s="139">
        <f>GETPIVOTDATA("Sum of Old UG E-Learning",'Pivot Table for Fact Book'!$A$3,"State","FL","type",2,"Type2","Four-Year")</f>
        <v>37041</v>
      </c>
      <c r="E29" s="140">
        <f>GETPIVOTDATA("Sum of New UG E-Learning",'Pivot Table for Fact Book'!$A$3,"State","FL","type",2,"Type2","Four-Year")</f>
        <v>44769</v>
      </c>
      <c r="F29" s="139">
        <f>GETPIVOTDATA("Sum of Old UG E-Learning",'Pivot Table for Fact Book'!$A$3,"State","FL","type",3,"Type2","Four-Year")</f>
        <v>130797</v>
      </c>
      <c r="G29" s="140">
        <f>GETPIVOTDATA("Sum of New UG E-Learning",'Pivot Table for Fact Book'!$A$3,"State","FL","type",3,"Type2","Four-Year")</f>
        <v>142670</v>
      </c>
      <c r="H29" s="139">
        <f>GETPIVOTDATA("Sum of Old UG E-Learning",'Pivot Table for Fact Book'!$A$3,"State","FL","type",4,"Type2","Four-Year")</f>
        <v>51796</v>
      </c>
      <c r="I29" s="140">
        <f>GETPIVOTDATA("Sum of New UG E-Learning",'Pivot Table for Fact Book'!$A$3,"State","FL","type",4,"Type2","Four-Year")</f>
        <v>50153</v>
      </c>
      <c r="J29" s="139">
        <f>GETPIVOTDATA("Sum of Old UG E-Learning",'Pivot Table for Fact Book'!$A$3,"State","FL","type",5,"Type2","Four-Year")</f>
        <v>0</v>
      </c>
      <c r="K29" s="140">
        <f>GETPIVOTDATA("Sum of New UG E-Learning",'Pivot Table for Fact Book'!$A$3,"State","FL","type",5,"Type2","Four-Year")</f>
        <v>0</v>
      </c>
      <c r="L29" s="139">
        <f>GETPIVOTDATA("Sum of Old UG E-Learning",'Pivot Table for Fact Book'!$A$3,"State","FL","type",6,"Type2","Four-Year")</f>
        <v>0</v>
      </c>
      <c r="M29" s="140">
        <f>GETPIVOTDATA("Sum of New UG E-Learning",'Pivot Table for Fact Book'!$A$3,"State","FL","type",6,"Type2","Four-Year")</f>
        <v>0</v>
      </c>
      <c r="N29" s="139">
        <f>GETPIVOTDATA("Sum of Old UG E-Learning",'Pivot Table for Fact Book'!$A$3,"State","FL","type",15,"Type2","Four-Year")</f>
        <v>0</v>
      </c>
      <c r="O29" s="140">
        <f>GETPIVOTDATA("Sum of New UG E-Learning",'Pivot Table for Fact Book'!$A$3,"State","FL","type",15,"Type2","Four-Year")</f>
        <v>0</v>
      </c>
      <c r="P29" s="141">
        <f>GETPIVOTDATA("Sum of Old UG E-Learning",'Pivot Table for Fact Book'!$A$3,"State","FL","Type2","Four-Year")</f>
        <v>1219374</v>
      </c>
      <c r="Q29" s="141">
        <f>GETPIVOTDATA("Sum of New UG E-Learning",'Pivot Table for Fact Book'!$A$3,"State","FL","Type2","Four-Year")</f>
        <v>1311273</v>
      </c>
      <c r="R29" s="139">
        <f>GETPIVOTDATA("Sum of Old UG E-Learning",'Pivot Table for Fact Book'!$A$3,"State","FL","type",7,"Type2","Two-Year")</f>
        <v>960466</v>
      </c>
      <c r="S29" s="142">
        <f>GETPIVOTDATA("Sum of New UG E-Learning",'Pivot Table for Fact Book'!$A$3,"State","FL","type",7,"Type2","Two-Year")</f>
        <v>1358258</v>
      </c>
      <c r="T29" s="142">
        <f>GETPIVOTDATA("Sum of Old UG E-Learning",'Pivot Table for Fact Book'!$A$3,"State","FL","type",8,"Type2","Two-Year")</f>
        <v>1176144</v>
      </c>
      <c r="U29" s="142">
        <f>GETPIVOTDATA("Sum of New UG E-Learning",'Pivot Table for Fact Book'!$A$3,"State","FL","type",8,"Type2","Two-Year")</f>
        <v>1508168</v>
      </c>
      <c r="V29" s="142">
        <f>GETPIVOTDATA("Sum of Old UG E-Learning",'Pivot Table for Fact Book'!$A$3,"State","FL","type",9,"Type2","Two-Year")</f>
        <v>136382</v>
      </c>
      <c r="W29" s="142">
        <f>GETPIVOTDATA("Sum of New UG E-Learning",'Pivot Table for Fact Book'!$A$3,"State","FL","type",9,"Type2","Two-Year")</f>
        <v>153018</v>
      </c>
      <c r="X29" s="142">
        <f>GETPIVOTDATA("Sum of Old UG E-Learning",'Pivot Table for Fact Book'!$A$3,"State","FL","type",10,"Type2","Two-Year")</f>
        <v>15826</v>
      </c>
      <c r="Y29" s="142">
        <f>GETPIVOTDATA("Sum of New UG E-Learning",'Pivot Table for Fact Book'!$A$3,"State","FL","type",10,"Type2","Two-Year")</f>
        <v>31007</v>
      </c>
      <c r="Z29" s="143">
        <f>GETPIVOTDATA("Sum of Old UG E-Learning",'Pivot Table for Fact Book'!$A$3,"State","FL","Type2","Two-Year")</f>
        <v>2288818</v>
      </c>
      <c r="AA29" s="143">
        <f>GETPIVOTDATA("Sum of New UG E-Learning",'Pivot Table for Fact Book'!$A$3,"State","FL","Type2","Two-Year")</f>
        <v>3050451</v>
      </c>
      <c r="AB29" s="139">
        <f>+GETPIVOTDATA("Sum of Old UG E-Learning",'Pivot Table for Fact Book'!$A$3,"State","FL","type",12,"type2","Techncial")</f>
        <v>0</v>
      </c>
      <c r="AC29" s="142">
        <f>+GETPIVOTDATA("Sum of New UG E-Learning",'Pivot Table for Fact Book'!$A$3,"State","FL","type",12,"type2","Techncial")</f>
        <v>0</v>
      </c>
      <c r="AD29" s="142">
        <f>+GETPIVOTDATA("Sum of Old UG E-Learning",'Pivot Table for Fact Book'!$A$3,"State","FL","type",13,"type2","Techncial")</f>
        <v>0</v>
      </c>
      <c r="AE29" s="142">
        <f>+GETPIVOTDATA("Sum of New UG E-Learning",'Pivot Table for Fact Book'!$A$3,"State","FL","type",13,"type2","Techncial")</f>
        <v>0</v>
      </c>
      <c r="AF29" s="145">
        <f>+GETPIVOTDATA("Sum of Old UG E-Learning",'Pivot Table for Fact Book'!$A$3,"State","FL","type2","Techncial")</f>
        <v>0</v>
      </c>
      <c r="AG29" s="145">
        <f>+GETPIVOTDATA("Sum of New UG E-Learning",'Pivot Table for Fact Book'!$A$3,"State","FL","type2","Techncial")</f>
        <v>0</v>
      </c>
      <c r="AH29" s="14"/>
    </row>
    <row r="30" spans="1:34">
      <c r="A30" s="275" t="s">
        <v>145</v>
      </c>
      <c r="B30" s="139">
        <f>GETPIVOTDATA("Sum of Old UG E-Learning",'Pivot Table for Fact Book'!$A$3,"State","GA","type",1,"Type2","Four-Year")</f>
        <v>0</v>
      </c>
      <c r="C30" s="140">
        <f>GETPIVOTDATA("Sum of New UG E-Learning",'Pivot Table for Fact Book'!$A$3,"State","GA","type",1,"Type2","Four-Year")</f>
        <v>0</v>
      </c>
      <c r="D30" s="139">
        <f>GETPIVOTDATA("Sum of Old UG E-Learning",'Pivot Table for Fact Book'!$A$3,"State","GA","type",2,"Type2","Four-Year")</f>
        <v>0</v>
      </c>
      <c r="E30" s="140">
        <f>GETPIVOTDATA("Sum of New UG E-Learning",'Pivot Table for Fact Book'!$A$3,"State","GA","type",2,"Type2","Four-Year")</f>
        <v>0</v>
      </c>
      <c r="F30" s="139">
        <f>GETPIVOTDATA("Sum of Old UG E-Learning",'Pivot Table for Fact Book'!$A$3,"State","GA","type",3,"Type2","Four-Year")</f>
        <v>0</v>
      </c>
      <c r="G30" s="140">
        <f>GETPIVOTDATA("Sum of New UG E-Learning",'Pivot Table for Fact Book'!$A$3,"State","GA","type",3,"Type2","Four-Year")</f>
        <v>0</v>
      </c>
      <c r="H30" s="139">
        <f>GETPIVOTDATA("Sum of Old UG E-Learning",'Pivot Table for Fact Book'!$A$3,"State","GA","type",4,"Type2","Four-Year")</f>
        <v>0</v>
      </c>
      <c r="I30" s="140">
        <f>GETPIVOTDATA("Sum of New UG E-Learning",'Pivot Table for Fact Book'!$A$3,"State","GA","type",4,"Type2","Four-Year")</f>
        <v>0</v>
      </c>
      <c r="J30" s="139">
        <f>GETPIVOTDATA("Sum of Old UG E-Learning",'Pivot Table for Fact Book'!$A$3,"State","GA","type",5,"Type2","Four-Year")</f>
        <v>0</v>
      </c>
      <c r="K30" s="140">
        <f>GETPIVOTDATA("Sum of New UG E-Learning",'Pivot Table for Fact Book'!$A$3,"State","GA","type",5,"Type2","Four-Year")</f>
        <v>0</v>
      </c>
      <c r="L30" s="139">
        <f>GETPIVOTDATA("Sum of Old UG E-Learning",'Pivot Table for Fact Book'!$A$3,"State","GA","type",6,"Type2","Four-Year")</f>
        <v>0</v>
      </c>
      <c r="M30" s="140">
        <f>GETPIVOTDATA("Sum of New UG E-Learning",'Pivot Table for Fact Book'!$A$3,"State","GA","type",6,"Type2","Four-Year")</f>
        <v>0</v>
      </c>
      <c r="N30" s="139">
        <f>GETPIVOTDATA("Sum of Old UG E-Learning",'Pivot Table for Fact Book'!$A$3,"State","GA","type",15,"Type2","Four-Year")</f>
        <v>0</v>
      </c>
      <c r="O30" s="140">
        <f>GETPIVOTDATA("Sum of New UG E-Learning",'Pivot Table for Fact Book'!$A$3,"State","GA","type",15,"Type2","Four-Year")</f>
        <v>0</v>
      </c>
      <c r="P30" s="141">
        <f>GETPIVOTDATA("Sum of Old UG E-Learning",'Pivot Table for Fact Book'!$A$3,"State","GA","Type2","Four-Year")</f>
        <v>0</v>
      </c>
      <c r="Q30" s="141">
        <f>GETPIVOTDATA("Sum of New UG E-Learning",'Pivot Table for Fact Book'!$A$3,"State","GA","Type2","Four-Year")</f>
        <v>0</v>
      </c>
      <c r="R30" s="139">
        <f>GETPIVOTDATA("Sum of Old UG E-Learning",'Pivot Table for Fact Book'!$A$3,"State","GA","type",7,"Type2","Two-Year")</f>
        <v>0</v>
      </c>
      <c r="S30" s="142">
        <f>GETPIVOTDATA("Sum of New UG E-Learning",'Pivot Table for Fact Book'!$A$3,"State","GA","type",7,"Type2","Two-Year")</f>
        <v>0</v>
      </c>
      <c r="T30" s="142">
        <f>GETPIVOTDATA("Sum of Old UG E-Learning",'Pivot Table for Fact Book'!$A$3,"State","GA","type",8,"Type2","Two-Year")</f>
        <v>0</v>
      </c>
      <c r="U30" s="142">
        <f>GETPIVOTDATA("Sum of New UG E-Learning",'Pivot Table for Fact Book'!$A$3,"State","GA","type",8,"Type2","Two-Year")</f>
        <v>0</v>
      </c>
      <c r="V30" s="142">
        <f>GETPIVOTDATA("Sum of Old UG E-Learning",'Pivot Table for Fact Book'!$A$3,"State","GA","type",9,"Type2","Two-Year")</f>
        <v>0</v>
      </c>
      <c r="W30" s="142">
        <f>GETPIVOTDATA("Sum of New UG E-Learning",'Pivot Table for Fact Book'!$A$3,"State","GA","type",9,"Type2","Two-Year")</f>
        <v>0</v>
      </c>
      <c r="X30" s="142">
        <f>GETPIVOTDATA("Sum of Old UG E-Learning",'Pivot Table for Fact Book'!$A$3,"State","GA","type",10,"Type2","Two-Year")</f>
        <v>0</v>
      </c>
      <c r="Y30" s="142">
        <f>GETPIVOTDATA("Sum of New UG E-Learning",'Pivot Table for Fact Book'!$A$3,"State","GA","type",10,"Type2","Two-Year")</f>
        <v>0</v>
      </c>
      <c r="Z30" s="143">
        <f>GETPIVOTDATA("Sum of Old UG E-Learning",'Pivot Table for Fact Book'!$A$3,"State","GA","Type2","Two-Year")</f>
        <v>0</v>
      </c>
      <c r="AA30" s="143">
        <f>GETPIVOTDATA("Sum of New UG E-Learning",'Pivot Table for Fact Book'!$A$3,"State","GA","Type2","Two-Year")</f>
        <v>0</v>
      </c>
      <c r="AB30" s="139">
        <f>+GETPIVOTDATA("Sum of Old UG E-Learning",'Pivot Table for Fact Book'!$A$3,"State","GA","type",12,"type2","Techncial")</f>
        <v>617566.21010000014</v>
      </c>
      <c r="AC30" s="142">
        <f>+GETPIVOTDATA("Sum of New UG E-Learning",'Pivot Table for Fact Book'!$A$3,"State","GA","type",12,"type2","Techncial")</f>
        <v>651259.60000000009</v>
      </c>
      <c r="AD30" s="142">
        <f>+GETPIVOTDATA("Sum of Old UG E-Learning",'Pivot Table for Fact Book'!$A$3,"State","GA","type",13,"type2","Techncial")</f>
        <v>0</v>
      </c>
      <c r="AE30" s="142">
        <f>+GETPIVOTDATA("Sum of New UG E-Learning",'Pivot Table for Fact Book'!$A$3,"State","GA","type",13,"type2","Techncial")</f>
        <v>0</v>
      </c>
      <c r="AF30" s="145">
        <f>+GETPIVOTDATA("Sum of Old UG E-Learning",'Pivot Table for Fact Book'!$A$3,"State","GA","type2","Techncial")</f>
        <v>617566.21010000014</v>
      </c>
      <c r="AG30" s="145">
        <f>+GETPIVOTDATA("Sum of New UG E-Learning",'Pivot Table for Fact Book'!$A$3,"State","GA","type2","Techncial")</f>
        <v>651259.60000000009</v>
      </c>
      <c r="AH30" s="14"/>
    </row>
    <row r="31" spans="1:34">
      <c r="A31" s="275" t="s">
        <v>146</v>
      </c>
      <c r="B31" s="139">
        <f>GETPIVOTDATA("Sum of Old UG E-Learning",'Pivot Table for Fact Book'!$A$3,"State","KY","type",1,"Type2","Four-Year")</f>
        <v>40145</v>
      </c>
      <c r="C31" s="140">
        <f>GETPIVOTDATA("Sum of New UG E-Learning",'Pivot Table for Fact Book'!$A$3,"State","KY","type",1,"Type2","Four-Year")</f>
        <v>49583</v>
      </c>
      <c r="D31" s="139">
        <f>GETPIVOTDATA("Sum of Old UG E-Learning",'Pivot Table for Fact Book'!$A$3,"State","KY","type",2,"Type2","Four-Year")</f>
        <v>0</v>
      </c>
      <c r="E31" s="140">
        <f>GETPIVOTDATA("Sum of New UG E-Learning",'Pivot Table for Fact Book'!$A$3,"State","KY","type",2,"Type2","Four-Year")</f>
        <v>0</v>
      </c>
      <c r="F31" s="139">
        <f>GETPIVOTDATA("Sum of Old UG E-Learning",'Pivot Table for Fact Book'!$A$3,"State","KY","type",3,"Type2","Four-Year")</f>
        <v>180189</v>
      </c>
      <c r="G31" s="140">
        <f>GETPIVOTDATA("Sum of New UG E-Learning",'Pivot Table for Fact Book'!$A$3,"State","KY","type",3,"Type2","Four-Year")</f>
        <v>185952.5</v>
      </c>
      <c r="H31" s="139">
        <f>GETPIVOTDATA("Sum of Old UG E-Learning",'Pivot Table for Fact Book'!$A$3,"State","KY","type",4,"Type2","Four-Year")</f>
        <v>40337</v>
      </c>
      <c r="I31" s="140">
        <f>GETPIVOTDATA("Sum of New UG E-Learning",'Pivot Table for Fact Book'!$A$3,"State","KY","type",4,"Type2","Four-Year")</f>
        <v>51128</v>
      </c>
      <c r="J31" s="139">
        <f>GETPIVOTDATA("Sum of Old UG E-Learning",'Pivot Table for Fact Book'!$A$3,"State","KY","type",5,"Type2","Four-Year")</f>
        <v>0</v>
      </c>
      <c r="K31" s="140">
        <f>GETPIVOTDATA("Sum of New UG E-Learning",'Pivot Table for Fact Book'!$A$3,"State","KY","type",5,"Type2","Four-Year")</f>
        <v>0</v>
      </c>
      <c r="L31" s="139">
        <f>GETPIVOTDATA("Sum of Old UG E-Learning",'Pivot Table for Fact Book'!$A$3,"State","KY","type",6,"Type2","Four-Year")</f>
        <v>0</v>
      </c>
      <c r="M31" s="140">
        <f>GETPIVOTDATA("Sum of New UG E-Learning",'Pivot Table for Fact Book'!$A$3,"State","KY","type",6,"Type2","Four-Year")</f>
        <v>0</v>
      </c>
      <c r="N31" s="139">
        <f>GETPIVOTDATA("Sum of Old UG E-Learning",'Pivot Table for Fact Book'!$A$3,"State","KY","type",15,"Type2","Four-Year")</f>
        <v>0</v>
      </c>
      <c r="O31" s="140">
        <f>GETPIVOTDATA("Sum of New UG E-Learning",'Pivot Table for Fact Book'!$A$3,"State","KY","type",15,"Type2","Four-Year")</f>
        <v>0</v>
      </c>
      <c r="P31" s="141">
        <f>GETPIVOTDATA("Sum of Old UG E-Learning",'Pivot Table for Fact Book'!$A$3,"State","KY","Type2","Four-Year")</f>
        <v>260671</v>
      </c>
      <c r="Q31" s="141">
        <f>GETPIVOTDATA("Sum of New UG E-Learning",'Pivot Table for Fact Book'!$A$3,"State","KY","Type2","Four-Year")</f>
        <v>286663.5</v>
      </c>
      <c r="R31" s="139">
        <f>GETPIVOTDATA("Sum of Old UG E-Learning",'Pivot Table for Fact Book'!$A$3,"State","KY","type",7,"Type2","Two-Year")</f>
        <v>0</v>
      </c>
      <c r="S31" s="142">
        <f>GETPIVOTDATA("Sum of New UG E-Learning",'Pivot Table for Fact Book'!$A$3,"State","KY","type",7,"Type2","Two-Year")</f>
        <v>0</v>
      </c>
      <c r="T31" s="142">
        <f>GETPIVOTDATA("Sum of Old UG E-Learning",'Pivot Table for Fact Book'!$A$3,"State","KY","type",8,"Type2","Two-Year")</f>
        <v>118920</v>
      </c>
      <c r="U31" s="142">
        <f>GETPIVOTDATA("Sum of New UG E-Learning",'Pivot Table for Fact Book'!$A$3,"State","KY","type",8,"Type2","Two-Year")</f>
        <v>132797</v>
      </c>
      <c r="V31" s="142">
        <f>GETPIVOTDATA("Sum of Old UG E-Learning",'Pivot Table for Fact Book'!$A$3,"State","KY","type",9,"Type2","Two-Year")</f>
        <v>290137</v>
      </c>
      <c r="W31" s="142">
        <f>GETPIVOTDATA("Sum of New UG E-Learning",'Pivot Table for Fact Book'!$A$3,"State","KY","type",9,"Type2","Two-Year")</f>
        <v>321016</v>
      </c>
      <c r="X31" s="142">
        <f>GETPIVOTDATA("Sum of Old UG E-Learning",'Pivot Table for Fact Book'!$A$3,"State","KY","type",10,"Type2","Two-Year")</f>
        <v>36121</v>
      </c>
      <c r="Y31" s="142">
        <f>GETPIVOTDATA("Sum of New UG E-Learning",'Pivot Table for Fact Book'!$A$3,"State","KY","type",10,"Type2","Two-Year")</f>
        <v>41111</v>
      </c>
      <c r="Z31" s="143">
        <f>GETPIVOTDATA("Sum of Old UG E-Learning",'Pivot Table for Fact Book'!$A$3,"State","KY","Type2","Two-Year")</f>
        <v>445178</v>
      </c>
      <c r="AA31" s="143">
        <f>GETPIVOTDATA("Sum of New UG E-Learning",'Pivot Table for Fact Book'!$A$3,"State","KY","Type2","Two-Year")</f>
        <v>494924</v>
      </c>
      <c r="AB31" s="139">
        <f>+GETPIVOTDATA("Sum of Old UG E-Learning",'Pivot Table for Fact Book'!$A$3,"State","KY","type",12,"type2","Techncial")</f>
        <v>10371</v>
      </c>
      <c r="AC31" s="142">
        <f>+GETPIVOTDATA("Sum of New UG E-Learning",'Pivot Table for Fact Book'!$A$3,"State","KY","type",12,"type2","Techncial")</f>
        <v>14730</v>
      </c>
      <c r="AD31" s="142">
        <f>+GETPIVOTDATA("Sum of Old UG E-Learning",'Pivot Table for Fact Book'!$A$3,"State","KY","type",13,"type2","Techncial")</f>
        <v>0</v>
      </c>
      <c r="AE31" s="142">
        <f>+GETPIVOTDATA("Sum of New UG E-Learning",'Pivot Table for Fact Book'!$A$3,"State","KY","type",13,"type2","Techncial")</f>
        <v>0</v>
      </c>
      <c r="AF31" s="145">
        <f>+GETPIVOTDATA("Sum of Old UG E-Learning",'Pivot Table for Fact Book'!$A$3,"State","KY","type2","Techncial")</f>
        <v>10371</v>
      </c>
      <c r="AG31" s="145">
        <f>+GETPIVOTDATA("Sum of New UG E-Learning",'Pivot Table for Fact Book'!$A$3,"State","KY","type2","Techncial")</f>
        <v>14730</v>
      </c>
      <c r="AH31" s="14"/>
    </row>
    <row r="32" spans="1:34">
      <c r="A32" s="275" t="s">
        <v>147</v>
      </c>
      <c r="B32" s="139">
        <f>GETPIVOTDATA("Sum of Old UG E-Learning",'Pivot Table for Fact Book'!$A$3,"State","LA","type",1,"Type2","Four-Year")</f>
        <v>0</v>
      </c>
      <c r="C32" s="140">
        <f>GETPIVOTDATA("Sum of New UG E-Learning",'Pivot Table for Fact Book'!$A$3,"State","LA","type",1,"Type2","Four-Year")</f>
        <v>0</v>
      </c>
      <c r="D32" s="139">
        <f>GETPIVOTDATA("Sum of Old UG E-Learning",'Pivot Table for Fact Book'!$A$3,"State","LA","type",2,"Type2","Four-Year")</f>
        <v>0</v>
      </c>
      <c r="E32" s="140">
        <f>GETPIVOTDATA("Sum of New UG E-Learning",'Pivot Table for Fact Book'!$A$3,"State","LA","type",2,"Type2","Four-Year")</f>
        <v>0</v>
      </c>
      <c r="F32" s="139">
        <f>GETPIVOTDATA("Sum of Old UG E-Learning",'Pivot Table for Fact Book'!$A$3,"State","LA","type",3,"Type2","Four-Year")</f>
        <v>0</v>
      </c>
      <c r="G32" s="140">
        <f>GETPIVOTDATA("Sum of New UG E-Learning",'Pivot Table for Fact Book'!$A$3,"State","LA","type",3,"Type2","Four-Year")</f>
        <v>0</v>
      </c>
      <c r="H32" s="139">
        <f>GETPIVOTDATA("Sum of Old UG E-Learning",'Pivot Table for Fact Book'!$A$3,"State","LA","type",4,"Type2","Four-Year")</f>
        <v>0</v>
      </c>
      <c r="I32" s="140">
        <f>GETPIVOTDATA("Sum of New UG E-Learning",'Pivot Table for Fact Book'!$A$3,"State","LA","type",4,"Type2","Four-Year")</f>
        <v>0</v>
      </c>
      <c r="J32" s="139">
        <f>GETPIVOTDATA("Sum of Old UG E-Learning",'Pivot Table for Fact Book'!$A$3,"State","LA","type",5,"Type2","Four-Year")</f>
        <v>0</v>
      </c>
      <c r="K32" s="140">
        <f>GETPIVOTDATA("Sum of New UG E-Learning",'Pivot Table for Fact Book'!$A$3,"State","LA","type",5,"Type2","Four-Year")</f>
        <v>0</v>
      </c>
      <c r="L32" s="139">
        <f>GETPIVOTDATA("Sum of Old UG E-Learning",'Pivot Table for Fact Book'!$A$3,"State","LA","type",6,"Type2","Four-Year")</f>
        <v>0</v>
      </c>
      <c r="M32" s="140">
        <f>GETPIVOTDATA("Sum of New UG E-Learning",'Pivot Table for Fact Book'!$A$3,"State","LA","type",6,"Type2","Four-Year")</f>
        <v>0</v>
      </c>
      <c r="N32" s="139">
        <f>GETPIVOTDATA("Sum of Old UG E-Learning",'Pivot Table for Fact Book'!$A$3,"State","LA","type",15,"Type2","Four-Year")</f>
        <v>0</v>
      </c>
      <c r="O32" s="140">
        <f>GETPIVOTDATA("Sum of New UG E-Learning",'Pivot Table for Fact Book'!$A$3,"State","LA","type",15,"Type2","Four-Year")</f>
        <v>0</v>
      </c>
      <c r="P32" s="141">
        <f>GETPIVOTDATA("Sum of Old UG E-Learning",'Pivot Table for Fact Book'!$A$3,"State","LA","Type2","Four-Year")</f>
        <v>0</v>
      </c>
      <c r="Q32" s="141">
        <f>GETPIVOTDATA("Sum of New UG E-Learning",'Pivot Table for Fact Book'!$A$3,"State","LA","Type2","Four-Year")</f>
        <v>0</v>
      </c>
      <c r="R32" s="139">
        <f>GETPIVOTDATA("Sum of Old UG E-Learning",'Pivot Table for Fact Book'!$A$3,"State","LA","type",7,"Type2","Two-Year")</f>
        <v>0</v>
      </c>
      <c r="S32" s="142">
        <f>GETPIVOTDATA("Sum of New UG E-Learning",'Pivot Table for Fact Book'!$A$3,"State","LA","type",7,"Type2","Two-Year")</f>
        <v>0</v>
      </c>
      <c r="T32" s="142">
        <f>GETPIVOTDATA("Sum of Old UG E-Learning",'Pivot Table for Fact Book'!$A$3,"State","LA","type",8,"Type2","Two-Year")</f>
        <v>0</v>
      </c>
      <c r="U32" s="142">
        <f>GETPIVOTDATA("Sum of New UG E-Learning",'Pivot Table for Fact Book'!$A$3,"State","LA","type",8,"Type2","Two-Year")</f>
        <v>0</v>
      </c>
      <c r="V32" s="142">
        <f>GETPIVOTDATA("Sum of Old UG E-Learning",'Pivot Table for Fact Book'!$A$3,"State","LA","type",9,"Type2","Two-Year")</f>
        <v>0</v>
      </c>
      <c r="W32" s="142">
        <f>GETPIVOTDATA("Sum of New UG E-Learning",'Pivot Table for Fact Book'!$A$3,"State","LA","type",9,"Type2","Two-Year")</f>
        <v>0</v>
      </c>
      <c r="X32" s="142">
        <f>GETPIVOTDATA("Sum of Old UG E-Learning",'Pivot Table for Fact Book'!$A$3,"State","LA","type",10,"Type2","Two-Year")</f>
        <v>0</v>
      </c>
      <c r="Y32" s="142">
        <f>GETPIVOTDATA("Sum of New UG E-Learning",'Pivot Table for Fact Book'!$A$3,"State","LA","type",10,"Type2","Two-Year")</f>
        <v>0</v>
      </c>
      <c r="Z32" s="143">
        <f>GETPIVOTDATA("Sum of Old UG E-Learning",'Pivot Table for Fact Book'!$A$3,"State","LA","Type2","Two-Year")</f>
        <v>0</v>
      </c>
      <c r="AA32" s="143">
        <f>GETPIVOTDATA("Sum of New UG E-Learning",'Pivot Table for Fact Book'!$A$3,"State","LA","Type2","Two-Year")</f>
        <v>0</v>
      </c>
      <c r="AB32" s="139">
        <f>+GETPIVOTDATA("Sum of Old UG E-Learning",'Pivot Table for Fact Book'!$A$3,"State","LA","type",12,"type2","Techncial")</f>
        <v>0</v>
      </c>
      <c r="AC32" s="142">
        <f>+GETPIVOTDATA("Sum of New UG E-Learning",'Pivot Table for Fact Book'!$A$3,"State","LA","type",12,"type2","Techncial")</f>
        <v>0</v>
      </c>
      <c r="AD32" s="142">
        <f>+GETPIVOTDATA("Sum of Old UG E-Learning",'Pivot Table for Fact Book'!$A$3,"State","LA","type",13,"type2","Techncial")</f>
        <v>0</v>
      </c>
      <c r="AE32" s="142">
        <f>+GETPIVOTDATA("Sum of New UG E-Learning",'Pivot Table for Fact Book'!$A$3,"State","LA","type",13,"type2","Techncial")</f>
        <v>0</v>
      </c>
      <c r="AF32" s="145">
        <f>+GETPIVOTDATA("Sum of Old UG E-Learning",'Pivot Table for Fact Book'!$A$3,"State","LA","type2","Techncial")</f>
        <v>0</v>
      </c>
      <c r="AG32" s="145">
        <f>+GETPIVOTDATA("Sum of New UG E-Learning",'Pivot Table for Fact Book'!$A$3,"State","LA","type2","Techncial")</f>
        <v>0</v>
      </c>
      <c r="AH32" s="14"/>
    </row>
    <row r="33" spans="1:34">
      <c r="A33" s="275" t="s">
        <v>177</v>
      </c>
      <c r="B33" s="139">
        <f>GETPIVOTDATA("Sum of Old UG E-Learning",'Pivot Table for Fact Book'!$A$3,"State","MD","type",1,"Type2","Four-Year")</f>
        <v>11064</v>
      </c>
      <c r="C33" s="140">
        <f>GETPIVOTDATA("Sum of New UG E-Learning",'Pivot Table for Fact Book'!$A$3,"State","MD","type",1,"Type2","Four-Year")</f>
        <v>14961</v>
      </c>
      <c r="D33" s="139">
        <f>GETPIVOTDATA("Sum of Old UG E-Learning",'Pivot Table for Fact Book'!$A$3,"State","MD","type",2,"Type2","Four-Year")</f>
        <v>22879</v>
      </c>
      <c r="E33" s="140">
        <f>GETPIVOTDATA("Sum of New UG E-Learning",'Pivot Table for Fact Book'!$A$3,"State","MD","type",2,"Type2","Four-Year")</f>
        <v>27787</v>
      </c>
      <c r="F33" s="139">
        <f>GETPIVOTDATA("Sum of Old UG E-Learning",'Pivot Table for Fact Book'!$A$3,"State","MD","type",3,"Type2","Four-Year")</f>
        <v>25124</v>
      </c>
      <c r="G33" s="140">
        <f>GETPIVOTDATA("Sum of New UG E-Learning",'Pivot Table for Fact Book'!$A$3,"State","MD","type",3,"Type2","Four-Year")</f>
        <v>26030</v>
      </c>
      <c r="H33" s="139">
        <f>GETPIVOTDATA("Sum of Old UG E-Learning",'Pivot Table for Fact Book'!$A$3,"State","MD","type",4,"Type2","Four-Year")</f>
        <v>60441</v>
      </c>
      <c r="I33" s="140">
        <f>GETPIVOTDATA("Sum of New UG E-Learning",'Pivot Table for Fact Book'!$A$3,"State","MD","type",4,"Type2","Four-Year")</f>
        <v>71483</v>
      </c>
      <c r="J33" s="139">
        <f>GETPIVOTDATA("Sum of Old UG E-Learning",'Pivot Table for Fact Book'!$A$3,"State","MD","type",5,"Type2","Four-Year")</f>
        <v>0</v>
      </c>
      <c r="K33" s="140">
        <f>GETPIVOTDATA("Sum of New UG E-Learning",'Pivot Table for Fact Book'!$A$3,"State","MD","type",5,"Type2","Four-Year")</f>
        <v>0</v>
      </c>
      <c r="L33" s="139">
        <f>GETPIVOTDATA("Sum of Old UG E-Learning",'Pivot Table for Fact Book'!$A$3,"State","MD","type",6,"Type2","Four-Year")</f>
        <v>0</v>
      </c>
      <c r="M33" s="140">
        <f>GETPIVOTDATA("Sum of New UG E-Learning",'Pivot Table for Fact Book'!$A$3,"State","MD","type",6,"Type2","Four-Year")</f>
        <v>0</v>
      </c>
      <c r="N33" s="139">
        <f>GETPIVOTDATA("Sum of Old UG E-Learning",'Pivot Table for Fact Book'!$A$3,"State","MD","type",15,"Type2","Four-Year")</f>
        <v>365434</v>
      </c>
      <c r="O33" s="140">
        <f>GETPIVOTDATA("Sum of New UG E-Learning",'Pivot Table for Fact Book'!$A$3,"State","MD","type",15,"Type2","Four-Year")</f>
        <v>425286</v>
      </c>
      <c r="P33" s="141">
        <f>GETPIVOTDATA("Sum of Old UG E-Learning",'Pivot Table for Fact Book'!$A$3,"State","MD","Type2","Four-Year")</f>
        <v>484942</v>
      </c>
      <c r="Q33" s="141">
        <f>GETPIVOTDATA("Sum of New UG E-Learning",'Pivot Table for Fact Book'!$A$3,"State","MD","Type2","Four-Year")</f>
        <v>565547</v>
      </c>
      <c r="R33" s="139">
        <f>GETPIVOTDATA("Sum of Old UG E-Learning",'Pivot Table for Fact Book'!$A$3,"State","MD","type",7,"Type2","Two-Year")</f>
        <v>0</v>
      </c>
      <c r="S33" s="142">
        <f>GETPIVOTDATA("Sum of New UG E-Learning",'Pivot Table for Fact Book'!$A$3,"State","MD","type",7,"Type2","Two-Year")</f>
        <v>0</v>
      </c>
      <c r="T33" s="142">
        <f>GETPIVOTDATA("Sum of Old UG E-Learning",'Pivot Table for Fact Book'!$A$3,"State","MD","type",8,"Type2","Two-Year")</f>
        <v>258430.5</v>
      </c>
      <c r="U33" s="142">
        <f>GETPIVOTDATA("Sum of New UG E-Learning",'Pivot Table for Fact Book'!$A$3,"State","MD","type",8,"Type2","Two-Year")</f>
        <v>302013</v>
      </c>
      <c r="V33" s="142">
        <f>GETPIVOTDATA("Sum of Old UG E-Learning",'Pivot Table for Fact Book'!$A$3,"State","MD","type",9,"Type2","Two-Year")</f>
        <v>101665.5</v>
      </c>
      <c r="W33" s="142">
        <f>GETPIVOTDATA("Sum of New UG E-Learning",'Pivot Table for Fact Book'!$A$3,"State","MD","type",9,"Type2","Two-Year")</f>
        <v>117557</v>
      </c>
      <c r="X33" s="142">
        <f>GETPIVOTDATA("Sum of Old UG E-Learning",'Pivot Table for Fact Book'!$A$3,"State","MD","type",10,"Type2","Two-Year")</f>
        <v>17327</v>
      </c>
      <c r="Y33" s="142">
        <f>GETPIVOTDATA("Sum of New UG E-Learning",'Pivot Table for Fact Book'!$A$3,"State","MD","type",10,"Type2","Two-Year")</f>
        <v>22218</v>
      </c>
      <c r="Z33" s="143">
        <f>GETPIVOTDATA("Sum of Old UG E-Learning",'Pivot Table for Fact Book'!$A$3,"State","MD","Type2","Two-Year")</f>
        <v>377423</v>
      </c>
      <c r="AA33" s="143">
        <f>GETPIVOTDATA("Sum of New UG E-Learning",'Pivot Table for Fact Book'!$A$3,"State","MD","Type2","Two-Year")</f>
        <v>441788</v>
      </c>
      <c r="AB33" s="139">
        <f>+GETPIVOTDATA("Sum of Old UG E-Learning",'Pivot Table for Fact Book'!$A$3,"State","MD","type",12,"type2","Techncial")</f>
        <v>0</v>
      </c>
      <c r="AC33" s="142">
        <f>+GETPIVOTDATA("Sum of New UG E-Learning",'Pivot Table for Fact Book'!$A$3,"State","MD","type",12,"type2","Techncial")</f>
        <v>0</v>
      </c>
      <c r="AD33" s="142">
        <f>+GETPIVOTDATA("Sum of Old UG E-Learning",'Pivot Table for Fact Book'!$A$3,"State","MD","type",13,"type2","Techncial")</f>
        <v>0</v>
      </c>
      <c r="AE33" s="142">
        <f>+GETPIVOTDATA("Sum of New UG E-Learning",'Pivot Table for Fact Book'!$A$3,"State","MD","type",13,"type2","Techncial")</f>
        <v>0</v>
      </c>
      <c r="AF33" s="145">
        <f>+GETPIVOTDATA("Sum of Old UG E-Learning",'Pivot Table for Fact Book'!$A$3,"State","MD","type2","Techncial")</f>
        <v>0</v>
      </c>
      <c r="AG33" s="145">
        <f>+GETPIVOTDATA("Sum of New UG E-Learning",'Pivot Table for Fact Book'!$A$3,"State","MD","type2","Techncial")</f>
        <v>0</v>
      </c>
      <c r="AH33" s="14"/>
    </row>
    <row r="34" spans="1:34">
      <c r="A34" s="275" t="s">
        <v>148</v>
      </c>
      <c r="B34" s="139">
        <f>GETPIVOTDATA("Sum of Old UG E-Learning",'Pivot Table for Fact Book'!$A$3,"State","MS","type",1,"Type2","Four-Year")</f>
        <v>56180</v>
      </c>
      <c r="C34" s="140">
        <f>GETPIVOTDATA("Sum of New UG E-Learning",'Pivot Table for Fact Book'!$A$3,"State","MS","type",1,"Type2","Four-Year")</f>
        <v>59316</v>
      </c>
      <c r="D34" s="139">
        <f>GETPIVOTDATA("Sum of Old UG E-Learning",'Pivot Table for Fact Book'!$A$3,"State","MS","type",2,"Type2","Four-Year")</f>
        <v>20722</v>
      </c>
      <c r="E34" s="140">
        <f>GETPIVOTDATA("Sum of New UG E-Learning",'Pivot Table for Fact Book'!$A$3,"State","MS","type",2,"Type2","Four-Year")</f>
        <v>26498</v>
      </c>
      <c r="F34" s="139">
        <f>GETPIVOTDATA("Sum of Old UG E-Learning",'Pivot Table for Fact Book'!$A$3,"State","MS","type",3,"Type2","Four-Year")</f>
        <v>0</v>
      </c>
      <c r="G34" s="140">
        <f>GETPIVOTDATA("Sum of New UG E-Learning",'Pivot Table for Fact Book'!$A$3,"State","MS","type",3,"Type2","Four-Year")</f>
        <v>0</v>
      </c>
      <c r="H34" s="139">
        <f>GETPIVOTDATA("Sum of Old UG E-Learning",'Pivot Table for Fact Book'!$A$3,"State","MS","type",4,"Type2","Four-Year")</f>
        <v>29692.5</v>
      </c>
      <c r="I34" s="140">
        <f>GETPIVOTDATA("Sum of New UG E-Learning",'Pivot Table for Fact Book'!$A$3,"State","MS","type",4,"Type2","Four-Year")</f>
        <v>39766</v>
      </c>
      <c r="J34" s="139">
        <f>GETPIVOTDATA("Sum of Old UG E-Learning",'Pivot Table for Fact Book'!$A$3,"State","MS","type",5,"Type2","Four-Year")</f>
        <v>19169</v>
      </c>
      <c r="K34" s="140">
        <f>GETPIVOTDATA("Sum of New UG E-Learning",'Pivot Table for Fact Book'!$A$3,"State","MS","type",5,"Type2","Four-Year")</f>
        <v>27672</v>
      </c>
      <c r="L34" s="139">
        <f>GETPIVOTDATA("Sum of Old UG E-Learning",'Pivot Table for Fact Book'!$A$3,"State","MS","type",6,"Type2","Four-Year")</f>
        <v>0</v>
      </c>
      <c r="M34" s="140">
        <f>GETPIVOTDATA("Sum of New UG E-Learning",'Pivot Table for Fact Book'!$A$3,"State","MS","type",6,"Type2","Four-Year")</f>
        <v>0</v>
      </c>
      <c r="N34" s="139">
        <f>GETPIVOTDATA("Sum of Old UG E-Learning",'Pivot Table for Fact Book'!$A$3,"State","MS","type",15,"Type2","Four-Year")</f>
        <v>0</v>
      </c>
      <c r="O34" s="140">
        <f>GETPIVOTDATA("Sum of New UG E-Learning",'Pivot Table for Fact Book'!$A$3,"State","MS","type",15,"Type2","Four-Year")</f>
        <v>0</v>
      </c>
      <c r="P34" s="141">
        <f>GETPIVOTDATA("Sum of Old UG E-Learning",'Pivot Table for Fact Book'!$A$3,"State","MS","Type2","Four-Year")</f>
        <v>125763.5</v>
      </c>
      <c r="Q34" s="141">
        <f>GETPIVOTDATA("Sum of New UG E-Learning",'Pivot Table for Fact Book'!$A$3,"State","MS","Type2","Four-Year")</f>
        <v>153252</v>
      </c>
      <c r="R34" s="139">
        <f>GETPIVOTDATA("Sum of Old UG E-Learning",'Pivot Table for Fact Book'!$A$3,"State","MS","type",7,"Type2","Two-Year")</f>
        <v>0</v>
      </c>
      <c r="S34" s="142">
        <f>GETPIVOTDATA("Sum of New UG E-Learning",'Pivot Table for Fact Book'!$A$3,"State","MS","type",7,"Type2","Two-Year")</f>
        <v>0</v>
      </c>
      <c r="T34" s="142">
        <f>GETPIVOTDATA("Sum of Old UG E-Learning",'Pivot Table for Fact Book'!$A$3,"State","MS","type",8,"Type2","Two-Year")</f>
        <v>215435</v>
      </c>
      <c r="U34" s="142">
        <f>GETPIVOTDATA("Sum of New UG E-Learning",'Pivot Table for Fact Book'!$A$3,"State","MS","type",8,"Type2","Two-Year")</f>
        <v>217043</v>
      </c>
      <c r="V34" s="142">
        <f>GETPIVOTDATA("Sum of Old UG E-Learning",'Pivot Table for Fact Book'!$A$3,"State","MS","type",9,"Type2","Two-Year")</f>
        <v>172678</v>
      </c>
      <c r="W34" s="142">
        <f>GETPIVOTDATA("Sum of New UG E-Learning",'Pivot Table for Fact Book'!$A$3,"State","MS","type",9,"Type2","Two-Year")</f>
        <v>188545</v>
      </c>
      <c r="X34" s="142">
        <f>GETPIVOTDATA("Sum of Old UG E-Learning",'Pivot Table for Fact Book'!$A$3,"State","MS","type",10,"Type2","Two-Year")</f>
        <v>11706</v>
      </c>
      <c r="Y34" s="142">
        <f>GETPIVOTDATA("Sum of New UG E-Learning",'Pivot Table for Fact Book'!$A$3,"State","MS","type",10,"Type2","Two-Year")</f>
        <v>15718</v>
      </c>
      <c r="Z34" s="143">
        <f>GETPIVOTDATA("Sum of Old UG E-Learning",'Pivot Table for Fact Book'!$A$3,"State","MS","Type2","Two-Year")</f>
        <v>399819</v>
      </c>
      <c r="AA34" s="143">
        <f>GETPIVOTDATA("Sum of New UG E-Learning",'Pivot Table for Fact Book'!$A$3,"State","MS","Type2","Two-Year")</f>
        <v>421306</v>
      </c>
      <c r="AB34" s="139">
        <f>+GETPIVOTDATA("Sum of Old UG E-Learning",'Pivot Table for Fact Book'!$A$3,"State","MS","type",12,"type2","Techncial")</f>
        <v>0</v>
      </c>
      <c r="AC34" s="142">
        <f>+GETPIVOTDATA("Sum of New UG E-Learning",'Pivot Table for Fact Book'!$A$3,"State","MS","type",12,"type2","Techncial")</f>
        <v>0</v>
      </c>
      <c r="AD34" s="142">
        <f>+GETPIVOTDATA("Sum of Old UG E-Learning",'Pivot Table for Fact Book'!$A$3,"State","MS","type",13,"type2","Techncial")</f>
        <v>0</v>
      </c>
      <c r="AE34" s="142">
        <f>+GETPIVOTDATA("Sum of New UG E-Learning",'Pivot Table for Fact Book'!$A$3,"State","MS","type",13,"type2","Techncial")</f>
        <v>0</v>
      </c>
      <c r="AF34" s="145">
        <f>+GETPIVOTDATA("Sum of Old UG E-Learning",'Pivot Table for Fact Book'!$A$3,"State","MS","type2","Techncial")</f>
        <v>0</v>
      </c>
      <c r="AG34" s="145">
        <f>+GETPIVOTDATA("Sum of New UG E-Learning",'Pivot Table for Fact Book'!$A$3,"State","MS","type2","Techncial")</f>
        <v>0</v>
      </c>
      <c r="AH34" s="14"/>
    </row>
    <row r="35" spans="1:34">
      <c r="A35" s="275" t="s">
        <v>149</v>
      </c>
      <c r="B35" s="139">
        <f>GETPIVOTDATA("Sum of Old UG E-Learning",'Pivot Table for Fact Book'!$A$3,"State","NC","type",1,"Type2","Four-Year")</f>
        <v>149560</v>
      </c>
      <c r="C35" s="140">
        <f>GETPIVOTDATA("Sum of New UG E-Learning",'Pivot Table for Fact Book'!$A$3,"State","NC","type",1,"Type2","Four-Year")</f>
        <v>160731</v>
      </c>
      <c r="D35" s="139">
        <f>GETPIVOTDATA("Sum of Old UG E-Learning",'Pivot Table for Fact Book'!$A$3,"State","NC","type",2,"Type2","Four-Year")</f>
        <v>20126</v>
      </c>
      <c r="E35" s="140">
        <f>GETPIVOTDATA("Sum of New UG E-Learning",'Pivot Table for Fact Book'!$A$3,"State","NC","type",2,"Type2","Four-Year")</f>
        <v>22987</v>
      </c>
      <c r="F35" s="139">
        <f>GETPIVOTDATA("Sum of Old UG E-Learning",'Pivot Table for Fact Book'!$A$3,"State","NC","type",3,"Type2","Four-Year")</f>
        <v>164895</v>
      </c>
      <c r="G35" s="140">
        <f>GETPIVOTDATA("Sum of New UG E-Learning",'Pivot Table for Fact Book'!$A$3,"State","NC","type",3,"Type2","Four-Year")</f>
        <v>180461</v>
      </c>
      <c r="H35" s="139">
        <f>GETPIVOTDATA("Sum of Old UG E-Learning",'Pivot Table for Fact Book'!$A$3,"State","NC","type",4,"Type2","Four-Year")</f>
        <v>22072</v>
      </c>
      <c r="I35" s="140">
        <f>GETPIVOTDATA("Sum of New UG E-Learning",'Pivot Table for Fact Book'!$A$3,"State","NC","type",4,"Type2","Four-Year")</f>
        <v>23627</v>
      </c>
      <c r="J35" s="139">
        <f>GETPIVOTDATA("Sum of Old UG E-Learning",'Pivot Table for Fact Book'!$A$3,"State","NC","type",5,"Type2","Four-Year")</f>
        <v>51837</v>
      </c>
      <c r="K35" s="140">
        <f>GETPIVOTDATA("Sum of New UG E-Learning",'Pivot Table for Fact Book'!$A$3,"State","NC","type",5,"Type2","Four-Year")</f>
        <v>53056</v>
      </c>
      <c r="L35" s="139">
        <f>GETPIVOTDATA("Sum of Old UG E-Learning",'Pivot Table for Fact Book'!$A$3,"State","NC","type",6,"Type2","Four-Year")</f>
        <v>15046</v>
      </c>
      <c r="M35" s="140">
        <f>GETPIVOTDATA("Sum of New UG E-Learning",'Pivot Table for Fact Book'!$A$3,"State","NC","type",6,"Type2","Four-Year")</f>
        <v>17522</v>
      </c>
      <c r="N35" s="139">
        <f>GETPIVOTDATA("Sum of Old UG E-Learning",'Pivot Table for Fact Book'!$A$3,"State","NC","type",15,"Type2","Four-Year")</f>
        <v>0</v>
      </c>
      <c r="O35" s="140">
        <f>GETPIVOTDATA("Sum of New UG E-Learning",'Pivot Table for Fact Book'!$A$3,"State","NC","type",15,"Type2","Four-Year")</f>
        <v>0</v>
      </c>
      <c r="P35" s="141">
        <f>GETPIVOTDATA("Sum of Old UG E-Learning",'Pivot Table for Fact Book'!$A$3,"State","NC","Type2","Four-Year")</f>
        <v>423536</v>
      </c>
      <c r="Q35" s="141">
        <f>GETPIVOTDATA("Sum of New UG E-Learning",'Pivot Table for Fact Book'!$A$3,"State","NC","Type2","Four-Year")</f>
        <v>458384</v>
      </c>
      <c r="R35" s="139">
        <f>GETPIVOTDATA("Sum of Old UG E-Learning",'Pivot Table for Fact Book'!$A$3,"State","NC","type",7,"Type2","Two-Year")</f>
        <v>0</v>
      </c>
      <c r="S35" s="142">
        <f>GETPIVOTDATA("Sum of New UG E-Learning",'Pivot Table for Fact Book'!$A$3,"State","NC","type",7,"Type2","Two-Year")</f>
        <v>0</v>
      </c>
      <c r="T35" s="142">
        <f>GETPIVOTDATA("Sum of Old UG E-Learning",'Pivot Table for Fact Book'!$A$3,"State","NC","type",8,"Type2","Two-Year")</f>
        <v>515842</v>
      </c>
      <c r="U35" s="142">
        <f>GETPIVOTDATA("Sum of New UG E-Learning",'Pivot Table for Fact Book'!$A$3,"State","NC","type",8,"Type2","Two-Year")</f>
        <v>770943</v>
      </c>
      <c r="V35" s="142">
        <f>GETPIVOTDATA("Sum of Old UG E-Learning",'Pivot Table for Fact Book'!$A$3,"State","NC","type",9,"Type2","Two-Year")</f>
        <v>498157</v>
      </c>
      <c r="W35" s="142">
        <f>GETPIVOTDATA("Sum of New UG E-Learning",'Pivot Table for Fact Book'!$A$3,"State","NC","type",9,"Type2","Two-Year")</f>
        <v>709843</v>
      </c>
      <c r="X35" s="142">
        <f>GETPIVOTDATA("Sum of Old UG E-Learning",'Pivot Table for Fact Book'!$A$3,"State","NC","type",10,"Type2","Two-Year")</f>
        <v>217647</v>
      </c>
      <c r="Y35" s="142">
        <f>GETPIVOTDATA("Sum of New UG E-Learning",'Pivot Table for Fact Book'!$A$3,"State","NC","type",10,"Type2","Two-Year")</f>
        <v>306526</v>
      </c>
      <c r="Z35" s="143">
        <f>GETPIVOTDATA("Sum of Old UG E-Learning",'Pivot Table for Fact Book'!$A$3,"State","NC","Type2","Two-Year")</f>
        <v>1231646</v>
      </c>
      <c r="AA35" s="143">
        <f>GETPIVOTDATA("Sum of New UG E-Learning",'Pivot Table for Fact Book'!$A$3,"State","NC","Type2","Two-Year")</f>
        <v>1787312</v>
      </c>
      <c r="AB35" s="139">
        <f>+GETPIVOTDATA("Sum of Old UG E-Learning",'Pivot Table for Fact Book'!$A$3,"State","NC","type",12,"type2","Techncial")</f>
        <v>0</v>
      </c>
      <c r="AC35" s="142">
        <f>+GETPIVOTDATA("Sum of New UG E-Learning",'Pivot Table for Fact Book'!$A$3,"State","NC","type",12,"type2","Techncial")</f>
        <v>0</v>
      </c>
      <c r="AD35" s="142">
        <f>+GETPIVOTDATA("Sum of Old UG E-Learning",'Pivot Table for Fact Book'!$A$3,"State","NC","type",13,"type2","Techncial")</f>
        <v>0</v>
      </c>
      <c r="AE35" s="142">
        <f>+GETPIVOTDATA("Sum of New UG E-Learning",'Pivot Table for Fact Book'!$A$3,"State","NC","type",13,"type2","Techncial")</f>
        <v>0</v>
      </c>
      <c r="AF35" s="145">
        <f>+GETPIVOTDATA("Sum of Old UG E-Learning",'Pivot Table for Fact Book'!$A$3,"State","NC","type2","Techncial")</f>
        <v>0</v>
      </c>
      <c r="AG35" s="145">
        <f>+GETPIVOTDATA("Sum of New UG E-Learning",'Pivot Table for Fact Book'!$A$3,"State","NC","type2","Techncial")</f>
        <v>0</v>
      </c>
      <c r="AH35" s="14"/>
    </row>
    <row r="36" spans="1:34">
      <c r="A36" s="275" t="s">
        <v>150</v>
      </c>
      <c r="B36" s="139">
        <f>GETPIVOTDATA("Sum of Old UG E-Learning",'Pivot Table for Fact Book'!$A$3,"State","OK","type",1,"Type2","Four-Year")</f>
        <v>50889</v>
      </c>
      <c r="C36" s="140">
        <f>GETPIVOTDATA("Sum of New UG E-Learning",'Pivot Table for Fact Book'!$A$3,"State","OK","type",1,"Type2","Four-Year")</f>
        <v>61870</v>
      </c>
      <c r="D36" s="139">
        <f>GETPIVOTDATA("Sum of Old UG E-Learning",'Pivot Table for Fact Book'!$A$3,"State","OK","type",2,"Type2","Four-Year")</f>
        <v>0</v>
      </c>
      <c r="E36" s="140">
        <f>GETPIVOTDATA("Sum of New UG E-Learning",'Pivot Table for Fact Book'!$A$3,"State","OK","type",2,"Type2","Four-Year")</f>
        <v>0</v>
      </c>
      <c r="F36" s="139">
        <f>GETPIVOTDATA("Sum of Old UG E-Learning",'Pivot Table for Fact Book'!$A$3,"State","OK","type",3,"Type2","Four-Year")</f>
        <v>46358</v>
      </c>
      <c r="G36" s="140">
        <f>GETPIVOTDATA("Sum of New UG E-Learning",'Pivot Table for Fact Book'!$A$3,"State","OK","type",3,"Type2","Four-Year")</f>
        <v>67198</v>
      </c>
      <c r="H36" s="139">
        <f>GETPIVOTDATA("Sum of Old UG E-Learning",'Pivot Table for Fact Book'!$A$3,"State","OK","type",4,"Type2","Four-Year")</f>
        <v>0</v>
      </c>
      <c r="I36" s="140">
        <f>GETPIVOTDATA("Sum of New UG E-Learning",'Pivot Table for Fact Book'!$A$3,"State","OK","type",4,"Type2","Four-Year")</f>
        <v>0</v>
      </c>
      <c r="J36" s="139">
        <f>GETPIVOTDATA("Sum of Old UG E-Learning",'Pivot Table for Fact Book'!$A$3,"State","OK","type",5,"Type2","Four-Year")</f>
        <v>96036</v>
      </c>
      <c r="K36" s="140">
        <f>GETPIVOTDATA("Sum of New UG E-Learning",'Pivot Table for Fact Book'!$A$3,"State","OK","type",5,"Type2","Four-Year")</f>
        <v>102412</v>
      </c>
      <c r="L36" s="139">
        <f>GETPIVOTDATA("Sum of Old UG E-Learning",'Pivot Table for Fact Book'!$A$3,"State","OK","type",6,"Type2","Four-Year")</f>
        <v>35476</v>
      </c>
      <c r="M36" s="140">
        <f>GETPIVOTDATA("Sum of New UG E-Learning",'Pivot Table for Fact Book'!$A$3,"State","OK","type",6,"Type2","Four-Year")</f>
        <v>34297</v>
      </c>
      <c r="N36" s="139">
        <f>GETPIVOTDATA("Sum of Old UG E-Learning",'Pivot Table for Fact Book'!$A$3,"State","OK","type",15,"Type2","Four-Year")</f>
        <v>0</v>
      </c>
      <c r="O36" s="140">
        <f>GETPIVOTDATA("Sum of New UG E-Learning",'Pivot Table for Fact Book'!$A$3,"State","OK","type",15,"Type2","Four-Year")</f>
        <v>0</v>
      </c>
      <c r="P36" s="141">
        <f>GETPIVOTDATA("Sum of Old UG E-Learning",'Pivot Table for Fact Book'!$A$3,"State","OK","Type2","Four-Year")</f>
        <v>228759</v>
      </c>
      <c r="Q36" s="141">
        <f>GETPIVOTDATA("Sum of New UG E-Learning",'Pivot Table for Fact Book'!$A$3,"State","OK","Type2","Four-Year")</f>
        <v>265777</v>
      </c>
      <c r="R36" s="139">
        <f>GETPIVOTDATA("Sum of Old UG E-Learning",'Pivot Table for Fact Book'!$A$3,"State","OK","type",7,"Type2","Two-Year")</f>
        <v>55365</v>
      </c>
      <c r="S36" s="142">
        <f>GETPIVOTDATA("Sum of New UG E-Learning",'Pivot Table for Fact Book'!$A$3,"State","OK","type",7,"Type2","Two-Year")</f>
        <v>62848</v>
      </c>
      <c r="T36" s="142">
        <f>GETPIVOTDATA("Sum of Old UG E-Learning",'Pivot Table for Fact Book'!$A$3,"State","OK","type",8,"Type2","Two-Year")</f>
        <v>144707</v>
      </c>
      <c r="U36" s="142">
        <f>GETPIVOTDATA("Sum of New UG E-Learning",'Pivot Table for Fact Book'!$A$3,"State","OK","type",8,"Type2","Two-Year")</f>
        <v>235842</v>
      </c>
      <c r="V36" s="142">
        <f>GETPIVOTDATA("Sum of Old UG E-Learning",'Pivot Table for Fact Book'!$A$3,"State","OK","type",9,"Type2","Two-Year")</f>
        <v>24506</v>
      </c>
      <c r="W36" s="142">
        <f>GETPIVOTDATA("Sum of New UG E-Learning",'Pivot Table for Fact Book'!$A$3,"State","OK","type",9,"Type2","Two-Year")</f>
        <v>28120</v>
      </c>
      <c r="X36" s="142">
        <f>GETPIVOTDATA("Sum of Old UG E-Learning",'Pivot Table for Fact Book'!$A$3,"State","OK","type",10,"Type2","Two-Year")</f>
        <v>140143</v>
      </c>
      <c r="Y36" s="142">
        <f>GETPIVOTDATA("Sum of New UG E-Learning",'Pivot Table for Fact Book'!$A$3,"State","OK","type",10,"Type2","Two-Year")</f>
        <v>152261</v>
      </c>
      <c r="Z36" s="143">
        <f>GETPIVOTDATA("Sum of Old UG E-Learning",'Pivot Table for Fact Book'!$A$3,"State","OK","Type2","Two-Year")</f>
        <v>364721</v>
      </c>
      <c r="AA36" s="143">
        <f>GETPIVOTDATA("Sum of New UG E-Learning",'Pivot Table for Fact Book'!$A$3,"State","OK","Type2","Two-Year")</f>
        <v>479071</v>
      </c>
      <c r="AB36" s="139">
        <f>+GETPIVOTDATA("Sum of Old UG E-Learning",'Pivot Table for Fact Book'!$A$3,"State","OK","type",12,"type2","Techncial")</f>
        <v>0</v>
      </c>
      <c r="AC36" s="142">
        <f>+GETPIVOTDATA("Sum of New UG E-Learning",'Pivot Table for Fact Book'!$A$3,"State","OK","type",12,"type2","Techncial")</f>
        <v>0</v>
      </c>
      <c r="AD36" s="142">
        <f>+GETPIVOTDATA("Sum of Old UG E-Learning",'Pivot Table for Fact Book'!$A$3,"State","OK","type",13,"type2","Techncial")</f>
        <v>0</v>
      </c>
      <c r="AE36" s="142">
        <f>+GETPIVOTDATA("Sum of New UG E-Learning",'Pivot Table for Fact Book'!$A$3,"State","OK","type",13,"type2","Techncial")</f>
        <v>0</v>
      </c>
      <c r="AF36" s="145">
        <f>+GETPIVOTDATA("Sum of Old UG E-Learning",'Pivot Table for Fact Book'!$A$3,"State","OK","type2","Techncial")</f>
        <v>0</v>
      </c>
      <c r="AG36" s="145">
        <f>+GETPIVOTDATA("Sum of New UG E-Learning",'Pivot Table for Fact Book'!$A$3,"State","OK","type2","Techncial")</f>
        <v>0</v>
      </c>
      <c r="AH36" s="14"/>
    </row>
    <row r="37" spans="1:34">
      <c r="A37" s="275" t="s">
        <v>151</v>
      </c>
      <c r="B37" s="139">
        <f>GETPIVOTDATA("Sum of Old UG E-Learning",'Pivot Table for Fact Book'!$A$3,"State","SC","type",1,"Type2","Four-Year")</f>
        <v>42584</v>
      </c>
      <c r="C37" s="140">
        <f>GETPIVOTDATA("Sum of New UG E-Learning",'Pivot Table for Fact Book'!$A$3,"State","SC","type",1,"Type2","Four-Year")</f>
        <v>46156</v>
      </c>
      <c r="D37" s="139">
        <f>GETPIVOTDATA("Sum of Old UG E-Learning",'Pivot Table for Fact Book'!$A$3,"State","SC","type",2,"Type2","Four-Year")</f>
        <v>0</v>
      </c>
      <c r="E37" s="140">
        <f>GETPIVOTDATA("Sum of New UG E-Learning",'Pivot Table for Fact Book'!$A$3,"State","SC","type",2,"Type2","Four-Year")</f>
        <v>0</v>
      </c>
      <c r="F37" s="292">
        <f>GETPIVOTDATA("Sum of Old UG E-Learning",'Pivot Table for Fact Book'!$A$3,"State","SC","type",3,"Type2","Four-Year")</f>
        <v>0</v>
      </c>
      <c r="G37" s="140">
        <f>GETPIVOTDATA("Sum of New UG E-Learning",'Pivot Table for Fact Book'!$A$3,"State","SC","type",3,"Type2","Four-Year")</f>
        <v>4166</v>
      </c>
      <c r="H37" s="139">
        <f>GETPIVOTDATA("Sum of Old UG E-Learning",'Pivot Table for Fact Book'!$A$3,"State","SC","type",4,"Type2","Four-Year")</f>
        <v>219</v>
      </c>
      <c r="I37" s="140">
        <f>GETPIVOTDATA("Sum of New UG E-Learning",'Pivot Table for Fact Book'!$A$3,"State","SC","type",4,"Type2","Four-Year")</f>
        <v>620</v>
      </c>
      <c r="J37" s="139">
        <f>GETPIVOTDATA("Sum of Old UG E-Learning",'Pivot Table for Fact Book'!$A$3,"State","SC","type",5,"Type2","Four-Year")</f>
        <v>10168.469999999999</v>
      </c>
      <c r="K37" s="140">
        <f>GETPIVOTDATA("Sum of New UG E-Learning",'Pivot Table for Fact Book'!$A$3,"State","SC","type",5,"Type2","Four-Year")</f>
        <v>18486</v>
      </c>
      <c r="L37" s="139">
        <f>GETPIVOTDATA("Sum of Old UG E-Learning",'Pivot Table for Fact Book'!$A$3,"State","SC","type",6,"Type2","Four-Year")</f>
        <v>21272</v>
      </c>
      <c r="M37" s="140">
        <f>GETPIVOTDATA("Sum of New UG E-Learning",'Pivot Table for Fact Book'!$A$3,"State","SC","type",6,"Type2","Four-Year")</f>
        <v>23966</v>
      </c>
      <c r="N37" s="139">
        <f>GETPIVOTDATA("Sum of Old UG E-Learning",'Pivot Table for Fact Book'!$A$3,"State","SC","type",15,"Type2","Four-Year")</f>
        <v>0</v>
      </c>
      <c r="O37" s="140">
        <f>GETPIVOTDATA("Sum of New UG E-Learning",'Pivot Table for Fact Book'!$A$3,"State","SC","type",15,"Type2","Four-Year")</f>
        <v>0</v>
      </c>
      <c r="P37" s="141">
        <f>GETPIVOTDATA("Sum of Old UG E-Learning",'Pivot Table for Fact Book'!$A$3,"State","SC","Type2","Four-Year")</f>
        <v>74243.47</v>
      </c>
      <c r="Q37" s="141">
        <f>GETPIVOTDATA("Sum of New UG E-Learning",'Pivot Table for Fact Book'!$A$3,"State","SC","Type2","Four-Year")</f>
        <v>93394</v>
      </c>
      <c r="R37" s="139">
        <f>GETPIVOTDATA("Sum of Old UG E-Learning",'Pivot Table for Fact Book'!$A$3,"State","SC","type",7,"Type2","Two-Year")</f>
        <v>0</v>
      </c>
      <c r="S37" s="142">
        <f>GETPIVOTDATA("Sum of New UG E-Learning",'Pivot Table for Fact Book'!$A$3,"State","SC","type",7,"Type2","Two-Year")</f>
        <v>0</v>
      </c>
      <c r="T37" s="142">
        <f>GETPIVOTDATA("Sum of Old UG E-Learning",'Pivot Table for Fact Book'!$A$3,"State","SC","type",8,"Type2","Two-Year")</f>
        <v>268536</v>
      </c>
      <c r="U37" s="142">
        <f>GETPIVOTDATA("Sum of New UG E-Learning",'Pivot Table for Fact Book'!$A$3,"State","SC","type",8,"Type2","Two-Year")</f>
        <v>263953</v>
      </c>
      <c r="V37" s="142">
        <f>GETPIVOTDATA("Sum of Old UG E-Learning",'Pivot Table for Fact Book'!$A$3,"State","SC","type",9,"Type2","Two-Year")</f>
        <v>181773</v>
      </c>
      <c r="W37" s="142">
        <f>GETPIVOTDATA("Sum of New UG E-Learning",'Pivot Table for Fact Book'!$A$3,"State","SC","type",9,"Type2","Two-Year")</f>
        <v>181047</v>
      </c>
      <c r="X37" s="142">
        <f>GETPIVOTDATA("Sum of Old UG E-Learning",'Pivot Table for Fact Book'!$A$3,"State","SC","type",10,"Type2","Two-Year")</f>
        <v>30293</v>
      </c>
      <c r="Y37" s="142">
        <f>GETPIVOTDATA("Sum of New UG E-Learning",'Pivot Table for Fact Book'!$A$3,"State","SC","type",10,"Type2","Two-Year")</f>
        <v>25970</v>
      </c>
      <c r="Z37" s="143">
        <f>GETPIVOTDATA("Sum of Old UG E-Learning",'Pivot Table for Fact Book'!$A$3,"State","SC","Type2","Two-Year")</f>
        <v>480602</v>
      </c>
      <c r="AA37" s="143">
        <f>GETPIVOTDATA("Sum of New UG E-Learning",'Pivot Table for Fact Book'!$A$3,"State","SC","Type2","Two-Year")</f>
        <v>470970</v>
      </c>
      <c r="AB37" s="139">
        <f>+GETPIVOTDATA("Sum of Old UG E-Learning",'Pivot Table for Fact Book'!$A$3,"State","SC","type",12,"type2","Techncial")</f>
        <v>0</v>
      </c>
      <c r="AC37" s="142">
        <f>+GETPIVOTDATA("Sum of New UG E-Learning",'Pivot Table for Fact Book'!$A$3,"State","SC","type",12,"type2","Techncial")</f>
        <v>0</v>
      </c>
      <c r="AD37" s="142">
        <f>+GETPIVOTDATA("Sum of Old UG E-Learning",'Pivot Table for Fact Book'!$A$3,"State","SC","type",13,"type2","Techncial")</f>
        <v>0</v>
      </c>
      <c r="AE37" s="142">
        <f>+GETPIVOTDATA("Sum of New UG E-Learning",'Pivot Table for Fact Book'!$A$3,"State","SC","type",13,"type2","Techncial")</f>
        <v>0</v>
      </c>
      <c r="AF37" s="145">
        <f>+GETPIVOTDATA("Sum of Old UG E-Learning",'Pivot Table for Fact Book'!$A$3,"State","SC","type2","Techncial")</f>
        <v>0</v>
      </c>
      <c r="AG37" s="145">
        <f>+GETPIVOTDATA("Sum of New UG E-Learning",'Pivot Table for Fact Book'!$A$3,"State","SC","type2","Techncial")</f>
        <v>0</v>
      </c>
      <c r="AH37" s="14"/>
    </row>
    <row r="38" spans="1:34">
      <c r="A38" s="275" t="s">
        <v>152</v>
      </c>
      <c r="B38" s="139">
        <f>GETPIVOTDATA("Sum of Old UG E-Learning",'Pivot Table for Fact Book'!$A$3,"State","TN","type",1,"Type2","Four-Year")</f>
        <v>138967</v>
      </c>
      <c r="C38" s="140">
        <f>GETPIVOTDATA("Sum of New UG E-Learning",'Pivot Table for Fact Book'!$A$3,"State","TN","type",1,"Type2","Four-Year")</f>
        <v>158212</v>
      </c>
      <c r="D38" s="139">
        <f>GETPIVOTDATA("Sum of Old UG E-Learning",'Pivot Table for Fact Book'!$A$3,"State","TN","type",2,"Type2","Four-Year")</f>
        <v>13379</v>
      </c>
      <c r="E38" s="140">
        <f>GETPIVOTDATA("Sum of New UG E-Learning",'Pivot Table for Fact Book'!$A$3,"State","TN","type",2,"Type2","Four-Year")</f>
        <v>14647</v>
      </c>
      <c r="F38" s="139">
        <f>GETPIVOTDATA("Sum of Old UG E-Learning",'Pivot Table for Fact Book'!$A$3,"State","TN","type",3,"Type2","Four-Year")</f>
        <v>228266</v>
      </c>
      <c r="G38" s="140">
        <f>GETPIVOTDATA("Sum of New UG E-Learning",'Pivot Table for Fact Book'!$A$3,"State","TN","type",3,"Type2","Four-Year")</f>
        <v>256333</v>
      </c>
      <c r="H38" s="139">
        <f>GETPIVOTDATA("Sum of Old UG E-Learning",'Pivot Table for Fact Book'!$A$3,"State","TN","type",4,"Type2","Four-Year")</f>
        <v>0</v>
      </c>
      <c r="I38" s="140">
        <f>GETPIVOTDATA("Sum of New UG E-Learning",'Pivot Table for Fact Book'!$A$3,"State","TN","type",4,"Type2","Four-Year")</f>
        <v>0</v>
      </c>
      <c r="J38" s="139">
        <f>GETPIVOTDATA("Sum of Old UG E-Learning",'Pivot Table for Fact Book'!$A$3,"State","TN","type",5,"Type2","Four-Year")</f>
        <v>11593</v>
      </c>
      <c r="K38" s="140">
        <f>GETPIVOTDATA("Sum of New UG E-Learning",'Pivot Table for Fact Book'!$A$3,"State","TN","type",5,"Type2","Four-Year")</f>
        <v>15720</v>
      </c>
      <c r="L38" s="139">
        <f>GETPIVOTDATA("Sum of Old UG E-Learning",'Pivot Table for Fact Book'!$A$3,"State","TN","type",6,"Type2","Four-Year")</f>
        <v>0</v>
      </c>
      <c r="M38" s="140">
        <f>GETPIVOTDATA("Sum of New UG E-Learning",'Pivot Table for Fact Book'!$A$3,"State","TN","type",6,"Type2","Four-Year")</f>
        <v>0</v>
      </c>
      <c r="N38" s="139">
        <f>GETPIVOTDATA("Sum of Old UG E-Learning",'Pivot Table for Fact Book'!$A$3,"State","TN","type",15,"Type2","Four-Year")</f>
        <v>0</v>
      </c>
      <c r="O38" s="140">
        <f>GETPIVOTDATA("Sum of New UG E-Learning",'Pivot Table for Fact Book'!$A$3,"State","TN","type",15,"Type2","Four-Year")</f>
        <v>0</v>
      </c>
      <c r="P38" s="141">
        <f>GETPIVOTDATA("Sum of Old UG E-Learning",'Pivot Table for Fact Book'!$A$3,"State","TN","Type2","Four-Year")</f>
        <v>392205</v>
      </c>
      <c r="Q38" s="141">
        <f>GETPIVOTDATA("Sum of New UG E-Learning",'Pivot Table for Fact Book'!$A$3,"State","TN","Type2","Four-Year")</f>
        <v>444912</v>
      </c>
      <c r="R38" s="139">
        <f>GETPIVOTDATA("Sum of Old UG E-Learning",'Pivot Table for Fact Book'!$A$3,"State","TN","type",7,"Type2","Two-Year")</f>
        <v>0</v>
      </c>
      <c r="S38" s="142">
        <f>GETPIVOTDATA("Sum of New UG E-Learning",'Pivot Table for Fact Book'!$A$3,"State","TN","type",7,"Type2","Two-Year")</f>
        <v>0</v>
      </c>
      <c r="T38" s="142">
        <f>GETPIVOTDATA("Sum of Old UG E-Learning",'Pivot Table for Fact Book'!$A$3,"State","TN","type",8,"Type2","Two-Year")</f>
        <v>237733</v>
      </c>
      <c r="U38" s="142">
        <f>GETPIVOTDATA("Sum of New UG E-Learning",'Pivot Table for Fact Book'!$A$3,"State","TN","type",8,"Type2","Two-Year")</f>
        <v>245835</v>
      </c>
      <c r="V38" s="142">
        <f>GETPIVOTDATA("Sum of Old UG E-Learning",'Pivot Table for Fact Book'!$A$3,"State","TN","type",9,"Type2","Two-Year")</f>
        <v>220062</v>
      </c>
      <c r="W38" s="142">
        <f>GETPIVOTDATA("Sum of New UG E-Learning",'Pivot Table for Fact Book'!$A$3,"State","TN","type",9,"Type2","Two-Year")</f>
        <v>220912</v>
      </c>
      <c r="X38" s="142">
        <f>GETPIVOTDATA("Sum of Old UG E-Learning",'Pivot Table for Fact Book'!$A$3,"State","TN","type",10,"Type2","Two-Year")</f>
        <v>0</v>
      </c>
      <c r="Y38" s="142">
        <f>GETPIVOTDATA("Sum of New UG E-Learning",'Pivot Table for Fact Book'!$A$3,"State","TN","type",10,"Type2","Two-Year")</f>
        <v>0</v>
      </c>
      <c r="Z38" s="143">
        <f>GETPIVOTDATA("Sum of Old UG E-Learning",'Pivot Table for Fact Book'!$A$3,"State","TN","Type2","Two-Year")</f>
        <v>457795</v>
      </c>
      <c r="AA38" s="143">
        <f>GETPIVOTDATA("Sum of New UG E-Learning",'Pivot Table for Fact Book'!$A$3,"State","TN","Type2","Two-Year")</f>
        <v>466747</v>
      </c>
      <c r="AB38" s="139">
        <f>+GETPIVOTDATA("Sum of Old UG E-Learning",'Pivot Table for Fact Book'!$A$3,"State","TN","type",12,"type2","Techncial")</f>
        <v>0</v>
      </c>
      <c r="AC38" s="142">
        <f>+GETPIVOTDATA("Sum of New UG E-Learning",'Pivot Table for Fact Book'!$A$3,"State","TN","type",12,"type2","Techncial")</f>
        <v>0</v>
      </c>
      <c r="AD38" s="142">
        <f>+GETPIVOTDATA("Sum of Old UG E-Learning",'Pivot Table for Fact Book'!$A$3,"State","TN","type",13,"type2","Techncial")</f>
        <v>0</v>
      </c>
      <c r="AE38" s="142">
        <f>+GETPIVOTDATA("Sum of New UG E-Learning",'Pivot Table for Fact Book'!$A$3,"State","TN","type",13,"type2","Techncial")</f>
        <v>0</v>
      </c>
      <c r="AF38" s="145">
        <f>+GETPIVOTDATA("Sum of Old UG E-Learning",'Pivot Table for Fact Book'!$A$3,"State","TN","type2","Techncial")</f>
        <v>0</v>
      </c>
      <c r="AG38" s="145">
        <f>+GETPIVOTDATA("Sum of New UG E-Learning",'Pivot Table for Fact Book'!$A$3,"State","TN","type2","Techncial")</f>
        <v>0</v>
      </c>
      <c r="AH38" s="14"/>
    </row>
    <row r="39" spans="1:34">
      <c r="A39" s="275" t="s">
        <v>153</v>
      </c>
      <c r="B39" s="139">
        <f>GETPIVOTDATA("Sum of Old UG E-Learning",'Pivot Table for Fact Book'!$A$3,"State","TX","type",1,"Type2","Four-Year")</f>
        <v>370133</v>
      </c>
      <c r="C39" s="140">
        <f>GETPIVOTDATA("Sum of New UG E-Learning",'Pivot Table for Fact Book'!$A$3,"State","TX","type",1,"Type2","Four-Year")</f>
        <v>461559</v>
      </c>
      <c r="D39" s="139">
        <f>GETPIVOTDATA("Sum of Old UG E-Learning",'Pivot Table for Fact Book'!$A$3,"State","TX","type",2,"Type2","Four-Year")</f>
        <v>88967</v>
      </c>
      <c r="E39" s="140">
        <f>GETPIVOTDATA("Sum of New UG E-Learning",'Pivot Table for Fact Book'!$A$3,"State","TX","type",2,"Type2","Four-Year")</f>
        <v>121592</v>
      </c>
      <c r="F39" s="139">
        <f>GETPIVOTDATA("Sum of Old UG E-Learning",'Pivot Table for Fact Book'!$A$3,"State","TX","type",3,"Type2","Four-Year")</f>
        <v>320146</v>
      </c>
      <c r="G39" s="140">
        <f>GETPIVOTDATA("Sum of New UG E-Learning",'Pivot Table for Fact Book'!$A$3,"State","TX","type",3,"Type2","Four-Year")</f>
        <v>412976</v>
      </c>
      <c r="H39" s="139">
        <f>GETPIVOTDATA("Sum of Old UG E-Learning",'Pivot Table for Fact Book'!$A$3,"State","TX","type",4,"Type2","Four-Year")</f>
        <v>41925</v>
      </c>
      <c r="I39" s="140">
        <f>GETPIVOTDATA("Sum of New UG E-Learning",'Pivot Table for Fact Book'!$A$3,"State","TX","type",4,"Type2","Four-Year")</f>
        <v>44071</v>
      </c>
      <c r="J39" s="139">
        <f>GETPIVOTDATA("Sum of Old UG E-Learning",'Pivot Table for Fact Book'!$A$3,"State","TX","type",5,"Type2","Four-Year")</f>
        <v>49229</v>
      </c>
      <c r="K39" s="140">
        <f>GETPIVOTDATA("Sum of New UG E-Learning",'Pivot Table for Fact Book'!$A$3,"State","TX","type",5,"Type2","Four-Year")</f>
        <v>74644</v>
      </c>
      <c r="L39" s="139">
        <f>GETPIVOTDATA("Sum of Old UG E-Learning",'Pivot Table for Fact Book'!$A$3,"State","TX","type",6,"Type2","Four-Year")</f>
        <v>0</v>
      </c>
      <c r="M39" s="140">
        <f>GETPIVOTDATA("Sum of New UG E-Learning",'Pivot Table for Fact Book'!$A$3,"State","TX","type",6,"Type2","Four-Year")</f>
        <v>0</v>
      </c>
      <c r="N39" s="139">
        <f>GETPIVOTDATA("Sum of Old UG E-Learning",'Pivot Table for Fact Book'!$A$3,"State","TX","type",15,"Type2","Four-Year")</f>
        <v>0</v>
      </c>
      <c r="O39" s="140">
        <f>GETPIVOTDATA("Sum of New UG E-Learning",'Pivot Table for Fact Book'!$A$3,"State","TX","type",15,"Type2","Four-Year")</f>
        <v>0</v>
      </c>
      <c r="P39" s="141">
        <f>GETPIVOTDATA("Sum of Old UG E-Learning",'Pivot Table for Fact Book'!$A$3,"State","TX","Type2","Four-Year")</f>
        <v>880740</v>
      </c>
      <c r="Q39" s="141">
        <f>GETPIVOTDATA("Sum of New UG E-Learning",'Pivot Table for Fact Book'!$A$3,"State","TX","Type2","Four-Year")</f>
        <v>1145272</v>
      </c>
      <c r="R39" s="139">
        <f>GETPIVOTDATA("Sum of Old UG E-Learning",'Pivot Table for Fact Book'!$A$3,"State","TX","type",7,"Type2","Two-Year")</f>
        <v>128838</v>
      </c>
      <c r="S39" s="142">
        <f>GETPIVOTDATA("Sum of New UG E-Learning",'Pivot Table for Fact Book'!$A$3,"State","TX","type",7,"Type2","Two-Year")</f>
        <v>148330</v>
      </c>
      <c r="T39" s="142">
        <f>GETPIVOTDATA("Sum of Old UG E-Learning",'Pivot Table for Fact Book'!$A$3,"State","TX","type",8,"Type2","Two-Year")</f>
        <v>1907840</v>
      </c>
      <c r="U39" s="142">
        <f>GETPIVOTDATA("Sum of New UG E-Learning",'Pivot Table for Fact Book'!$A$3,"State","TX","type",8,"Type2","Two-Year")</f>
        <v>1999366</v>
      </c>
      <c r="V39" s="142">
        <f>GETPIVOTDATA("Sum of Old UG E-Learning",'Pivot Table for Fact Book'!$A$3,"State","TX","type",9,"Type2","Two-Year")</f>
        <v>471106</v>
      </c>
      <c r="W39" s="142">
        <f>GETPIVOTDATA("Sum of New UG E-Learning",'Pivot Table for Fact Book'!$A$3,"State","TX","type",9,"Type2","Two-Year")</f>
        <v>534262</v>
      </c>
      <c r="X39" s="142">
        <f>GETPIVOTDATA("Sum of Old UG E-Learning",'Pivot Table for Fact Book'!$A$3,"State","TX","type",10,"Type2","Two-Year")</f>
        <v>97384</v>
      </c>
      <c r="Y39" s="142">
        <f>GETPIVOTDATA("Sum of New UG E-Learning",'Pivot Table for Fact Book'!$A$3,"State","TX","type",10,"Type2","Two-Year")</f>
        <v>101626</v>
      </c>
      <c r="Z39" s="143">
        <f>GETPIVOTDATA("Sum of Old UG E-Learning",'Pivot Table for Fact Book'!$A$3,"State","TX","Type2","Two-Year")</f>
        <v>2605168</v>
      </c>
      <c r="AA39" s="143">
        <f>GETPIVOTDATA("Sum of New UG E-Learning",'Pivot Table for Fact Book'!$A$3,"State","TX","Type2","Two-Year")</f>
        <v>2783584</v>
      </c>
      <c r="AB39" s="139">
        <f>+GETPIVOTDATA("Sum of Old UG E-Learning",'Pivot Table for Fact Book'!$A$3,"State","TX","type",12,"type2","Techncial")</f>
        <v>0</v>
      </c>
      <c r="AC39" s="142">
        <f>+GETPIVOTDATA("Sum of New UG E-Learning",'Pivot Table for Fact Book'!$A$3,"State","TX","type",12,"type2","Techncial")</f>
        <v>0</v>
      </c>
      <c r="AD39" s="142">
        <f>+GETPIVOTDATA("Sum of Old UG E-Learning",'Pivot Table for Fact Book'!$A$3,"State","TX","type",13,"type2","Techncial")</f>
        <v>0</v>
      </c>
      <c r="AE39" s="142">
        <f>+GETPIVOTDATA("Sum of New UG E-Learning",'Pivot Table for Fact Book'!$A$3,"State","TX","type",13,"type2","Techncial")</f>
        <v>0</v>
      </c>
      <c r="AF39" s="145">
        <f>+GETPIVOTDATA("Sum of Old UG E-Learning",'Pivot Table for Fact Book'!$A$3,"State","TX","type2","Techncial")</f>
        <v>0</v>
      </c>
      <c r="AG39" s="145">
        <f>+GETPIVOTDATA("Sum of New UG E-Learning",'Pivot Table for Fact Book'!$A$3,"State","TX","type2","Techncial")</f>
        <v>0</v>
      </c>
      <c r="AH39" s="14"/>
    </row>
    <row r="40" spans="1:34">
      <c r="A40" s="275" t="s">
        <v>154</v>
      </c>
      <c r="B40" s="139">
        <f>GETPIVOTDATA("Sum of Old UG E-Learning",'Pivot Table for Fact Book'!$A$3,"State","VA","type",1,"Type2","Four-Year")</f>
        <v>86712</v>
      </c>
      <c r="C40" s="140">
        <f>GETPIVOTDATA("Sum of New UG E-Learning",'Pivot Table for Fact Book'!$A$3,"State","VA","type",1,"Type2","Four-Year")</f>
        <v>99302</v>
      </c>
      <c r="D40" s="139">
        <f>GETPIVOTDATA("Sum of Old UG E-Learning",'Pivot Table for Fact Book'!$A$3,"State","VA","type",2,"Type2","Four-Year")</f>
        <v>15580</v>
      </c>
      <c r="E40" s="140">
        <f>GETPIVOTDATA("Sum of New UG E-Learning",'Pivot Table for Fact Book'!$A$3,"State","VA","type",2,"Type2","Four-Year")</f>
        <v>24280</v>
      </c>
      <c r="F40" s="139">
        <f>GETPIVOTDATA("Sum of Old UG E-Learning",'Pivot Table for Fact Book'!$A$3,"State","VA","type",3,"Type2","Four-Year")</f>
        <v>18759</v>
      </c>
      <c r="G40" s="140">
        <f>GETPIVOTDATA("Sum of New UG E-Learning",'Pivot Table for Fact Book'!$A$3,"State","VA","type",3,"Type2","Four-Year")</f>
        <v>39964</v>
      </c>
      <c r="H40" s="139">
        <f>GETPIVOTDATA("Sum of Old UG E-Learning",'Pivot Table for Fact Book'!$A$3,"State","VA","type",4,"Type2","Four-Year")</f>
        <v>10325</v>
      </c>
      <c r="I40" s="140">
        <f>GETPIVOTDATA("Sum of New UG E-Learning",'Pivot Table for Fact Book'!$A$3,"State","VA","type",4,"Type2","Four-Year")</f>
        <v>2752</v>
      </c>
      <c r="J40" s="139">
        <f>GETPIVOTDATA("Sum of Old UG E-Learning",'Pivot Table for Fact Book'!$A$3,"State","VA","type",5,"Type2","Four-Year")</f>
        <v>5733</v>
      </c>
      <c r="K40" s="140">
        <f>GETPIVOTDATA("Sum of New UG E-Learning",'Pivot Table for Fact Book'!$A$3,"State","VA","type",5,"Type2","Four-Year")</f>
        <v>12099</v>
      </c>
      <c r="L40" s="139">
        <f>GETPIVOTDATA("Sum of Old UG E-Learning",'Pivot Table for Fact Book'!$A$3,"State","VA","type",6,"Type2","Four-Year")</f>
        <v>2020</v>
      </c>
      <c r="M40" s="140">
        <f>GETPIVOTDATA("Sum of New UG E-Learning",'Pivot Table for Fact Book'!$A$3,"State","VA","type",6,"Type2","Four-Year")</f>
        <v>1704</v>
      </c>
      <c r="N40" s="139">
        <f>GETPIVOTDATA("Sum of Old UG E-Learning",'Pivot Table for Fact Book'!$A$3,"State","VA","type",15,"Type2","Four-Year")</f>
        <v>0</v>
      </c>
      <c r="O40" s="140">
        <f>GETPIVOTDATA("Sum of New UG E-Learning",'Pivot Table for Fact Book'!$A$3,"State","VA","type",15,"Type2","Four-Year")</f>
        <v>0</v>
      </c>
      <c r="P40" s="141">
        <f>GETPIVOTDATA("Sum of Old UG E-Learning",'Pivot Table for Fact Book'!$A$3,"State","VA","Type2","Four-Year")</f>
        <v>139129</v>
      </c>
      <c r="Q40" s="141">
        <f>GETPIVOTDATA("Sum of New UG E-Learning",'Pivot Table for Fact Book'!$A$3,"State","VA","Type2","Four-Year")</f>
        <v>180101</v>
      </c>
      <c r="R40" s="139">
        <f>GETPIVOTDATA("Sum of Old UG E-Learning",'Pivot Table for Fact Book'!$A$3,"State","VA","type",7,"Type2","Two-Year")</f>
        <v>0</v>
      </c>
      <c r="S40" s="142">
        <f>GETPIVOTDATA("Sum of New UG E-Learning",'Pivot Table for Fact Book'!$A$3,"State","VA","type",7,"Type2","Two-Year")</f>
        <v>0</v>
      </c>
      <c r="T40" s="142">
        <f>GETPIVOTDATA("Sum of Old UG E-Learning",'Pivot Table for Fact Book'!$A$3,"State","VA","type",8,"Type2","Two-Year")</f>
        <v>475722</v>
      </c>
      <c r="U40" s="142">
        <f>GETPIVOTDATA("Sum of New UG E-Learning",'Pivot Table for Fact Book'!$A$3,"State","VA","type",8,"Type2","Two-Year")</f>
        <v>524476</v>
      </c>
      <c r="V40" s="142">
        <f>GETPIVOTDATA("Sum of Old UG E-Learning",'Pivot Table for Fact Book'!$A$3,"State","VA","type",9,"Type2","Two-Year")</f>
        <v>330383</v>
      </c>
      <c r="W40" s="142">
        <f>GETPIVOTDATA("Sum of New UG E-Learning",'Pivot Table for Fact Book'!$A$3,"State","VA","type",9,"Type2","Two-Year")</f>
        <v>378686</v>
      </c>
      <c r="X40" s="142">
        <f>GETPIVOTDATA("Sum of Old UG E-Learning",'Pivot Table for Fact Book'!$A$3,"State","VA","type",10,"Type2","Two-Year")</f>
        <v>87657</v>
      </c>
      <c r="Y40" s="142">
        <f>GETPIVOTDATA("Sum of New UG E-Learning",'Pivot Table for Fact Book'!$A$3,"State","VA","type",10,"Type2","Two-Year")</f>
        <v>94911</v>
      </c>
      <c r="Z40" s="143">
        <f>GETPIVOTDATA("Sum of Old UG E-Learning",'Pivot Table for Fact Book'!$A$3,"State","VA","Type2","Two-Year")</f>
        <v>893762</v>
      </c>
      <c r="AA40" s="143">
        <f>GETPIVOTDATA("Sum of New UG E-Learning",'Pivot Table for Fact Book'!$A$3,"State","VA","Type2","Two-Year")</f>
        <v>998073</v>
      </c>
      <c r="AB40" s="139">
        <f>+GETPIVOTDATA("Sum of Old UG E-Learning",'Pivot Table for Fact Book'!$A$3,"State","VA","type",12,"type2","Techncial")</f>
        <v>0</v>
      </c>
      <c r="AC40" s="142">
        <f>+GETPIVOTDATA("Sum of New UG E-Learning",'Pivot Table for Fact Book'!$A$3,"State","VA","type",12,"type2","Techncial")</f>
        <v>0</v>
      </c>
      <c r="AD40" s="142">
        <f>+GETPIVOTDATA("Sum of Old UG E-Learning",'Pivot Table for Fact Book'!$A$3,"State","VA","type",13,"type2","Techncial")</f>
        <v>0</v>
      </c>
      <c r="AE40" s="142">
        <f>+GETPIVOTDATA("Sum of New UG E-Learning",'Pivot Table for Fact Book'!$A$3,"State","VA","type",13,"type2","Techncial")</f>
        <v>0</v>
      </c>
      <c r="AF40" s="145">
        <f>+GETPIVOTDATA("Sum of Old UG E-Learning",'Pivot Table for Fact Book'!$A$3,"State","VA","type2","Techncial")</f>
        <v>0</v>
      </c>
      <c r="AG40" s="145">
        <f>+GETPIVOTDATA("Sum of New UG E-Learning",'Pivot Table for Fact Book'!$A$3,"State","VA","type2","Techncial")</f>
        <v>0</v>
      </c>
      <c r="AH40" s="14"/>
    </row>
    <row r="41" spans="1:34">
      <c r="A41" s="285" t="s">
        <v>155</v>
      </c>
      <c r="B41" s="286">
        <f>GETPIVOTDATA("Sum of Old UG E-Learning",'Pivot Table for Fact Book'!$A$3,"State","WV","type",1,"Type2","Four-Year")</f>
        <v>42506</v>
      </c>
      <c r="C41" s="287">
        <f>GETPIVOTDATA("Sum of New UG E-Learning",'Pivot Table for Fact Book'!$A$3,"State","WV","type",1,"Type2","Four-Year")</f>
        <v>47582</v>
      </c>
      <c r="D41" s="286">
        <f>GETPIVOTDATA("Sum of Old UG E-Learning",'Pivot Table for Fact Book'!$A$3,"State","WV","type",2,"Type2","Four-Year")</f>
        <v>0</v>
      </c>
      <c r="E41" s="287">
        <f>GETPIVOTDATA("Sum of New UG E-Learning",'Pivot Table for Fact Book'!$A$3,"State","WV","type",2,"Type2","Four-Year")</f>
        <v>0</v>
      </c>
      <c r="F41" s="286">
        <f>GETPIVOTDATA("Sum of Old UG E-Learning",'Pivot Table for Fact Book'!$A$3,"State","WV","type",3,"Type2","Four-Year")</f>
        <v>34846</v>
      </c>
      <c r="G41" s="287">
        <f>GETPIVOTDATA("Sum of New UG E-Learning",'Pivot Table for Fact Book'!$A$3,"State","WV","type",3,"Type2","Four-Year")</f>
        <v>38858</v>
      </c>
      <c r="H41" s="286">
        <f>GETPIVOTDATA("Sum of Old UG E-Learning",'Pivot Table for Fact Book'!$A$3,"State","WV","type",4,"Type2","Four-Year")</f>
        <v>0</v>
      </c>
      <c r="I41" s="287">
        <f>GETPIVOTDATA("Sum of New UG E-Learning",'Pivot Table for Fact Book'!$A$3,"State","WV","type",4,"Type2","Four-Year")</f>
        <v>0</v>
      </c>
      <c r="J41" s="286">
        <f>GETPIVOTDATA("Sum of Old UG E-Learning",'Pivot Table for Fact Book'!$A$3,"State","WV","type",5,"Type2","Four-Year")</f>
        <v>15796</v>
      </c>
      <c r="K41" s="287">
        <f>GETPIVOTDATA("Sum of New UG E-Learning",'Pivot Table for Fact Book'!$A$3,"State","WV","type",5,"Type2","Four-Year")</f>
        <v>15838</v>
      </c>
      <c r="L41" s="286">
        <f>GETPIVOTDATA("Sum of Old UG E-Learning",'Pivot Table for Fact Book'!$A$3,"State","WV","type",6,"Type2","Four-Year")</f>
        <v>40016</v>
      </c>
      <c r="M41" s="287">
        <f>GETPIVOTDATA("Sum of New UG E-Learning",'Pivot Table for Fact Book'!$A$3,"State","WV","type",6,"Type2","Four-Year")</f>
        <v>48676</v>
      </c>
      <c r="N41" s="286">
        <f>GETPIVOTDATA("Sum of Old UG E-Learning",'Pivot Table for Fact Book'!$A$3,"State","WV","type",15,"Type2","Four-Year")</f>
        <v>0</v>
      </c>
      <c r="O41" s="287">
        <f>GETPIVOTDATA("Sum of New UG E-Learning",'Pivot Table for Fact Book'!$A$3,"State","WV","type",15,"Type2","Four-Year")</f>
        <v>0</v>
      </c>
      <c r="P41" s="288">
        <f>GETPIVOTDATA("Sum of Old UG E-Learning",'Pivot Table for Fact Book'!$A$3,"State","WV","Type2","Four-Year")</f>
        <v>133164</v>
      </c>
      <c r="Q41" s="288">
        <f>GETPIVOTDATA("Sum of New UG E-Learning",'Pivot Table for Fact Book'!$A$3,"State","WV","Type2","Four-Year")</f>
        <v>150954</v>
      </c>
      <c r="R41" s="286">
        <f>GETPIVOTDATA("Sum of Old UG E-Learning",'Pivot Table for Fact Book'!$A$3,"State","WV","type",7,"Type2","Two-Year")</f>
        <v>27169</v>
      </c>
      <c r="S41" s="287">
        <f>GETPIVOTDATA("Sum of New UG E-Learning",'Pivot Table for Fact Book'!$A$3,"State","WV","type",7,"Type2","Two-Year")</f>
        <v>31389</v>
      </c>
      <c r="T41" s="287">
        <f>GETPIVOTDATA("Sum of Old UG E-Learning",'Pivot Table for Fact Book'!$A$3,"State","WV","type",8,"Type2","Two-Year")</f>
        <v>0</v>
      </c>
      <c r="U41" s="287">
        <f>GETPIVOTDATA("Sum of New UG E-Learning",'Pivot Table for Fact Book'!$A$3,"State","WV","type",8,"Type2","Two-Year")</f>
        <v>0</v>
      </c>
      <c r="V41" s="287">
        <f>GETPIVOTDATA("Sum of Old UG E-Learning",'Pivot Table for Fact Book'!$A$3,"State","WV","type",9,"Type2","Two-Year")</f>
        <v>12088</v>
      </c>
      <c r="W41" s="287">
        <f>GETPIVOTDATA("Sum of New UG E-Learning",'Pivot Table for Fact Book'!$A$3,"State","WV","type",9,"Type2","Two-Year")</f>
        <v>17410</v>
      </c>
      <c r="X41" s="287">
        <f>GETPIVOTDATA("Sum of Old UG E-Learning",'Pivot Table for Fact Book'!$A$3,"State","WV","type",10,"Type2","Two-Year")</f>
        <v>62515</v>
      </c>
      <c r="Y41" s="287">
        <f>GETPIVOTDATA("Sum of New UG E-Learning",'Pivot Table for Fact Book'!$A$3,"State","WV","type",10,"Type2","Two-Year")</f>
        <v>68137</v>
      </c>
      <c r="Z41" s="289">
        <f>GETPIVOTDATA("Sum of Old UG E-Learning",'Pivot Table for Fact Book'!$A$3,"State","WV","Type2","Two-Year")</f>
        <v>101772</v>
      </c>
      <c r="AA41" s="289">
        <f>GETPIVOTDATA("Sum of New UG E-Learning",'Pivot Table for Fact Book'!$A$3,"State","WV","Type2","Two-Year")</f>
        <v>116936</v>
      </c>
      <c r="AB41" s="286">
        <f>+GETPIVOTDATA("Sum of Old UG E-Learning",'Pivot Table for Fact Book'!$A$3,"State","WV","type",12,"type2","Techncial")</f>
        <v>0</v>
      </c>
      <c r="AC41" s="287">
        <f>+GETPIVOTDATA("Sum of New UG E-Learning",'Pivot Table for Fact Book'!$A$3,"State","WV","type",12,"type2","Techncial")</f>
        <v>0</v>
      </c>
      <c r="AD41" s="287">
        <f>+GETPIVOTDATA("Sum of Old UG E-Learning",'Pivot Table for Fact Book'!$A$3,"State","WV","type",13,"type2","Techncial")</f>
        <v>0</v>
      </c>
      <c r="AE41" s="287">
        <f>+GETPIVOTDATA("Sum of New UG E-Learning",'Pivot Table for Fact Book'!$A$3,"State","WV","type",13,"type2","Techncial")</f>
        <v>0</v>
      </c>
      <c r="AF41" s="291">
        <f>+GETPIVOTDATA("Sum of Old UG E-Learning",'Pivot Table for Fact Book'!$A$3,"State","WV","type2","Techncial")</f>
        <v>0</v>
      </c>
      <c r="AG41" s="291">
        <f>+GETPIVOTDATA("Sum of New UG E-Learning",'Pivot Table for Fact Book'!$A$3,"State","WV","type2","Techncial")</f>
        <v>0</v>
      </c>
      <c r="AH41" s="14"/>
    </row>
    <row r="43" spans="1:34">
      <c r="A43" s="276" t="s">
        <v>187</v>
      </c>
    </row>
    <row r="44" spans="1:34">
      <c r="B44" s="124" t="s">
        <v>182</v>
      </c>
      <c r="C44" s="125"/>
      <c r="D44" s="125"/>
      <c r="E44" s="125"/>
      <c r="F44" s="125"/>
      <c r="G44" s="125"/>
      <c r="H44" s="125"/>
      <c r="I44" s="125"/>
      <c r="J44" s="125"/>
      <c r="K44" s="125"/>
      <c r="L44" s="125"/>
      <c r="M44" s="125"/>
      <c r="N44" s="125"/>
      <c r="O44" s="125"/>
      <c r="P44" s="125"/>
      <c r="Q44" s="126"/>
    </row>
    <row r="45" spans="1:34">
      <c r="B45" s="132">
        <v>1</v>
      </c>
      <c r="C45" s="133"/>
      <c r="D45" s="132">
        <v>2</v>
      </c>
      <c r="E45" s="133"/>
      <c r="F45" s="132">
        <v>3</v>
      </c>
      <c r="G45" s="133"/>
      <c r="H45" s="132">
        <v>4</v>
      </c>
      <c r="I45" s="133"/>
      <c r="J45" s="132">
        <v>5</v>
      </c>
      <c r="K45" s="133"/>
      <c r="L45" s="132">
        <v>6</v>
      </c>
      <c r="M45" s="133"/>
      <c r="N45" s="132">
        <v>15</v>
      </c>
      <c r="O45" s="133"/>
      <c r="P45" s="132" t="s">
        <v>185</v>
      </c>
      <c r="Q45" s="134"/>
    </row>
    <row r="46" spans="1:34">
      <c r="B46" s="279">
        <v>2010</v>
      </c>
      <c r="C46" s="280">
        <v>2011</v>
      </c>
      <c r="D46" s="279">
        <v>2010</v>
      </c>
      <c r="E46" s="280">
        <v>2011</v>
      </c>
      <c r="F46" s="279">
        <v>2010</v>
      </c>
      <c r="G46" s="280">
        <v>2011</v>
      </c>
      <c r="H46" s="279">
        <v>2010</v>
      </c>
      <c r="I46" s="280">
        <v>2011</v>
      </c>
      <c r="J46" s="279">
        <v>2010</v>
      </c>
      <c r="K46" s="280">
        <v>2011</v>
      </c>
      <c r="L46" s="279">
        <v>2010</v>
      </c>
      <c r="M46" s="280">
        <v>2011</v>
      </c>
      <c r="N46" s="279">
        <v>2010</v>
      </c>
      <c r="O46" s="280">
        <v>2011</v>
      </c>
      <c r="P46" s="279">
        <v>2010</v>
      </c>
      <c r="Q46" s="280">
        <v>2011</v>
      </c>
      <c r="AH46" s="14"/>
    </row>
    <row r="47" spans="1:34">
      <c r="A47" s="275" t="s">
        <v>141</v>
      </c>
      <c r="B47" s="139">
        <f>GETPIVOTDATA("Sum of Old-Tot G SCH Calc",'Pivot Table for Fact Book'!$A$3,"State","AL","type",1,"Type2","Four-Year")</f>
        <v>235423</v>
      </c>
      <c r="C47" s="140">
        <f>GETPIVOTDATA("Sum of New-Tot G SCH Calc",'Pivot Table for Fact Book'!$A$3,"State","AL","type",1,"Type2","Four-Year")</f>
        <v>240622</v>
      </c>
      <c r="D47" s="139">
        <f>GETPIVOTDATA("Sum of Old-Tot G SCH Calc",'Pivot Table for Fact Book'!$A$3,"State","AL","type",2,"Type2","Four-Year")</f>
        <v>21952</v>
      </c>
      <c r="E47" s="140">
        <f>GETPIVOTDATA("Sum of New-Tot G SCH Calc",'Pivot Table for Fact Book'!$A$3,"State","AL","type",2,"Type2","Four-Year")</f>
        <v>23176</v>
      </c>
      <c r="F47" s="139">
        <f>GETPIVOTDATA("Sum of Old-Tot G SCH Calc",'Pivot Table for Fact Book'!$A$3,"State","AL","type",3,"Type2","Four-Year")</f>
        <v>105605</v>
      </c>
      <c r="G47" s="140">
        <f>GETPIVOTDATA("Sum of New-Tot G SCH Calc",'Pivot Table for Fact Book'!$A$3,"State","AL","type",3,"Type2","Four-Year")</f>
        <v>109587</v>
      </c>
      <c r="H47" s="139">
        <f>GETPIVOTDATA("Sum of Old-Tot G SCH Calc",'Pivot Table for Fact Book'!$A$3,"State","AL","type",4,"Type2","Four-Year")</f>
        <v>49129</v>
      </c>
      <c r="I47" s="140">
        <f>GETPIVOTDATA("Sum of New-Tot G SCH Calc",'Pivot Table for Fact Book'!$A$3,"State","AL","type",4,"Type2","Four-Year")</f>
        <v>45224</v>
      </c>
      <c r="J47" s="139">
        <f>GETPIVOTDATA("Sum of Old-Tot G SCH Calc",'Pivot Table for Fact Book'!$A$3,"State","AL","type",5,"Type2","Four-Year")</f>
        <v>57895</v>
      </c>
      <c r="K47" s="140">
        <f>GETPIVOTDATA("Sum of New-Tot G SCH Calc",'Pivot Table for Fact Book'!$A$3,"State","AL","type",5,"Type2","Four-Year")</f>
        <v>58285</v>
      </c>
      <c r="L47" s="139">
        <f>GETPIVOTDATA("Sum of Old-Tot G SCH Calc",'Pivot Table for Fact Book'!$A$3,"State","AL","type",6,"Type2","Four-Year")</f>
        <v>0</v>
      </c>
      <c r="M47" s="140">
        <f>GETPIVOTDATA("Sum of New-Tot G SCH Calc",'Pivot Table for Fact Book'!$A$3,"State","AL","type",6,"Type2","Four-Year")</f>
        <v>0</v>
      </c>
      <c r="N47" s="139">
        <f>GETPIVOTDATA("Sum of Old-Tot G SCH Calc",'Pivot Table for Fact Book'!$A$3,"State","AL","type",15,"Type2","Four-Year")</f>
        <v>0</v>
      </c>
      <c r="O47" s="140">
        <f>GETPIVOTDATA("Sum of New-Tot G SCH Calc",'Pivot Table for Fact Book'!$A$3,"State","AL","type",15,"Type2","Four-Year")</f>
        <v>0</v>
      </c>
      <c r="P47" s="141">
        <f>GETPIVOTDATA("Sum of Old-Tot G SCH Calc",'Pivot Table for Fact Book'!$A$3,"State","AL","Type2","Four-Year")</f>
        <v>470004</v>
      </c>
      <c r="Q47" s="141">
        <f>GETPIVOTDATA("Sum of New-Tot G SCH Calc",'Pivot Table for Fact Book'!$A$3,"State","AL","Type2","Four-Year")</f>
        <v>476894</v>
      </c>
      <c r="AH47" s="14"/>
    </row>
    <row r="48" spans="1:34">
      <c r="A48" s="275" t="s">
        <v>142</v>
      </c>
      <c r="B48" s="139">
        <f>GETPIVOTDATA("Sum of Old-Tot G SCH Calc",'Pivot Table for Fact Book'!$A$3,"State","AR","type",1,"Type2","Four-Year")</f>
        <v>75584</v>
      </c>
      <c r="C48" s="140">
        <f>GETPIVOTDATA("Sum of New-Tot G SCH Calc",'Pivot Table for Fact Book'!$A$3,"State","AR","type",1,"Type2","Four-Year")</f>
        <v>77183</v>
      </c>
      <c r="D48" s="139">
        <f>GETPIVOTDATA("Sum of Old-Tot G SCH Calc",'Pivot Table for Fact Book'!$A$3,"State","AR","type",2,"Type2","Four-Year")</f>
        <v>0</v>
      </c>
      <c r="E48" s="140">
        <f>GETPIVOTDATA("Sum of New-Tot G SCH Calc",'Pivot Table for Fact Book'!$A$3,"State","AR","type",2,"Type2","Four-Year")</f>
        <v>0</v>
      </c>
      <c r="F48" s="139">
        <f>GETPIVOTDATA("Sum of Old-Tot G SCH Calc",'Pivot Table for Fact Book'!$A$3,"State","AR","type",3,"Type2","Four-Year")</f>
        <v>153797</v>
      </c>
      <c r="G48" s="140">
        <f>GETPIVOTDATA("Sum of New-Tot G SCH Calc",'Pivot Table for Fact Book'!$A$3,"State","AR","type",3,"Type2","Four-Year")</f>
        <v>166189</v>
      </c>
      <c r="H48" s="139">
        <f>GETPIVOTDATA("Sum of Old-Tot G SCH Calc",'Pivot Table for Fact Book'!$A$3,"State","AR","type",4,"Type2","Four-Year")</f>
        <v>28370</v>
      </c>
      <c r="I48" s="140">
        <f>GETPIVOTDATA("Sum of New-Tot G SCH Calc",'Pivot Table for Fact Book'!$A$3,"State","AR","type",4,"Type2","Four-Year")</f>
        <v>28836</v>
      </c>
      <c r="J48" s="139">
        <f>GETPIVOTDATA("Sum of Old-Tot G SCH Calc",'Pivot Table for Fact Book'!$A$3,"State","AR","type",5,"Type2","Four-Year")</f>
        <v>2591</v>
      </c>
      <c r="K48" s="140">
        <f>GETPIVOTDATA("Sum of New-Tot G SCH Calc",'Pivot Table for Fact Book'!$A$3,"State","AR","type",5,"Type2","Four-Year")</f>
        <v>2079</v>
      </c>
      <c r="L48" s="139">
        <f>GETPIVOTDATA("Sum of Old-Tot G SCH Calc",'Pivot Table for Fact Book'!$A$3,"State","AR","type",6,"Type2","Four-Year")</f>
        <v>2132</v>
      </c>
      <c r="M48" s="140">
        <f>GETPIVOTDATA("Sum of New-Tot G SCH Calc",'Pivot Table for Fact Book'!$A$3,"State","AR","type",6,"Type2","Four-Year")</f>
        <v>1885</v>
      </c>
      <c r="N48" s="139">
        <f>GETPIVOTDATA("Sum of Old-Tot G SCH Calc",'Pivot Table for Fact Book'!$A$3,"State","AR","type",15,"Type2","Four-Year")</f>
        <v>0</v>
      </c>
      <c r="O48" s="140">
        <f>GETPIVOTDATA("Sum of New-Tot G SCH Calc",'Pivot Table for Fact Book'!$A$3,"State","AR","type",15,"Type2","Four-Year")</f>
        <v>0</v>
      </c>
      <c r="P48" s="141">
        <f>GETPIVOTDATA("Sum of Old-Tot G SCH Calc",'Pivot Table for Fact Book'!$A$3,"State","AR","Type2","Four-Year")</f>
        <v>262474</v>
      </c>
      <c r="Q48" s="141">
        <f>GETPIVOTDATA("Sum of New-Tot G SCH Calc",'Pivot Table for Fact Book'!$A$3,"State","AR","Type2","Four-Year")</f>
        <v>276172</v>
      </c>
      <c r="AH48" s="14"/>
    </row>
    <row r="49" spans="1:34">
      <c r="A49" s="275" t="s">
        <v>143</v>
      </c>
      <c r="B49" s="139">
        <f>GETPIVOTDATA("Sum of Old-Tot G SCH Calc",'Pivot Table for Fact Book'!$A$3,"State","DE","type",1,"Type2","Four-Year")</f>
        <v>54654</v>
      </c>
      <c r="C49" s="140">
        <f>GETPIVOTDATA("Sum of New-Tot G SCH Calc",'Pivot Table for Fact Book'!$A$3,"State","DE","type",1,"Type2","Four-Year")</f>
        <v>51744</v>
      </c>
      <c r="D49" s="139">
        <f>GETPIVOTDATA("Sum of Old-Tot G SCH Calc",'Pivot Table for Fact Book'!$A$3,"State","DE","type",2,"Type2","Four-Year")</f>
        <v>0</v>
      </c>
      <c r="E49" s="140">
        <f>GETPIVOTDATA("Sum of New-Tot G SCH Calc",'Pivot Table for Fact Book'!$A$3,"State","DE","type",2,"Type2","Four-Year")</f>
        <v>0</v>
      </c>
      <c r="F49" s="139">
        <f>GETPIVOTDATA("Sum of Old-Tot G SCH Calc",'Pivot Table for Fact Book'!$A$3,"State","DE","type",3,"Type2","Four-Year")</f>
        <v>0</v>
      </c>
      <c r="G49" s="140">
        <f>GETPIVOTDATA("Sum of New-Tot G SCH Calc",'Pivot Table for Fact Book'!$A$3,"State","DE","type",3,"Type2","Four-Year")</f>
        <v>0</v>
      </c>
      <c r="H49" s="139">
        <f>GETPIVOTDATA("Sum of Old-Tot G SCH Calc",'Pivot Table for Fact Book'!$A$3,"State","DE","type",4,"Type2","Four-Year")</f>
        <v>8878</v>
      </c>
      <c r="I49" s="140">
        <f>GETPIVOTDATA("Sum of New-Tot G SCH Calc",'Pivot Table for Fact Book'!$A$3,"State","DE","type",4,"Type2","Four-Year")</f>
        <v>11247</v>
      </c>
      <c r="J49" s="139">
        <f>GETPIVOTDATA("Sum of Old-Tot G SCH Calc",'Pivot Table for Fact Book'!$A$3,"State","DE","type",5,"Type2","Four-Year")</f>
        <v>0</v>
      </c>
      <c r="K49" s="140">
        <f>GETPIVOTDATA("Sum of New-Tot G SCH Calc",'Pivot Table for Fact Book'!$A$3,"State","DE","type",5,"Type2","Four-Year")</f>
        <v>0</v>
      </c>
      <c r="L49" s="139">
        <f>GETPIVOTDATA("Sum of Old-Tot G SCH Calc",'Pivot Table for Fact Book'!$A$3,"State","DE","type",6,"Type2","Four-Year")</f>
        <v>0</v>
      </c>
      <c r="M49" s="140">
        <f>GETPIVOTDATA("Sum of New-Tot G SCH Calc",'Pivot Table for Fact Book'!$A$3,"State","DE","type",6,"Type2","Four-Year")</f>
        <v>0</v>
      </c>
      <c r="N49" s="139">
        <f>GETPIVOTDATA("Sum of Old-Tot G SCH Calc",'Pivot Table for Fact Book'!$A$3,"State","DE","type",15,"Type2","Four-Year")</f>
        <v>0</v>
      </c>
      <c r="O49" s="140">
        <f>GETPIVOTDATA("Sum of New-Tot G SCH Calc",'Pivot Table for Fact Book'!$A$3,"State","DE","type",15,"Type2","Four-Year")</f>
        <v>0</v>
      </c>
      <c r="P49" s="141">
        <f>GETPIVOTDATA("Sum of Old-Tot G SCH Calc",'Pivot Table for Fact Book'!$A$3,"State","DE","Type2","Four-Year")</f>
        <v>63532</v>
      </c>
      <c r="Q49" s="141">
        <f>GETPIVOTDATA("Sum of New-Tot G SCH Calc",'Pivot Table for Fact Book'!$A$3,"State","DE","Type2","Four-Year")</f>
        <v>62991</v>
      </c>
      <c r="AH49" s="14"/>
    </row>
    <row r="50" spans="1:34">
      <c r="A50" s="275" t="s">
        <v>144</v>
      </c>
      <c r="B50" s="139">
        <f>GETPIVOTDATA("Sum of Old-Tot G SCH Calc",'Pivot Table for Fact Book'!$A$3,"State","FL","type",1,"Type2","Four-Year")</f>
        <v>1045371</v>
      </c>
      <c r="C50" s="140">
        <f>GETPIVOTDATA("Sum of New-Tot G SCH Calc",'Pivot Table for Fact Book'!$A$3,"State","FL","type",1,"Type2","Four-Year")</f>
        <v>1019154</v>
      </c>
      <c r="D50" s="139">
        <f>GETPIVOTDATA("Sum of Old-Tot G SCH Calc",'Pivot Table for Fact Book'!$A$3,"State","FL","type",2,"Type2","Four-Year")</f>
        <v>80819</v>
      </c>
      <c r="E50" s="140">
        <f>GETPIVOTDATA("Sum of New-Tot G SCH Calc",'Pivot Table for Fact Book'!$A$3,"State","FL","type",2,"Type2","Four-Year")</f>
        <v>78558</v>
      </c>
      <c r="F50" s="139">
        <f>GETPIVOTDATA("Sum of Old-Tot G SCH Calc",'Pivot Table for Fact Book'!$A$3,"State","FL","type",3,"Type2","Four-Year")</f>
        <v>114242</v>
      </c>
      <c r="G50" s="140">
        <f>GETPIVOTDATA("Sum of New-Tot G SCH Calc",'Pivot Table for Fact Book'!$A$3,"State","FL","type",3,"Type2","Four-Year")</f>
        <v>114575.5</v>
      </c>
      <c r="H50" s="139">
        <f>GETPIVOTDATA("Sum of Old-Tot G SCH Calc",'Pivot Table for Fact Book'!$A$3,"State","FL","type",4,"Type2","Four-Year")</f>
        <v>24078</v>
      </c>
      <c r="I50" s="140">
        <f>GETPIVOTDATA("Sum of New-Tot G SCH Calc",'Pivot Table for Fact Book'!$A$3,"State","FL","type",4,"Type2","Four-Year")</f>
        <v>23963</v>
      </c>
      <c r="J50" s="139">
        <f>GETPIVOTDATA("Sum of Old-Tot G SCH Calc",'Pivot Table for Fact Book'!$A$3,"State","FL","type",5,"Type2","Four-Year")</f>
        <v>0</v>
      </c>
      <c r="K50" s="140">
        <f>GETPIVOTDATA("Sum of New-Tot G SCH Calc",'Pivot Table for Fact Book'!$A$3,"State","FL","type",5,"Type2","Four-Year")</f>
        <v>0</v>
      </c>
      <c r="L50" s="139">
        <f>GETPIVOTDATA("Sum of Old-Tot G SCH Calc",'Pivot Table for Fact Book'!$A$3,"State","FL","type",6,"Type2","Four-Year")</f>
        <v>0</v>
      </c>
      <c r="M50" s="140">
        <f>GETPIVOTDATA("Sum of New-Tot G SCH Calc",'Pivot Table for Fact Book'!$A$3,"State","FL","type",6,"Type2","Four-Year")</f>
        <v>0</v>
      </c>
      <c r="N50" s="139">
        <f>GETPIVOTDATA("Sum of Old-Tot G SCH Calc",'Pivot Table for Fact Book'!$A$3,"State","FL","type",15,"Type2","Four-Year")</f>
        <v>0</v>
      </c>
      <c r="O50" s="140">
        <f>GETPIVOTDATA("Sum of New-Tot G SCH Calc",'Pivot Table for Fact Book'!$A$3,"State","FL","type",15,"Type2","Four-Year")</f>
        <v>0</v>
      </c>
      <c r="P50" s="141">
        <f>GETPIVOTDATA("Sum of Old-Tot G SCH Calc",'Pivot Table for Fact Book'!$A$3,"State","FL","Type2","Four-Year")</f>
        <v>1264510</v>
      </c>
      <c r="Q50" s="141">
        <f>GETPIVOTDATA("Sum of New-Tot G SCH Calc",'Pivot Table for Fact Book'!$A$3,"State","FL","Type2","Four-Year")</f>
        <v>1236250.5</v>
      </c>
      <c r="AH50" s="14"/>
    </row>
    <row r="51" spans="1:34">
      <c r="A51" s="275" t="s">
        <v>145</v>
      </c>
      <c r="B51" s="139">
        <f>GETPIVOTDATA("Sum of Old-Tot G SCH Calc",'Pivot Table for Fact Book'!$A$3,"State","GA","type",1,"Type2","Four-Year")</f>
        <v>0</v>
      </c>
      <c r="C51" s="140">
        <f>GETPIVOTDATA("Sum of New-Tot G SCH Calc",'Pivot Table for Fact Book'!$A$3,"State","GA","type",1,"Type2","Four-Year")</f>
        <v>0</v>
      </c>
      <c r="D51" s="139">
        <f>GETPIVOTDATA("Sum of Old-Tot G SCH Calc",'Pivot Table for Fact Book'!$A$3,"State","GA","type",2,"Type2","Four-Year")</f>
        <v>0</v>
      </c>
      <c r="E51" s="140">
        <f>GETPIVOTDATA("Sum of New-Tot G SCH Calc",'Pivot Table for Fact Book'!$A$3,"State","GA","type",2,"Type2","Four-Year")</f>
        <v>0</v>
      </c>
      <c r="F51" s="139">
        <f>GETPIVOTDATA("Sum of Old-Tot G SCH Calc",'Pivot Table for Fact Book'!$A$3,"State","GA","type",3,"Type2","Four-Year")</f>
        <v>0</v>
      </c>
      <c r="G51" s="140">
        <f>GETPIVOTDATA("Sum of New-Tot G SCH Calc",'Pivot Table for Fact Book'!$A$3,"State","GA","type",3,"Type2","Four-Year")</f>
        <v>0</v>
      </c>
      <c r="H51" s="139">
        <f>GETPIVOTDATA("Sum of Old-Tot G SCH Calc",'Pivot Table for Fact Book'!$A$3,"State","GA","type",4,"Type2","Four-Year")</f>
        <v>0</v>
      </c>
      <c r="I51" s="140">
        <f>GETPIVOTDATA("Sum of New-Tot G SCH Calc",'Pivot Table for Fact Book'!$A$3,"State","GA","type",4,"Type2","Four-Year")</f>
        <v>0</v>
      </c>
      <c r="J51" s="139">
        <f>GETPIVOTDATA("Sum of Old-Tot G SCH Calc",'Pivot Table for Fact Book'!$A$3,"State","GA","type",5,"Type2","Four-Year")</f>
        <v>0</v>
      </c>
      <c r="K51" s="140">
        <f>GETPIVOTDATA("Sum of New-Tot G SCH Calc",'Pivot Table for Fact Book'!$A$3,"State","GA","type",5,"Type2","Four-Year")</f>
        <v>0</v>
      </c>
      <c r="L51" s="139">
        <f>GETPIVOTDATA("Sum of Old-Tot G SCH Calc",'Pivot Table for Fact Book'!$A$3,"State","GA","type",6,"Type2","Four-Year")</f>
        <v>0</v>
      </c>
      <c r="M51" s="140">
        <f>GETPIVOTDATA("Sum of New-Tot G SCH Calc",'Pivot Table for Fact Book'!$A$3,"State","GA","type",6,"Type2","Four-Year")</f>
        <v>0</v>
      </c>
      <c r="N51" s="139">
        <f>GETPIVOTDATA("Sum of Old-Tot G SCH Calc",'Pivot Table for Fact Book'!$A$3,"State","GA","type",15,"Type2","Four-Year")</f>
        <v>0</v>
      </c>
      <c r="O51" s="140">
        <f>GETPIVOTDATA("Sum of New-Tot G SCH Calc",'Pivot Table for Fact Book'!$A$3,"State","GA","type",15,"Type2","Four-Year")</f>
        <v>0</v>
      </c>
      <c r="P51" s="141">
        <f>GETPIVOTDATA("Sum of Old-Tot G SCH Calc",'Pivot Table for Fact Book'!$A$3,"State","GA","Type2","Four-Year")</f>
        <v>0</v>
      </c>
      <c r="Q51" s="141">
        <f>GETPIVOTDATA("Sum of New-Tot G SCH Calc",'Pivot Table for Fact Book'!$A$3,"State","GA","Type2","Four-Year")</f>
        <v>0</v>
      </c>
      <c r="AH51" s="14"/>
    </row>
    <row r="52" spans="1:34">
      <c r="A52" s="275" t="s">
        <v>146</v>
      </c>
      <c r="B52" s="139">
        <f>GETPIVOTDATA("Sum of Old-Tot G SCH Calc",'Pivot Table for Fact Book'!$A$3,"State","KY","type",1,"Type2","Four-Year")</f>
        <v>158576</v>
      </c>
      <c r="C52" s="140">
        <f>GETPIVOTDATA("Sum of New-Tot G SCH Calc",'Pivot Table for Fact Book'!$A$3,"State","KY","type",1,"Type2","Four-Year")</f>
        <v>163831</v>
      </c>
      <c r="D52" s="139">
        <f>GETPIVOTDATA("Sum of Old-Tot G SCH Calc",'Pivot Table for Fact Book'!$A$3,"State","KY","type",2,"Type2","Four-Year")</f>
        <v>0</v>
      </c>
      <c r="E52" s="140">
        <f>GETPIVOTDATA("Sum of New-Tot G SCH Calc",'Pivot Table for Fact Book'!$A$3,"State","KY","type",2,"Type2","Four-Year")</f>
        <v>0</v>
      </c>
      <c r="F52" s="139">
        <f>GETPIVOTDATA("Sum of Old-Tot G SCH Calc",'Pivot Table for Fact Book'!$A$3,"State","KY","type",3,"Type2","Four-Year")</f>
        <v>127279</v>
      </c>
      <c r="G52" s="140">
        <f>GETPIVOTDATA("Sum of New-Tot G SCH Calc",'Pivot Table for Fact Book'!$A$3,"State","KY","type",3,"Type2","Four-Year")</f>
        <v>141565.5</v>
      </c>
      <c r="H52" s="139">
        <f>GETPIVOTDATA("Sum of Old-Tot G SCH Calc",'Pivot Table for Fact Book'!$A$3,"State","KY","type",4,"Type2","Four-Year")</f>
        <v>41099</v>
      </c>
      <c r="I52" s="140">
        <f>GETPIVOTDATA("Sum of New-Tot G SCH Calc",'Pivot Table for Fact Book'!$A$3,"State","KY","type",4,"Type2","Four-Year")</f>
        <v>45328</v>
      </c>
      <c r="J52" s="139">
        <f>GETPIVOTDATA("Sum of Old-Tot G SCH Calc",'Pivot Table for Fact Book'!$A$3,"State","KY","type",5,"Type2","Four-Year")</f>
        <v>0</v>
      </c>
      <c r="K52" s="140">
        <f>GETPIVOTDATA("Sum of New-Tot G SCH Calc",'Pivot Table for Fact Book'!$A$3,"State","KY","type",5,"Type2","Four-Year")</f>
        <v>0</v>
      </c>
      <c r="L52" s="139">
        <f>GETPIVOTDATA("Sum of Old-Tot G SCH Calc",'Pivot Table for Fact Book'!$A$3,"State","KY","type",6,"Type2","Four-Year")</f>
        <v>0</v>
      </c>
      <c r="M52" s="140">
        <f>GETPIVOTDATA("Sum of New-Tot G SCH Calc",'Pivot Table for Fact Book'!$A$3,"State","KY","type",6,"Type2","Four-Year")</f>
        <v>0</v>
      </c>
      <c r="N52" s="139">
        <f>GETPIVOTDATA("Sum of Old-Tot G SCH Calc",'Pivot Table for Fact Book'!$A$3,"State","KY","type",15,"Type2","Four-Year")</f>
        <v>0</v>
      </c>
      <c r="O52" s="140">
        <f>GETPIVOTDATA("Sum of New-Tot G SCH Calc",'Pivot Table for Fact Book'!$A$3,"State","KY","type",15,"Type2","Four-Year")</f>
        <v>0</v>
      </c>
      <c r="P52" s="141">
        <f>GETPIVOTDATA("Sum of Old-Tot G SCH Calc",'Pivot Table for Fact Book'!$A$3,"State","KY","Type2","Four-Year")</f>
        <v>326954</v>
      </c>
      <c r="Q52" s="141">
        <f>GETPIVOTDATA("Sum of New-Tot G SCH Calc",'Pivot Table for Fact Book'!$A$3,"State","KY","Type2","Four-Year")</f>
        <v>350724.5</v>
      </c>
      <c r="AH52" s="14"/>
    </row>
    <row r="53" spans="1:34">
      <c r="A53" s="275" t="s">
        <v>147</v>
      </c>
      <c r="B53" s="139">
        <f>GETPIVOTDATA("Sum of Old-Tot G SCH Calc",'Pivot Table for Fact Book'!$A$3,"State","LA","type",1,"Type2","Four-Year")</f>
        <v>0</v>
      </c>
      <c r="C53" s="140">
        <f>GETPIVOTDATA("Sum of New-Tot G SCH Calc",'Pivot Table for Fact Book'!$A$3,"State","LA","type",1,"Type2","Four-Year")</f>
        <v>0</v>
      </c>
      <c r="D53" s="139">
        <f>GETPIVOTDATA("Sum of Old-Tot G SCH Calc",'Pivot Table for Fact Book'!$A$3,"State","LA","type",2,"Type2","Four-Year")</f>
        <v>0</v>
      </c>
      <c r="E53" s="140">
        <f>GETPIVOTDATA("Sum of New-Tot G SCH Calc",'Pivot Table for Fact Book'!$A$3,"State","LA","type",2,"Type2","Four-Year")</f>
        <v>0</v>
      </c>
      <c r="F53" s="139">
        <f>GETPIVOTDATA("Sum of Old-Tot G SCH Calc",'Pivot Table for Fact Book'!$A$3,"State","LA","type",3,"Type2","Four-Year")</f>
        <v>0</v>
      </c>
      <c r="G53" s="140">
        <f>GETPIVOTDATA("Sum of New-Tot G SCH Calc",'Pivot Table for Fact Book'!$A$3,"State","LA","type",3,"Type2","Four-Year")</f>
        <v>0</v>
      </c>
      <c r="H53" s="139">
        <f>GETPIVOTDATA("Sum of Old-Tot G SCH Calc",'Pivot Table for Fact Book'!$A$3,"State","LA","type",4,"Type2","Four-Year")</f>
        <v>0</v>
      </c>
      <c r="I53" s="140">
        <f>GETPIVOTDATA("Sum of New-Tot G SCH Calc",'Pivot Table for Fact Book'!$A$3,"State","LA","type",4,"Type2","Four-Year")</f>
        <v>0</v>
      </c>
      <c r="J53" s="139">
        <f>GETPIVOTDATA("Sum of Old-Tot G SCH Calc",'Pivot Table for Fact Book'!$A$3,"State","LA","type",5,"Type2","Four-Year")</f>
        <v>0</v>
      </c>
      <c r="K53" s="140">
        <f>GETPIVOTDATA("Sum of New-Tot G SCH Calc",'Pivot Table for Fact Book'!$A$3,"State","LA","type",5,"Type2","Four-Year")</f>
        <v>0</v>
      </c>
      <c r="L53" s="139">
        <f>GETPIVOTDATA("Sum of Old-Tot G SCH Calc",'Pivot Table for Fact Book'!$A$3,"State","LA","type",6,"Type2","Four-Year")</f>
        <v>0</v>
      </c>
      <c r="M53" s="140">
        <f>GETPIVOTDATA("Sum of New-Tot G SCH Calc",'Pivot Table for Fact Book'!$A$3,"State","LA","type",6,"Type2","Four-Year")</f>
        <v>0</v>
      </c>
      <c r="N53" s="139">
        <f>GETPIVOTDATA("Sum of Old-Tot G SCH Calc",'Pivot Table for Fact Book'!$A$3,"State","LA","type",15,"Type2","Four-Year")</f>
        <v>0</v>
      </c>
      <c r="O53" s="140">
        <f>GETPIVOTDATA("Sum of New-Tot G SCH Calc",'Pivot Table for Fact Book'!$A$3,"State","LA","type",15,"Type2","Four-Year")</f>
        <v>0</v>
      </c>
      <c r="P53" s="141">
        <f>GETPIVOTDATA("Sum of Old-Tot G SCH Calc",'Pivot Table for Fact Book'!$A$3,"State","LA","Type2","Four-Year")</f>
        <v>0</v>
      </c>
      <c r="Q53" s="141">
        <f>GETPIVOTDATA("Sum of New-Tot G SCH Calc",'Pivot Table for Fact Book'!$A$3,"State","LA","Type2","Four-Year")</f>
        <v>0</v>
      </c>
      <c r="AH53" s="14"/>
    </row>
    <row r="54" spans="1:34">
      <c r="A54" s="275" t="s">
        <v>177</v>
      </c>
      <c r="B54" s="139">
        <f>GETPIVOTDATA("Sum of Old-Tot G SCH Calc",'Pivot Table for Fact Book'!$A$3,"State","MD","type",1,"Type2","Four-Year")</f>
        <v>156544.5</v>
      </c>
      <c r="C54" s="140">
        <f>GETPIVOTDATA("Sum of New-Tot G SCH Calc",'Pivot Table for Fact Book'!$A$3,"State","MD","type",1,"Type2","Four-Year")</f>
        <v>158873</v>
      </c>
      <c r="D54" s="139">
        <f>GETPIVOTDATA("Sum of Old-Tot G SCH Calc",'Pivot Table for Fact Book'!$A$3,"State","MD","type",2,"Type2","Four-Year")</f>
        <v>53309</v>
      </c>
      <c r="E54" s="140">
        <f>GETPIVOTDATA("Sum of New-Tot G SCH Calc",'Pivot Table for Fact Book'!$A$3,"State","MD","type",2,"Type2","Four-Year")</f>
        <v>54431</v>
      </c>
      <c r="F54" s="139">
        <f>GETPIVOTDATA("Sum of Old-Tot G SCH Calc",'Pivot Table for Fact Book'!$A$3,"State","MD","type",3,"Type2","Four-Year")</f>
        <v>58131.5</v>
      </c>
      <c r="G54" s="140">
        <f>GETPIVOTDATA("Sum of New-Tot G SCH Calc",'Pivot Table for Fact Book'!$A$3,"State","MD","type",3,"Type2","Four-Year")</f>
        <v>57519</v>
      </c>
      <c r="H54" s="139">
        <f>GETPIVOTDATA("Sum of Old-Tot G SCH Calc",'Pivot Table for Fact Book'!$A$3,"State","MD","type",4,"Type2","Four-Year")</f>
        <v>191450</v>
      </c>
      <c r="I54" s="140">
        <f>GETPIVOTDATA("Sum of New-Tot G SCH Calc",'Pivot Table for Fact Book'!$A$3,"State","MD","type",4,"Type2","Four-Year")</f>
        <v>115885</v>
      </c>
      <c r="J54" s="139">
        <f>GETPIVOTDATA("Sum of Old-Tot G SCH Calc",'Pivot Table for Fact Book'!$A$3,"State","MD","type",5,"Type2","Four-Year")</f>
        <v>0</v>
      </c>
      <c r="K54" s="140">
        <f>GETPIVOTDATA("Sum of New-Tot G SCH Calc",'Pivot Table for Fact Book'!$A$3,"State","MD","type",5,"Type2","Four-Year")</f>
        <v>0</v>
      </c>
      <c r="L54" s="139">
        <f>GETPIVOTDATA("Sum of Old-Tot G SCH Calc",'Pivot Table for Fact Book'!$A$3,"State","MD","type",6,"Type2","Four-Year")</f>
        <v>1937</v>
      </c>
      <c r="M54" s="140">
        <f>GETPIVOTDATA("Sum of New-Tot G SCH Calc",'Pivot Table for Fact Book'!$A$3,"State","MD","type",6,"Type2","Four-Year")</f>
        <v>1577</v>
      </c>
      <c r="N54" s="139">
        <f>GETPIVOTDATA("Sum of Old-Tot G SCH Calc",'Pivot Table for Fact Book'!$A$3,"State","MD","type",15,"Type2","Four-Year")</f>
        <v>173875</v>
      </c>
      <c r="O54" s="140">
        <f>GETPIVOTDATA("Sum of New-Tot G SCH Calc",'Pivot Table for Fact Book'!$A$3,"State","MD","type",15,"Type2","Four-Year")</f>
        <v>189917</v>
      </c>
      <c r="P54" s="141">
        <f>GETPIVOTDATA("Sum of Old-Tot G SCH Calc",'Pivot Table for Fact Book'!$A$3,"State","MD","Type2","Four-Year")</f>
        <v>635247</v>
      </c>
      <c r="Q54" s="141">
        <f>GETPIVOTDATA("Sum of New-Tot G SCH Calc",'Pivot Table for Fact Book'!$A$3,"State","MD","Type2","Four-Year")</f>
        <v>578202</v>
      </c>
      <c r="AH54" s="14"/>
    </row>
    <row r="55" spans="1:34">
      <c r="A55" s="275" t="s">
        <v>148</v>
      </c>
      <c r="B55" s="139">
        <f>GETPIVOTDATA("Sum of Old-Tot G SCH Calc",'Pivot Table for Fact Book'!$A$3,"State","MS","type",1,"Type2","Four-Year")</f>
        <v>124105</v>
      </c>
      <c r="C55" s="140">
        <f>GETPIVOTDATA("Sum of New-Tot G SCH Calc",'Pivot Table for Fact Book'!$A$3,"State","MS","type",1,"Type2","Four-Year")</f>
        <v>123248</v>
      </c>
      <c r="D55" s="139">
        <f>GETPIVOTDATA("Sum of Old-Tot G SCH Calc",'Pivot Table for Fact Book'!$A$3,"State","MS","type",2,"Type2","Four-Year")</f>
        <v>87762.5</v>
      </c>
      <c r="E55" s="140">
        <f>GETPIVOTDATA("Sum of New-Tot G SCH Calc",'Pivot Table for Fact Book'!$A$3,"State","MS","type",2,"Type2","Four-Year")</f>
        <v>92928</v>
      </c>
      <c r="F55" s="139">
        <f>GETPIVOTDATA("Sum of Old-Tot G SCH Calc",'Pivot Table for Fact Book'!$A$3,"State","MS","type",3,"Type2","Four-Year")</f>
        <v>0</v>
      </c>
      <c r="G55" s="140">
        <f>GETPIVOTDATA("Sum of New-Tot G SCH Calc",'Pivot Table for Fact Book'!$A$3,"State","MS","type",3,"Type2","Four-Year")</f>
        <v>0</v>
      </c>
      <c r="H55" s="139">
        <f>GETPIVOTDATA("Sum of Old-Tot G SCH Calc",'Pivot Table for Fact Book'!$A$3,"State","MS","type",4,"Type2","Four-Year")</f>
        <v>38310</v>
      </c>
      <c r="I55" s="140">
        <f>GETPIVOTDATA("Sum of New-Tot G SCH Calc",'Pivot Table for Fact Book'!$A$3,"State","MS","type",4,"Type2","Four-Year")</f>
        <v>46157</v>
      </c>
      <c r="J55" s="139">
        <f>GETPIVOTDATA("Sum of Old-Tot G SCH Calc",'Pivot Table for Fact Book'!$A$3,"State","MS","type",5,"Type2","Four-Year")</f>
        <v>4501</v>
      </c>
      <c r="K55" s="140">
        <f>GETPIVOTDATA("Sum of New-Tot G SCH Calc",'Pivot Table for Fact Book'!$A$3,"State","MS","type",5,"Type2","Four-Year")</f>
        <v>4260</v>
      </c>
      <c r="L55" s="139">
        <f>GETPIVOTDATA("Sum of Old-Tot G SCH Calc",'Pivot Table for Fact Book'!$A$3,"State","MS","type",6,"Type2","Four-Year")</f>
        <v>0</v>
      </c>
      <c r="M55" s="140">
        <f>GETPIVOTDATA("Sum of New-Tot G SCH Calc",'Pivot Table for Fact Book'!$A$3,"State","MS","type",6,"Type2","Four-Year")</f>
        <v>0</v>
      </c>
      <c r="N55" s="139">
        <f>GETPIVOTDATA("Sum of Old-Tot G SCH Calc",'Pivot Table for Fact Book'!$A$3,"State","MS","type",15,"Type2","Four-Year")</f>
        <v>0</v>
      </c>
      <c r="O55" s="140">
        <f>GETPIVOTDATA("Sum of New-Tot G SCH Calc",'Pivot Table for Fact Book'!$A$3,"State","MS","type",15,"Type2","Four-Year")</f>
        <v>0</v>
      </c>
      <c r="P55" s="141">
        <f>GETPIVOTDATA("Sum of Old-Tot G SCH Calc",'Pivot Table for Fact Book'!$A$3,"State","MS","Type2","Four-Year")</f>
        <v>254678.5</v>
      </c>
      <c r="Q55" s="141">
        <f>GETPIVOTDATA("Sum of New-Tot G SCH Calc",'Pivot Table for Fact Book'!$A$3,"State","MS","Type2","Four-Year")</f>
        <v>266593</v>
      </c>
      <c r="AH55" s="14"/>
    </row>
    <row r="56" spans="1:34">
      <c r="A56" s="275" t="s">
        <v>149</v>
      </c>
      <c r="B56" s="139">
        <f>GETPIVOTDATA("Sum of Old-Tot G SCH Calc",'Pivot Table for Fact Book'!$A$3,"State","NC","type",1,"Type2","Four-Year")</f>
        <v>398794</v>
      </c>
      <c r="C56" s="140">
        <f>GETPIVOTDATA("Sum of New-Tot G SCH Calc",'Pivot Table for Fact Book'!$A$3,"State","NC","type",1,"Type2","Four-Year")</f>
        <v>400538</v>
      </c>
      <c r="D56" s="139">
        <f>GETPIVOTDATA("Sum of Old-Tot G SCH Calc",'Pivot Table for Fact Book'!$A$3,"State","NC","type",2,"Type2","Four-Year")</f>
        <v>74936</v>
      </c>
      <c r="E56" s="140">
        <f>GETPIVOTDATA("Sum of New-Tot G SCH Calc",'Pivot Table for Fact Book'!$A$3,"State","NC","type",2,"Type2","Four-Year")</f>
        <v>71816</v>
      </c>
      <c r="F56" s="139">
        <f>GETPIVOTDATA("Sum of Old-Tot G SCH Calc",'Pivot Table for Fact Book'!$A$3,"State","NC","type",3,"Type2","Four-Year")</f>
        <v>278815</v>
      </c>
      <c r="G56" s="140">
        <f>GETPIVOTDATA("Sum of New-Tot G SCH Calc",'Pivot Table for Fact Book'!$A$3,"State","NC","type",3,"Type2","Four-Year")</f>
        <v>266291</v>
      </c>
      <c r="H56" s="139">
        <f>GETPIVOTDATA("Sum of Old-Tot G SCH Calc",'Pivot Table for Fact Book'!$A$3,"State","NC","type",4,"Type2","Four-Year")</f>
        <v>9471</v>
      </c>
      <c r="I56" s="140">
        <f>GETPIVOTDATA("Sum of New-Tot G SCH Calc",'Pivot Table for Fact Book'!$A$3,"State","NC","type",4,"Type2","Four-Year")</f>
        <v>10848</v>
      </c>
      <c r="J56" s="139">
        <f>GETPIVOTDATA("Sum of Old-Tot G SCH Calc",'Pivot Table for Fact Book'!$A$3,"State","NC","type",5,"Type2","Four-Year")</f>
        <v>21876</v>
      </c>
      <c r="K56" s="140">
        <f>GETPIVOTDATA("Sum of New-Tot G SCH Calc",'Pivot Table for Fact Book'!$A$3,"State","NC","type",5,"Type2","Four-Year")</f>
        <v>23028</v>
      </c>
      <c r="L56" s="139">
        <f>GETPIVOTDATA("Sum of Old-Tot G SCH Calc",'Pivot Table for Fact Book'!$A$3,"State","NC","type",6,"Type2","Four-Year")</f>
        <v>1519</v>
      </c>
      <c r="M56" s="140">
        <f>GETPIVOTDATA("Sum of New-Tot G SCH Calc",'Pivot Table for Fact Book'!$A$3,"State","NC","type",6,"Type2","Four-Year")</f>
        <v>2072</v>
      </c>
      <c r="N56" s="139">
        <f>GETPIVOTDATA("Sum of Old-Tot G SCH Calc",'Pivot Table for Fact Book'!$A$3,"State","NC","type",15,"Type2","Four-Year")</f>
        <v>0</v>
      </c>
      <c r="O56" s="140">
        <f>GETPIVOTDATA("Sum of New-Tot G SCH Calc",'Pivot Table for Fact Book'!$A$3,"State","NC","type",15,"Type2","Four-Year")</f>
        <v>0</v>
      </c>
      <c r="P56" s="141">
        <f>GETPIVOTDATA("Sum of Old-Tot G SCH Calc",'Pivot Table for Fact Book'!$A$3,"State","NC","Type2","Four-Year")</f>
        <v>785411</v>
      </c>
      <c r="Q56" s="141">
        <f>GETPIVOTDATA("Sum of New-Tot G SCH Calc",'Pivot Table for Fact Book'!$A$3,"State","NC","Type2","Four-Year")</f>
        <v>774593</v>
      </c>
      <c r="AH56" s="14"/>
    </row>
    <row r="57" spans="1:34">
      <c r="A57" s="275" t="s">
        <v>150</v>
      </c>
      <c r="B57" s="139">
        <f>GETPIVOTDATA("Sum of Old-Tot G SCH Calc",'Pivot Table for Fact Book'!$A$3,"State","OK","type",1,"Type2","Four-Year")</f>
        <v>92405</v>
      </c>
      <c r="C57" s="140">
        <f>GETPIVOTDATA("Sum of New-Tot G SCH Calc",'Pivot Table for Fact Book'!$A$3,"State","OK","type",1,"Type2","Four-Year")</f>
        <v>94236</v>
      </c>
      <c r="D57" s="139">
        <f>GETPIVOTDATA("Sum of Old-Tot G SCH Calc",'Pivot Table for Fact Book'!$A$3,"State","OK","type",2,"Type2","Four-Year")</f>
        <v>0</v>
      </c>
      <c r="E57" s="140">
        <f>GETPIVOTDATA("Sum of New-Tot G SCH Calc",'Pivot Table for Fact Book'!$A$3,"State","OK","type",2,"Type2","Four-Year")</f>
        <v>0</v>
      </c>
      <c r="F57" s="139">
        <f>GETPIVOTDATA("Sum of Old-Tot G SCH Calc",'Pivot Table for Fact Book'!$A$3,"State","OK","type",3,"Type2","Four-Year")</f>
        <v>48051</v>
      </c>
      <c r="G57" s="140">
        <f>GETPIVOTDATA("Sum of New-Tot G SCH Calc",'Pivot Table for Fact Book'!$A$3,"State","OK","type",3,"Type2","Four-Year")</f>
        <v>48499</v>
      </c>
      <c r="H57" s="139">
        <f>GETPIVOTDATA("Sum of Old-Tot G SCH Calc",'Pivot Table for Fact Book'!$A$3,"State","OK","type",4,"Type2","Four-Year")</f>
        <v>0</v>
      </c>
      <c r="I57" s="140">
        <f>GETPIVOTDATA("Sum of New-Tot G SCH Calc",'Pivot Table for Fact Book'!$A$3,"State","OK","type",4,"Type2","Four-Year")</f>
        <v>0</v>
      </c>
      <c r="J57" s="139">
        <f>GETPIVOTDATA("Sum of Old-Tot G SCH Calc",'Pivot Table for Fact Book'!$A$3,"State","OK","type",5,"Type2","Four-Year")</f>
        <v>53667</v>
      </c>
      <c r="K57" s="140">
        <f>GETPIVOTDATA("Sum of New-Tot G SCH Calc",'Pivot Table for Fact Book'!$A$3,"State","OK","type",5,"Type2","Four-Year")</f>
        <v>55864</v>
      </c>
      <c r="L57" s="139">
        <f>GETPIVOTDATA("Sum of Old-Tot G SCH Calc",'Pivot Table for Fact Book'!$A$3,"State","OK","type",6,"Type2","Four-Year")</f>
        <v>0</v>
      </c>
      <c r="M57" s="140">
        <f>GETPIVOTDATA("Sum of New-Tot G SCH Calc",'Pivot Table for Fact Book'!$A$3,"State","OK","type",6,"Type2","Four-Year")</f>
        <v>0</v>
      </c>
      <c r="N57" s="139">
        <f>GETPIVOTDATA("Sum of Old-Tot G SCH Calc",'Pivot Table for Fact Book'!$A$3,"State","OK","type",15,"Type2","Four-Year")</f>
        <v>0</v>
      </c>
      <c r="O57" s="140">
        <f>GETPIVOTDATA("Sum of New-Tot G SCH Calc",'Pivot Table for Fact Book'!$A$3,"State","OK","type",15,"Type2","Four-Year")</f>
        <v>0</v>
      </c>
      <c r="P57" s="141">
        <f>GETPIVOTDATA("Sum of Old-Tot G SCH Calc",'Pivot Table for Fact Book'!$A$3,"State","OK","Type2","Four-Year")</f>
        <v>194123</v>
      </c>
      <c r="Q57" s="141">
        <f>GETPIVOTDATA("Sum of New-Tot G SCH Calc",'Pivot Table for Fact Book'!$A$3,"State","OK","Type2","Four-Year")</f>
        <v>198599</v>
      </c>
      <c r="AH57" s="14"/>
    </row>
    <row r="58" spans="1:34">
      <c r="A58" s="275" t="s">
        <v>151</v>
      </c>
      <c r="B58" s="139">
        <f>GETPIVOTDATA("Sum of Old-Tot G SCH Calc",'Pivot Table for Fact Book'!$A$3,"State","SC","type",1,"Type2","Four-Year")</f>
        <v>190348</v>
      </c>
      <c r="C58" s="140">
        <f>GETPIVOTDATA("Sum of New-Tot G SCH Calc",'Pivot Table for Fact Book'!$A$3,"State","SC","type",1,"Type2","Four-Year")</f>
        <v>195493</v>
      </c>
      <c r="D58" s="139">
        <f>GETPIVOTDATA("Sum of Old-Tot G SCH Calc",'Pivot Table for Fact Book'!$A$3,"State","SC","type",2,"Type2","Four-Year")</f>
        <v>0</v>
      </c>
      <c r="E58" s="140">
        <f>GETPIVOTDATA("Sum of New-Tot G SCH Calc",'Pivot Table for Fact Book'!$A$3,"State","SC","type",2,"Type2","Four-Year")</f>
        <v>0</v>
      </c>
      <c r="F58" s="139">
        <f>GETPIVOTDATA("Sum of Old-Tot G SCH Calc",'Pivot Table for Fact Book'!$A$3,"State","SC","type",3,"Type2","Four-Year")</f>
        <v>36387</v>
      </c>
      <c r="G58" s="140">
        <f>GETPIVOTDATA("Sum of New-Tot G SCH Calc",'Pivot Table for Fact Book'!$A$3,"State","SC","type",3,"Type2","Four-Year")</f>
        <v>37636</v>
      </c>
      <c r="H58" s="139">
        <f>GETPIVOTDATA("Sum of Old-Tot G SCH Calc",'Pivot Table for Fact Book'!$A$3,"State","SC","type",4,"Type2","Four-Year")</f>
        <v>15502</v>
      </c>
      <c r="I58" s="140">
        <f>GETPIVOTDATA("Sum of New-Tot G SCH Calc",'Pivot Table for Fact Book'!$A$3,"State","SC","type",4,"Type2","Four-Year")</f>
        <v>16062</v>
      </c>
      <c r="J58" s="139">
        <f>GETPIVOTDATA("Sum of Old-Tot G SCH Calc",'Pivot Table for Fact Book'!$A$3,"State","SC","type",5,"Type2","Four-Year")</f>
        <v>25034</v>
      </c>
      <c r="K58" s="140">
        <f>GETPIVOTDATA("Sum of New-Tot G SCH Calc",'Pivot Table for Fact Book'!$A$3,"State","SC","type",5,"Type2","Four-Year")</f>
        <v>24729</v>
      </c>
      <c r="L58" s="139">
        <f>GETPIVOTDATA("Sum of Old-Tot G SCH Calc",'Pivot Table for Fact Book'!$A$3,"State","SC","type",6,"Type2","Four-Year")</f>
        <v>4397</v>
      </c>
      <c r="M58" s="140">
        <f>GETPIVOTDATA("Sum of New-Tot G SCH Calc",'Pivot Table for Fact Book'!$A$3,"State","SC","type",6,"Type2","Four-Year")</f>
        <v>4253</v>
      </c>
      <c r="N58" s="139">
        <f>GETPIVOTDATA("Sum of Old-Tot G SCH Calc",'Pivot Table for Fact Book'!$A$3,"State","SC","type",15,"Type2","Four-Year")</f>
        <v>0</v>
      </c>
      <c r="O58" s="140">
        <f>GETPIVOTDATA("Sum of New-Tot G SCH Calc",'Pivot Table for Fact Book'!$A$3,"State","SC","type",15,"Type2","Four-Year")</f>
        <v>0</v>
      </c>
      <c r="P58" s="141">
        <f>GETPIVOTDATA("Sum of Old-Tot G SCH Calc",'Pivot Table for Fact Book'!$A$3,"State","SC","Type2","Four-Year")</f>
        <v>271668</v>
      </c>
      <c r="Q58" s="141">
        <f>GETPIVOTDATA("Sum of New-Tot G SCH Calc",'Pivot Table for Fact Book'!$A$3,"State","SC","Type2","Four-Year")</f>
        <v>278173</v>
      </c>
      <c r="AH58" s="14"/>
    </row>
    <row r="59" spans="1:34">
      <c r="A59" s="275" t="s">
        <v>152</v>
      </c>
      <c r="B59" s="139">
        <f>GETPIVOTDATA("Sum of Old-Tot G SCH Calc",'Pivot Table for Fact Book'!$A$3,"State","TN","type",1,"Type2","Four-Year")</f>
        <v>212880</v>
      </c>
      <c r="C59" s="140">
        <f>GETPIVOTDATA("Sum of New-Tot G SCH Calc",'Pivot Table for Fact Book'!$A$3,"State","TN","type",1,"Type2","Four-Year")</f>
        <v>168522.90000000002</v>
      </c>
      <c r="D59" s="139">
        <f>GETPIVOTDATA("Sum of Old-Tot G SCH Calc",'Pivot Table for Fact Book'!$A$3,"State","TN","type",2,"Type2","Four-Year")</f>
        <v>32856</v>
      </c>
      <c r="E59" s="140">
        <f>GETPIVOTDATA("Sum of New-Tot G SCH Calc",'Pivot Table for Fact Book'!$A$3,"State","TN","type",2,"Type2","Four-Year")</f>
        <v>30967</v>
      </c>
      <c r="F59" s="139">
        <f>GETPIVOTDATA("Sum of Old-Tot G SCH Calc",'Pivot Table for Fact Book'!$A$3,"State","TN","type",3,"Type2","Four-Year")</f>
        <v>152156</v>
      </c>
      <c r="G59" s="140">
        <f>GETPIVOTDATA("Sum of New-Tot G SCH Calc",'Pivot Table for Fact Book'!$A$3,"State","TN","type",3,"Type2","Four-Year")</f>
        <v>140021</v>
      </c>
      <c r="H59" s="139">
        <f>GETPIVOTDATA("Sum of Old-Tot G SCH Calc",'Pivot Table for Fact Book'!$A$3,"State","TN","type",4,"Type2","Four-Year")</f>
        <v>0</v>
      </c>
      <c r="I59" s="140">
        <f>GETPIVOTDATA("Sum of New-Tot G SCH Calc",'Pivot Table for Fact Book'!$A$3,"State","TN","type",4,"Type2","Four-Year")</f>
        <v>0</v>
      </c>
      <c r="J59" s="139">
        <f>GETPIVOTDATA("Sum of Old-Tot G SCH Calc",'Pivot Table for Fact Book'!$A$3,"State","TN","type",5,"Type2","Four-Year")</f>
        <v>6675</v>
      </c>
      <c r="K59" s="140">
        <f>GETPIVOTDATA("Sum of New-Tot G SCH Calc",'Pivot Table for Fact Book'!$A$3,"State","TN","type",5,"Type2","Four-Year")</f>
        <v>7227</v>
      </c>
      <c r="L59" s="139">
        <f>GETPIVOTDATA("Sum of Old-Tot G SCH Calc",'Pivot Table for Fact Book'!$A$3,"State","TN","type",6,"Type2","Four-Year")</f>
        <v>0</v>
      </c>
      <c r="M59" s="140">
        <f>GETPIVOTDATA("Sum of New-Tot G SCH Calc",'Pivot Table for Fact Book'!$A$3,"State","TN","type",6,"Type2","Four-Year")</f>
        <v>0</v>
      </c>
      <c r="N59" s="139">
        <f>GETPIVOTDATA("Sum of Old-Tot G SCH Calc",'Pivot Table for Fact Book'!$A$3,"State","TN","type",15,"Type2","Four-Year")</f>
        <v>0</v>
      </c>
      <c r="O59" s="140">
        <f>GETPIVOTDATA("Sum of New-Tot G SCH Calc",'Pivot Table for Fact Book'!$A$3,"State","TN","type",15,"Type2","Four-Year")</f>
        <v>0</v>
      </c>
      <c r="P59" s="141">
        <f>GETPIVOTDATA("Sum of Old-Tot G SCH Calc",'Pivot Table for Fact Book'!$A$3,"State","TN","Type2","Four-Year")</f>
        <v>404567</v>
      </c>
      <c r="Q59" s="141">
        <f>GETPIVOTDATA("Sum of New-Tot G SCH Calc",'Pivot Table for Fact Book'!$A$3,"State","TN","Type2","Four-Year")</f>
        <v>346737.9</v>
      </c>
      <c r="AH59" s="14"/>
    </row>
    <row r="60" spans="1:34">
      <c r="A60" s="275" t="s">
        <v>153</v>
      </c>
      <c r="B60" s="139">
        <f>GETPIVOTDATA("Sum of Old-Tot G SCH Calc",'Pivot Table for Fact Book'!$A$3,"State","TX","type",1,"Type2","Four-Year")</f>
        <v>1092468</v>
      </c>
      <c r="C60" s="140">
        <f>GETPIVOTDATA("Sum of New-Tot G SCH Calc",'Pivot Table for Fact Book'!$A$3,"State","TX","type",1,"Type2","Four-Year")</f>
        <v>1116832</v>
      </c>
      <c r="D60" s="139">
        <f>GETPIVOTDATA("Sum of Old-Tot G SCH Calc",'Pivot Table for Fact Book'!$A$3,"State","TX","type",2,"Type2","Four-Year")</f>
        <v>223134</v>
      </c>
      <c r="E60" s="140">
        <f>GETPIVOTDATA("Sum of New-Tot G SCH Calc",'Pivot Table for Fact Book'!$A$3,"State","TX","type",2,"Type2","Four-Year")</f>
        <v>231841</v>
      </c>
      <c r="F60" s="139">
        <f>GETPIVOTDATA("Sum of Old-Tot G SCH Calc",'Pivot Table for Fact Book'!$A$3,"State","TX","type",3,"Type2","Four-Year")</f>
        <v>671808</v>
      </c>
      <c r="G60" s="140">
        <f>GETPIVOTDATA("Sum of New-Tot G SCH Calc",'Pivot Table for Fact Book'!$A$3,"State","TX","type",3,"Type2","Four-Year")</f>
        <v>665862</v>
      </c>
      <c r="H60" s="139">
        <f>GETPIVOTDATA("Sum of Old-Tot G SCH Calc",'Pivot Table for Fact Book'!$A$3,"State","TX","type",4,"Type2","Four-Year")</f>
        <v>36907</v>
      </c>
      <c r="I60" s="140">
        <f>GETPIVOTDATA("Sum of New-Tot G SCH Calc",'Pivot Table for Fact Book'!$A$3,"State","TX","type",4,"Type2","Four-Year")</f>
        <v>34839</v>
      </c>
      <c r="J60" s="139">
        <f>GETPIVOTDATA("Sum of Old-Tot G SCH Calc",'Pivot Table for Fact Book'!$A$3,"State","TX","type",5,"Type2","Four-Year")</f>
        <v>5625</v>
      </c>
      <c r="K60" s="140">
        <f>GETPIVOTDATA("Sum of New-Tot G SCH Calc",'Pivot Table for Fact Book'!$A$3,"State","TX","type",5,"Type2","Four-Year")</f>
        <v>5445</v>
      </c>
      <c r="L60" s="139">
        <f>GETPIVOTDATA("Sum of Old-Tot G SCH Calc",'Pivot Table for Fact Book'!$A$3,"State","TX","type",6,"Type2","Four-Year")</f>
        <v>996</v>
      </c>
      <c r="M60" s="140">
        <f>GETPIVOTDATA("Sum of New-Tot G SCH Calc",'Pivot Table for Fact Book'!$A$3,"State","TX","type",6,"Type2","Four-Year")</f>
        <v>1211</v>
      </c>
      <c r="N60" s="139">
        <f>GETPIVOTDATA("Sum of Old-Tot G SCH Calc",'Pivot Table for Fact Book'!$A$3,"State","TX","type",15,"Type2","Four-Year")</f>
        <v>0</v>
      </c>
      <c r="O60" s="140">
        <f>GETPIVOTDATA("Sum of New-Tot G SCH Calc",'Pivot Table for Fact Book'!$A$3,"State","TX","type",15,"Type2","Four-Year")</f>
        <v>0</v>
      </c>
      <c r="P60" s="141">
        <f>GETPIVOTDATA("Sum of Old-Tot G SCH Calc",'Pivot Table for Fact Book'!$A$3,"State","TX","Type2","Four-Year")</f>
        <v>2060255</v>
      </c>
      <c r="Q60" s="141">
        <f>GETPIVOTDATA("Sum of New-Tot G SCH Calc",'Pivot Table for Fact Book'!$A$3,"State","TX","Type2","Four-Year")</f>
        <v>2086249</v>
      </c>
      <c r="AH60" s="14"/>
    </row>
    <row r="61" spans="1:34">
      <c r="A61" s="275" t="s">
        <v>154</v>
      </c>
      <c r="B61" s="139">
        <f>GETPIVOTDATA("Sum of Old-Tot G SCH Calc",'Pivot Table for Fact Book'!$A$3,"State","VA","type",1,"Type2","Four-Year")</f>
        <v>595754.89999999793</v>
      </c>
      <c r="C61" s="140">
        <f>GETPIVOTDATA("Sum of New-Tot G SCH Calc",'Pivot Table for Fact Book'!$A$3,"State","VA","type",1,"Type2","Four-Year")</f>
        <v>603432.5</v>
      </c>
      <c r="D61" s="139">
        <f>GETPIVOTDATA("Sum of Old-Tot G SCH Calc",'Pivot Table for Fact Book'!$A$3,"State","VA","type",2,"Type2","Four-Year")</f>
        <v>200638.5</v>
      </c>
      <c r="E61" s="140">
        <f>GETPIVOTDATA("Sum of New-Tot G SCH Calc",'Pivot Table for Fact Book'!$A$3,"State","VA","type",2,"Type2","Four-Year")</f>
        <v>195551.5</v>
      </c>
      <c r="F61" s="139">
        <f>GETPIVOTDATA("Sum of Old-Tot G SCH Calc",'Pivot Table for Fact Book'!$A$3,"State","VA","type",3,"Type2","Four-Year")</f>
        <v>45429</v>
      </c>
      <c r="G61" s="140">
        <f>GETPIVOTDATA("Sum of New-Tot G SCH Calc",'Pivot Table for Fact Book'!$A$3,"State","VA","type",3,"Type2","Four-Year")</f>
        <v>47901</v>
      </c>
      <c r="H61" s="139">
        <f>GETPIVOTDATA("Sum of Old-Tot G SCH Calc",'Pivot Table for Fact Book'!$A$3,"State","VA","type",4,"Type2","Four-Year")</f>
        <v>37702</v>
      </c>
      <c r="I61" s="140">
        <f>GETPIVOTDATA("Sum of New-Tot G SCH Calc",'Pivot Table for Fact Book'!$A$3,"State","VA","type",4,"Type2","Four-Year")</f>
        <v>34168</v>
      </c>
      <c r="J61" s="139">
        <f>GETPIVOTDATA("Sum of Old-Tot G SCH Calc",'Pivot Table for Fact Book'!$A$3,"State","VA","type",5,"Type2","Four-Year")</f>
        <v>15072</v>
      </c>
      <c r="K61" s="140">
        <f>GETPIVOTDATA("Sum of New-Tot G SCH Calc",'Pivot Table for Fact Book'!$A$3,"State","VA","type",5,"Type2","Four-Year")</f>
        <v>17478</v>
      </c>
      <c r="L61" s="139">
        <f>GETPIVOTDATA("Sum of Old-Tot G SCH Calc",'Pivot Table for Fact Book'!$A$3,"State","VA","type",6,"Type2","Four-Year")</f>
        <v>0</v>
      </c>
      <c r="M61" s="140">
        <f>GETPIVOTDATA("Sum of New-Tot G SCH Calc",'Pivot Table for Fact Book'!$A$3,"State","VA","type",6,"Type2","Four-Year")</f>
        <v>0</v>
      </c>
      <c r="N61" s="139">
        <f>GETPIVOTDATA("Sum of Old-Tot G SCH Calc",'Pivot Table for Fact Book'!$A$3,"State","VA","type",15,"Type2","Four-Year")</f>
        <v>0</v>
      </c>
      <c r="O61" s="140">
        <f>GETPIVOTDATA("Sum of New-Tot G SCH Calc",'Pivot Table for Fact Book'!$A$3,"State","VA","type",15,"Type2","Four-Year")</f>
        <v>0</v>
      </c>
      <c r="P61" s="141">
        <f>GETPIVOTDATA("Sum of Old-Tot G SCH Calc",'Pivot Table for Fact Book'!$A$3,"State","VA","Type2","Four-Year")</f>
        <v>894596.39999999793</v>
      </c>
      <c r="Q61" s="141">
        <f>GETPIVOTDATA("Sum of New-Tot G SCH Calc",'Pivot Table for Fact Book'!$A$3,"State","VA","Type2","Four-Year")</f>
        <v>898531</v>
      </c>
      <c r="AH61" s="14"/>
    </row>
    <row r="62" spans="1:34">
      <c r="A62" s="285" t="s">
        <v>155</v>
      </c>
      <c r="B62" s="286">
        <f>GETPIVOTDATA("Sum of Old-Tot G SCH Calc",'Pivot Table for Fact Book'!$A$3,"State","WV","type",1,"Type2","Four-Year")</f>
        <v>112337</v>
      </c>
      <c r="C62" s="287">
        <f>GETPIVOTDATA("Sum of New-Tot G SCH Calc",'Pivot Table for Fact Book'!$A$3,"State","WV","type",1,"Type2","Four-Year")</f>
        <v>111929</v>
      </c>
      <c r="D62" s="286">
        <f>GETPIVOTDATA("Sum of Old-Tot G SCH Calc",'Pivot Table for Fact Book'!$A$3,"State","WV","type",2,"Type2","Four-Year")</f>
        <v>0</v>
      </c>
      <c r="E62" s="287">
        <f>GETPIVOTDATA("Sum of New-Tot G SCH Calc",'Pivot Table for Fact Book'!$A$3,"State","WV","type",2,"Type2","Four-Year")</f>
        <v>0</v>
      </c>
      <c r="F62" s="286">
        <f>GETPIVOTDATA("Sum of Old-Tot G SCH Calc",'Pivot Table for Fact Book'!$A$3,"State","WV","type",3,"Type2","Four-Year")</f>
        <v>55610</v>
      </c>
      <c r="G62" s="287">
        <f>GETPIVOTDATA("Sum of New-Tot G SCH Calc",'Pivot Table for Fact Book'!$A$3,"State","WV","type",3,"Type2","Four-Year")</f>
        <v>55072</v>
      </c>
      <c r="H62" s="286">
        <f>GETPIVOTDATA("Sum of Old-Tot G SCH Calc",'Pivot Table for Fact Book'!$A$3,"State","WV","type",4,"Type2","Four-Year")</f>
        <v>0</v>
      </c>
      <c r="I62" s="287">
        <f>GETPIVOTDATA("Sum of New-Tot G SCH Calc",'Pivot Table for Fact Book'!$A$3,"State","WV","type",4,"Type2","Four-Year")</f>
        <v>0</v>
      </c>
      <c r="J62" s="286">
        <f>GETPIVOTDATA("Sum of Old-Tot G SCH Calc",'Pivot Table for Fact Book'!$A$3,"State","WV","type",5,"Type2","Four-Year")</f>
        <v>8573</v>
      </c>
      <c r="K62" s="287">
        <f>GETPIVOTDATA("Sum of New-Tot G SCH Calc",'Pivot Table for Fact Book'!$A$3,"State","WV","type",5,"Type2","Four-Year")</f>
        <v>9085</v>
      </c>
      <c r="L62" s="286">
        <f>GETPIVOTDATA("Sum of Old-Tot G SCH Calc",'Pivot Table for Fact Book'!$A$3,"State","WV","type",6,"Type2","Four-Year")</f>
        <v>4777</v>
      </c>
      <c r="M62" s="287">
        <f>GETPIVOTDATA("Sum of New-Tot G SCH Calc",'Pivot Table for Fact Book'!$A$3,"State","WV","type",6,"Type2","Four-Year")</f>
        <v>6056</v>
      </c>
      <c r="N62" s="286">
        <f>GETPIVOTDATA("Sum of Old-Tot G SCH Calc",'Pivot Table for Fact Book'!$A$3,"State","WV","type",15,"Type2","Four-Year")</f>
        <v>0</v>
      </c>
      <c r="O62" s="287">
        <f>GETPIVOTDATA("Sum of New-Tot G SCH Calc",'Pivot Table for Fact Book'!$A$3,"State","WV","type",15,"Type2","Four-Year")</f>
        <v>0</v>
      </c>
      <c r="P62" s="288">
        <f>GETPIVOTDATA("Sum of Old-Tot G SCH Calc",'Pivot Table for Fact Book'!$A$3,"State","WV","Type2","Four-Year")</f>
        <v>181297</v>
      </c>
      <c r="Q62" s="288">
        <f>GETPIVOTDATA("Sum of New-Tot G SCH Calc",'Pivot Table for Fact Book'!$A$3,"State","WV","Type2","Four-Year")</f>
        <v>182142</v>
      </c>
      <c r="AH62" s="14"/>
    </row>
    <row r="64" spans="1:34">
      <c r="A64" s="276" t="s">
        <v>188</v>
      </c>
    </row>
    <row r="65" spans="1:34">
      <c r="A65" s="277"/>
      <c r="B65" s="124" t="s">
        <v>182</v>
      </c>
      <c r="C65" s="125"/>
      <c r="D65" s="125"/>
      <c r="E65" s="125"/>
      <c r="F65" s="125"/>
      <c r="G65" s="125"/>
      <c r="H65" s="125"/>
      <c r="I65" s="125"/>
      <c r="J65" s="125"/>
      <c r="K65" s="125"/>
      <c r="L65" s="125"/>
      <c r="M65" s="125"/>
      <c r="N65" s="125"/>
      <c r="O65" s="125"/>
      <c r="P65" s="125"/>
      <c r="Q65" s="126"/>
    </row>
    <row r="66" spans="1:34">
      <c r="B66" s="132">
        <v>1</v>
      </c>
      <c r="C66" s="133"/>
      <c r="D66" s="132">
        <v>2</v>
      </c>
      <c r="E66" s="133"/>
      <c r="F66" s="132">
        <v>3</v>
      </c>
      <c r="G66" s="133"/>
      <c r="H66" s="132">
        <v>4</v>
      </c>
      <c r="I66" s="133"/>
      <c r="J66" s="132">
        <v>5</v>
      </c>
      <c r="K66" s="133"/>
      <c r="L66" s="132">
        <v>6</v>
      </c>
      <c r="M66" s="133"/>
      <c r="N66" s="132">
        <v>15</v>
      </c>
      <c r="O66" s="133"/>
      <c r="P66" s="132" t="s">
        <v>185</v>
      </c>
      <c r="Q66" s="134"/>
    </row>
    <row r="67" spans="1:34">
      <c r="B67" s="279">
        <v>2010</v>
      </c>
      <c r="C67" s="280">
        <v>2011</v>
      </c>
      <c r="D67" s="279">
        <v>2010</v>
      </c>
      <c r="E67" s="280">
        <v>2011</v>
      </c>
      <c r="F67" s="279">
        <v>2010</v>
      </c>
      <c r="G67" s="280">
        <v>2011</v>
      </c>
      <c r="H67" s="279">
        <v>2010</v>
      </c>
      <c r="I67" s="280">
        <v>2011</v>
      </c>
      <c r="J67" s="279">
        <v>2010</v>
      </c>
      <c r="K67" s="280">
        <v>2011</v>
      </c>
      <c r="L67" s="279">
        <v>2010</v>
      </c>
      <c r="M67" s="280">
        <v>2011</v>
      </c>
      <c r="N67" s="279">
        <v>2010</v>
      </c>
      <c r="O67" s="280">
        <v>2011</v>
      </c>
      <c r="P67" s="279">
        <v>2010</v>
      </c>
      <c r="Q67" s="280">
        <v>2011</v>
      </c>
      <c r="AH67" s="14"/>
    </row>
    <row r="68" spans="1:34">
      <c r="A68" s="275" t="s">
        <v>141</v>
      </c>
      <c r="B68" s="139">
        <f>GETPIVOTDATA("Sum of Old G E-Learning",'Pivot Table for Fact Book'!$A$3,"State","AL","type",1,"Type2","Four-Year")</f>
        <v>25712</v>
      </c>
      <c r="C68" s="140">
        <f>GETPIVOTDATA("Sum of New G E-Learning",'Pivot Table for Fact Book'!$A$3,"State","AL","type",1,"Type2","Four-Year")</f>
        <v>30678</v>
      </c>
      <c r="D68" s="139">
        <f>GETPIVOTDATA("Sum of Old G E-Learning",'Pivot Table for Fact Book'!$A$3,"State","AL","type",2,"Type2","Four-Year")</f>
        <v>3580</v>
      </c>
      <c r="E68" s="140">
        <f>GETPIVOTDATA("Sum of New G E-Learning",'Pivot Table for Fact Book'!$A$3,"State","AL","type",2,"Type2","Four-Year")</f>
        <v>3908</v>
      </c>
      <c r="F68" s="139">
        <f>GETPIVOTDATA("Sum of Old G E-Learning",'Pivot Table for Fact Book'!$A$3,"State","AL","type",3,"Type2","Four-Year")</f>
        <v>31748</v>
      </c>
      <c r="G68" s="140">
        <f>GETPIVOTDATA("Sum of New G E-Learning",'Pivot Table for Fact Book'!$A$3,"State","AL","type",3,"Type2","Four-Year")</f>
        <v>39776</v>
      </c>
      <c r="H68" s="139">
        <f>GETPIVOTDATA("Sum of Old G E-Learning",'Pivot Table for Fact Book'!$A$3,"State","AL","type",4,"Type2","Four-Year")</f>
        <v>10955</v>
      </c>
      <c r="I68" s="140">
        <f>GETPIVOTDATA("Sum of New G E-Learning",'Pivot Table for Fact Book'!$A$3,"State","AL","type",4,"Type2","Four-Year")</f>
        <v>15656</v>
      </c>
      <c r="J68" s="139">
        <f>GETPIVOTDATA("Sum of Old G E-Learning",'Pivot Table for Fact Book'!$A$3,"State","AL","type",5,"Type2","Four-Year")</f>
        <v>42922</v>
      </c>
      <c r="K68" s="140">
        <f>GETPIVOTDATA("Sum of New G E-Learning",'Pivot Table for Fact Book'!$A$3,"State","AL","type",5,"Type2","Four-Year")</f>
        <v>42647</v>
      </c>
      <c r="L68" s="139">
        <f>GETPIVOTDATA("Sum of Old G E-Learning",'Pivot Table for Fact Book'!$A$3,"State","AL","type",6,"Type2","Four-Year")</f>
        <v>0</v>
      </c>
      <c r="M68" s="140">
        <f>GETPIVOTDATA("Sum of New G E-Learning",'Pivot Table for Fact Book'!$A$3,"State","AL","type",6,"Type2","Four-Year")</f>
        <v>0</v>
      </c>
      <c r="N68" s="139">
        <f>GETPIVOTDATA("Sum of Old G E-Learning",'Pivot Table for Fact Book'!$A$3,"State","AL","type",15,"Type2","Four-Year")</f>
        <v>0</v>
      </c>
      <c r="O68" s="140">
        <f>GETPIVOTDATA("Sum of New G E-Learning",'Pivot Table for Fact Book'!$A$3,"State","AL","type",15,"Type2","Four-Year")</f>
        <v>0</v>
      </c>
      <c r="P68" s="141">
        <f>GETPIVOTDATA("Sum of Old G E-Learning",'Pivot Table for Fact Book'!$A$3,"State","AL","Type2","Four-Year")</f>
        <v>114917</v>
      </c>
      <c r="Q68" s="141">
        <f>GETPIVOTDATA("Sum of New G E-Learning",'Pivot Table for Fact Book'!$A$3,"State","AL","Type2","Four-Year")</f>
        <v>132665</v>
      </c>
      <c r="AH68" s="14"/>
    </row>
    <row r="69" spans="1:34">
      <c r="A69" s="275" t="s">
        <v>142</v>
      </c>
      <c r="B69" s="139">
        <f>GETPIVOTDATA("Sum of Old G E-Learning",'Pivot Table for Fact Book'!$A$3,"State","AR","type",1,"Type2","Four-Year")</f>
        <v>15067</v>
      </c>
      <c r="C69" s="140">
        <f>GETPIVOTDATA("Sum of New G E-Learning",'Pivot Table for Fact Book'!$A$3,"State","AR","type",1,"Type2","Four-Year")</f>
        <v>16628</v>
      </c>
      <c r="D69" s="139">
        <f>GETPIVOTDATA("Sum of Old G E-Learning",'Pivot Table for Fact Book'!$A$3,"State","AR","type",2,"Type2","Four-Year")</f>
        <v>0</v>
      </c>
      <c r="E69" s="140">
        <f>GETPIVOTDATA("Sum of New G E-Learning",'Pivot Table for Fact Book'!$A$3,"State","AR","type",2,"Type2","Four-Year")</f>
        <v>0</v>
      </c>
      <c r="F69" s="139">
        <f>GETPIVOTDATA("Sum of Old G E-Learning",'Pivot Table for Fact Book'!$A$3,"State","AR","type",3,"Type2","Four-Year")</f>
        <v>65000</v>
      </c>
      <c r="G69" s="140">
        <f>GETPIVOTDATA("Sum of New G E-Learning",'Pivot Table for Fact Book'!$A$3,"State","AR","type",3,"Type2","Four-Year")</f>
        <v>78329</v>
      </c>
      <c r="H69" s="139">
        <f>GETPIVOTDATA("Sum of Old G E-Learning",'Pivot Table for Fact Book'!$A$3,"State","AR","type",4,"Type2","Four-Year")</f>
        <v>10410</v>
      </c>
      <c r="I69" s="140">
        <f>GETPIVOTDATA("Sum of New G E-Learning",'Pivot Table for Fact Book'!$A$3,"State","AR","type",4,"Type2","Four-Year")</f>
        <v>11524</v>
      </c>
      <c r="J69" s="139">
        <f>GETPIVOTDATA("Sum of Old G E-Learning",'Pivot Table for Fact Book'!$A$3,"State","AR","type",5,"Type2","Four-Year")</f>
        <v>1286</v>
      </c>
      <c r="K69" s="140">
        <f>GETPIVOTDATA("Sum of New G E-Learning",'Pivot Table for Fact Book'!$A$3,"State","AR","type",5,"Type2","Four-Year")</f>
        <v>1020</v>
      </c>
      <c r="L69" s="139">
        <f>GETPIVOTDATA("Sum of Old G E-Learning",'Pivot Table for Fact Book'!$A$3,"State","AR","type",6,"Type2","Four-Year")</f>
        <v>417</v>
      </c>
      <c r="M69" s="140">
        <f>GETPIVOTDATA("Sum of New G E-Learning",'Pivot Table for Fact Book'!$A$3,"State","AR","type",6,"Type2","Four-Year")</f>
        <v>255</v>
      </c>
      <c r="N69" s="139">
        <f>GETPIVOTDATA("Sum of Old G E-Learning",'Pivot Table for Fact Book'!$A$3,"State","AR","type",15,"Type2","Four-Year")</f>
        <v>0</v>
      </c>
      <c r="O69" s="140">
        <f>GETPIVOTDATA("Sum of New G E-Learning",'Pivot Table for Fact Book'!$A$3,"State","AR","type",15,"Type2","Four-Year")</f>
        <v>0</v>
      </c>
      <c r="P69" s="141">
        <f>GETPIVOTDATA("Sum of Old G E-Learning",'Pivot Table for Fact Book'!$A$3,"State","AR","Type2","Four-Year")</f>
        <v>92180</v>
      </c>
      <c r="Q69" s="141">
        <f>GETPIVOTDATA("Sum of New G E-Learning",'Pivot Table for Fact Book'!$A$3,"State","AR","Type2","Four-Year")</f>
        <v>107756</v>
      </c>
      <c r="AH69" s="14"/>
    </row>
    <row r="70" spans="1:34">
      <c r="A70" s="275" t="s">
        <v>143</v>
      </c>
      <c r="B70" s="139">
        <f>GETPIVOTDATA("Sum of Old G E-Learning",'Pivot Table for Fact Book'!$A$3,"State","DE","type",1,"Type2","Four-Year")</f>
        <v>3432</v>
      </c>
      <c r="C70" s="140">
        <f>GETPIVOTDATA("Sum of New G E-Learning",'Pivot Table for Fact Book'!$A$3,"State","DE","type",1,"Type2","Four-Year")</f>
        <v>2922</v>
      </c>
      <c r="D70" s="139">
        <f>GETPIVOTDATA("Sum of Old G E-Learning",'Pivot Table for Fact Book'!$A$3,"State","DE","type",2,"Type2","Four-Year")</f>
        <v>0</v>
      </c>
      <c r="E70" s="140">
        <f>GETPIVOTDATA("Sum of New G E-Learning",'Pivot Table for Fact Book'!$A$3,"State","DE","type",2,"Type2","Four-Year")</f>
        <v>0</v>
      </c>
      <c r="F70" s="139">
        <f>GETPIVOTDATA("Sum of Old G E-Learning",'Pivot Table for Fact Book'!$A$3,"State","DE","type",3,"Type2","Four-Year")</f>
        <v>0</v>
      </c>
      <c r="G70" s="140">
        <f>GETPIVOTDATA("Sum of New G E-Learning",'Pivot Table for Fact Book'!$A$3,"State","DE","type",3,"Type2","Four-Year")</f>
        <v>0</v>
      </c>
      <c r="H70" s="139">
        <f>GETPIVOTDATA("Sum of Old G E-Learning",'Pivot Table for Fact Book'!$A$3,"State","DE","type",4,"Type2","Four-Year")</f>
        <v>27</v>
      </c>
      <c r="I70" s="140">
        <f>GETPIVOTDATA("Sum of New G E-Learning",'Pivot Table for Fact Book'!$A$3,"State","DE","type",4,"Type2","Four-Year")</f>
        <v>3480</v>
      </c>
      <c r="J70" s="139">
        <f>GETPIVOTDATA("Sum of Old G E-Learning",'Pivot Table for Fact Book'!$A$3,"State","DE","type",5,"Type2","Four-Year")</f>
        <v>0</v>
      </c>
      <c r="K70" s="140">
        <f>GETPIVOTDATA("Sum of New G E-Learning",'Pivot Table for Fact Book'!$A$3,"State","DE","type",5,"Type2","Four-Year")</f>
        <v>0</v>
      </c>
      <c r="L70" s="139">
        <f>GETPIVOTDATA("Sum of Old G E-Learning",'Pivot Table for Fact Book'!$A$3,"State","DE","type",6,"Type2","Four-Year")</f>
        <v>0</v>
      </c>
      <c r="M70" s="140">
        <f>GETPIVOTDATA("Sum of New G E-Learning",'Pivot Table for Fact Book'!$A$3,"State","DE","type",6,"Type2","Four-Year")</f>
        <v>0</v>
      </c>
      <c r="N70" s="139">
        <f>GETPIVOTDATA("Sum of Old G E-Learning",'Pivot Table for Fact Book'!$A$3,"State","DE","type",15,"Type2","Four-Year")</f>
        <v>0</v>
      </c>
      <c r="O70" s="140">
        <f>GETPIVOTDATA("Sum of New G E-Learning",'Pivot Table for Fact Book'!$A$3,"State","DE","type",15,"Type2","Four-Year")</f>
        <v>0</v>
      </c>
      <c r="P70" s="141">
        <f>GETPIVOTDATA("Sum of Old G E-Learning",'Pivot Table for Fact Book'!$A$3,"State","DE","Type2","Four-Year")</f>
        <v>3459</v>
      </c>
      <c r="Q70" s="141">
        <f>GETPIVOTDATA("Sum of New G E-Learning",'Pivot Table for Fact Book'!$A$3,"State","DE","Type2","Four-Year")</f>
        <v>6402</v>
      </c>
      <c r="AH70" s="14"/>
    </row>
    <row r="71" spans="1:34">
      <c r="A71" s="275" t="s">
        <v>144</v>
      </c>
      <c r="B71" s="139">
        <f>GETPIVOTDATA("Sum of Old G E-Learning",'Pivot Table for Fact Book'!$A$3,"State","FL","type",1,"Type2","Four-Year")</f>
        <v>233454</v>
      </c>
      <c r="C71" s="140">
        <f>GETPIVOTDATA("Sum of New G E-Learning",'Pivot Table for Fact Book'!$A$3,"State","FL","type",1,"Type2","Four-Year")</f>
        <v>208728</v>
      </c>
      <c r="D71" s="139">
        <f>GETPIVOTDATA("Sum of Old G E-Learning",'Pivot Table for Fact Book'!$A$3,"State","FL","type",2,"Type2","Four-Year")</f>
        <v>19659</v>
      </c>
      <c r="E71" s="140">
        <f>GETPIVOTDATA("Sum of New G E-Learning",'Pivot Table for Fact Book'!$A$3,"State","FL","type",2,"Type2","Four-Year")</f>
        <v>18884</v>
      </c>
      <c r="F71" s="139">
        <f>GETPIVOTDATA("Sum of Old G E-Learning",'Pivot Table for Fact Book'!$A$3,"State","FL","type",3,"Type2","Four-Year")</f>
        <v>26241</v>
      </c>
      <c r="G71" s="140">
        <f>GETPIVOTDATA("Sum of New G E-Learning",'Pivot Table for Fact Book'!$A$3,"State","FL","type",3,"Type2","Four-Year")</f>
        <v>26536</v>
      </c>
      <c r="H71" s="139">
        <f>GETPIVOTDATA("Sum of Old G E-Learning",'Pivot Table for Fact Book'!$A$3,"State","FL","type",4,"Type2","Four-Year")</f>
        <v>10149</v>
      </c>
      <c r="I71" s="140">
        <f>GETPIVOTDATA("Sum of New G E-Learning",'Pivot Table for Fact Book'!$A$3,"State","FL","type",4,"Type2","Four-Year")</f>
        <v>9381</v>
      </c>
      <c r="J71" s="139">
        <f>GETPIVOTDATA("Sum of Old G E-Learning",'Pivot Table for Fact Book'!$A$3,"State","FL","type",5,"Type2","Four-Year")</f>
        <v>0</v>
      </c>
      <c r="K71" s="140">
        <f>GETPIVOTDATA("Sum of New G E-Learning",'Pivot Table for Fact Book'!$A$3,"State","FL","type",5,"Type2","Four-Year")</f>
        <v>0</v>
      </c>
      <c r="L71" s="139">
        <f>GETPIVOTDATA("Sum of Old G E-Learning",'Pivot Table for Fact Book'!$A$3,"State","FL","type",6,"Type2","Four-Year")</f>
        <v>0</v>
      </c>
      <c r="M71" s="140">
        <f>GETPIVOTDATA("Sum of New G E-Learning",'Pivot Table for Fact Book'!$A$3,"State","FL","type",6,"Type2","Four-Year")</f>
        <v>0</v>
      </c>
      <c r="N71" s="139">
        <f>GETPIVOTDATA("Sum of Old G E-Learning",'Pivot Table for Fact Book'!$A$3,"State","FL","type",15,"Type2","Four-Year")</f>
        <v>0</v>
      </c>
      <c r="O71" s="140">
        <f>GETPIVOTDATA("Sum of New G E-Learning",'Pivot Table for Fact Book'!$A$3,"State","FL","type",15,"Type2","Four-Year")</f>
        <v>0</v>
      </c>
      <c r="P71" s="141">
        <f>GETPIVOTDATA("Sum of Old G E-Learning",'Pivot Table for Fact Book'!$A$3,"State","FL","Type2","Four-Year")</f>
        <v>289503</v>
      </c>
      <c r="Q71" s="141">
        <f>GETPIVOTDATA("Sum of New G E-Learning",'Pivot Table for Fact Book'!$A$3,"State","FL","Type2","Four-Year")</f>
        <v>263529</v>
      </c>
      <c r="AH71" s="14"/>
    </row>
    <row r="72" spans="1:34">
      <c r="A72" s="275" t="s">
        <v>145</v>
      </c>
      <c r="B72" s="139">
        <f>GETPIVOTDATA("Sum of Old G E-Learning",'Pivot Table for Fact Book'!$A$3,"State","GA","type",1,"Type2","Four-Year")</f>
        <v>0</v>
      </c>
      <c r="C72" s="140">
        <f>GETPIVOTDATA("Sum of New G E-Learning",'Pivot Table for Fact Book'!$A$3,"State","GA","type",1,"Type2","Four-Year")</f>
        <v>0</v>
      </c>
      <c r="D72" s="139">
        <f>GETPIVOTDATA("Sum of Old G E-Learning",'Pivot Table for Fact Book'!$A$3,"State","GA","type",2,"Type2","Four-Year")</f>
        <v>0</v>
      </c>
      <c r="E72" s="140">
        <f>GETPIVOTDATA("Sum of New G E-Learning",'Pivot Table for Fact Book'!$A$3,"State","GA","type",2,"Type2","Four-Year")</f>
        <v>0</v>
      </c>
      <c r="F72" s="139">
        <f>GETPIVOTDATA("Sum of Old G E-Learning",'Pivot Table for Fact Book'!$A$3,"State","GA","type",3,"Type2","Four-Year")</f>
        <v>0</v>
      </c>
      <c r="G72" s="140">
        <f>GETPIVOTDATA("Sum of New G E-Learning",'Pivot Table for Fact Book'!$A$3,"State","GA","type",3,"Type2","Four-Year")</f>
        <v>0</v>
      </c>
      <c r="H72" s="139">
        <f>GETPIVOTDATA("Sum of Old G E-Learning",'Pivot Table for Fact Book'!$A$3,"State","GA","type",4,"Type2","Four-Year")</f>
        <v>0</v>
      </c>
      <c r="I72" s="140">
        <f>GETPIVOTDATA("Sum of New G E-Learning",'Pivot Table for Fact Book'!$A$3,"State","GA","type",4,"Type2","Four-Year")</f>
        <v>0</v>
      </c>
      <c r="J72" s="139">
        <f>GETPIVOTDATA("Sum of Old G E-Learning",'Pivot Table for Fact Book'!$A$3,"State","GA","type",5,"Type2","Four-Year")</f>
        <v>0</v>
      </c>
      <c r="K72" s="140">
        <f>GETPIVOTDATA("Sum of New G E-Learning",'Pivot Table for Fact Book'!$A$3,"State","GA","type",5,"Type2","Four-Year")</f>
        <v>0</v>
      </c>
      <c r="L72" s="139">
        <f>GETPIVOTDATA("Sum of Old G E-Learning",'Pivot Table for Fact Book'!$A$3,"State","GA","type",6,"Type2","Four-Year")</f>
        <v>0</v>
      </c>
      <c r="M72" s="140">
        <f>GETPIVOTDATA("Sum of New G E-Learning",'Pivot Table for Fact Book'!$A$3,"State","GA","type",6,"Type2","Four-Year")</f>
        <v>0</v>
      </c>
      <c r="N72" s="139">
        <f>GETPIVOTDATA("Sum of Old G E-Learning",'Pivot Table for Fact Book'!$A$3,"State","GA","type",15,"Type2","Four-Year")</f>
        <v>0</v>
      </c>
      <c r="O72" s="140">
        <f>GETPIVOTDATA("Sum of New G E-Learning",'Pivot Table for Fact Book'!$A$3,"State","GA","type",15,"Type2","Four-Year")</f>
        <v>0</v>
      </c>
      <c r="P72" s="141">
        <f>GETPIVOTDATA("Sum of Old G E-Learning",'Pivot Table for Fact Book'!$A$3,"State","GA","Type2","Four-Year")</f>
        <v>0</v>
      </c>
      <c r="Q72" s="141">
        <f>GETPIVOTDATA("Sum of New G E-Learning",'Pivot Table for Fact Book'!$A$3,"State","GA","Type2","Four-Year")</f>
        <v>0</v>
      </c>
      <c r="AH72" s="14"/>
    </row>
    <row r="73" spans="1:34">
      <c r="A73" s="275" t="s">
        <v>146</v>
      </c>
      <c r="B73" s="139">
        <f>GETPIVOTDATA("Sum of Old G E-Learning",'Pivot Table for Fact Book'!$A$3,"State","KY","type",1,"Type2","Four-Year")</f>
        <v>12517</v>
      </c>
      <c r="C73" s="140">
        <f>GETPIVOTDATA("Sum of New G E-Learning",'Pivot Table for Fact Book'!$A$3,"State","KY","type",1,"Type2","Four-Year")</f>
        <v>15989</v>
      </c>
      <c r="D73" s="139">
        <f>GETPIVOTDATA("Sum of Old G E-Learning",'Pivot Table for Fact Book'!$A$3,"State","KY","type",2,"Type2","Four-Year")</f>
        <v>0</v>
      </c>
      <c r="E73" s="140">
        <f>GETPIVOTDATA("Sum of New G E-Learning",'Pivot Table for Fact Book'!$A$3,"State","KY","type",2,"Type2","Four-Year")</f>
        <v>0</v>
      </c>
      <c r="F73" s="139">
        <f>GETPIVOTDATA("Sum of Old G E-Learning",'Pivot Table for Fact Book'!$A$3,"State","KY","type",3,"Type2","Four-Year")</f>
        <v>59381</v>
      </c>
      <c r="G73" s="140">
        <f>GETPIVOTDATA("Sum of New G E-Learning",'Pivot Table for Fact Book'!$A$3,"State","KY","type",3,"Type2","Four-Year")</f>
        <v>69669.5</v>
      </c>
      <c r="H73" s="139">
        <f>GETPIVOTDATA("Sum of Old G E-Learning",'Pivot Table for Fact Book'!$A$3,"State","KY","type",4,"Type2","Four-Year")</f>
        <v>8996</v>
      </c>
      <c r="I73" s="140">
        <f>GETPIVOTDATA("Sum of New G E-Learning",'Pivot Table for Fact Book'!$A$3,"State","KY","type",4,"Type2","Four-Year")</f>
        <v>11076</v>
      </c>
      <c r="J73" s="139">
        <f>GETPIVOTDATA("Sum of Old G E-Learning",'Pivot Table for Fact Book'!$A$3,"State","KY","type",5,"Type2","Four-Year")</f>
        <v>0</v>
      </c>
      <c r="K73" s="140">
        <f>GETPIVOTDATA("Sum of New G E-Learning",'Pivot Table for Fact Book'!$A$3,"State","KY","type",5,"Type2","Four-Year")</f>
        <v>0</v>
      </c>
      <c r="L73" s="139">
        <f>GETPIVOTDATA("Sum of Old G E-Learning",'Pivot Table for Fact Book'!$A$3,"State","KY","type",6,"Type2","Four-Year")</f>
        <v>0</v>
      </c>
      <c r="M73" s="140">
        <f>GETPIVOTDATA("Sum of New G E-Learning",'Pivot Table for Fact Book'!$A$3,"State","KY","type",6,"Type2","Four-Year")</f>
        <v>0</v>
      </c>
      <c r="N73" s="139">
        <f>GETPIVOTDATA("Sum of Old G E-Learning",'Pivot Table for Fact Book'!$A$3,"State","KY","type",15,"Type2","Four-Year")</f>
        <v>0</v>
      </c>
      <c r="O73" s="140">
        <f>GETPIVOTDATA("Sum of New G E-Learning",'Pivot Table for Fact Book'!$A$3,"State","KY","type",15,"Type2","Four-Year")</f>
        <v>0</v>
      </c>
      <c r="P73" s="141">
        <f>GETPIVOTDATA("Sum of Old G E-Learning",'Pivot Table for Fact Book'!$A$3,"State","KY","Type2","Four-Year")</f>
        <v>80894</v>
      </c>
      <c r="Q73" s="141">
        <f>GETPIVOTDATA("Sum of New G E-Learning",'Pivot Table for Fact Book'!$A$3,"State","KY","Type2","Four-Year")</f>
        <v>96734.5</v>
      </c>
      <c r="AH73" s="14"/>
    </row>
    <row r="74" spans="1:34">
      <c r="A74" s="275" t="s">
        <v>147</v>
      </c>
      <c r="B74" s="139">
        <f>GETPIVOTDATA("Sum of Old G E-Learning",'Pivot Table for Fact Book'!$A$3,"State","LA","type",1,"Type2","Four-Year")</f>
        <v>0</v>
      </c>
      <c r="C74" s="140">
        <f>GETPIVOTDATA("Sum of New G E-Learning",'Pivot Table for Fact Book'!$A$3,"State","LA","type",1,"Type2","Four-Year")</f>
        <v>0</v>
      </c>
      <c r="D74" s="139">
        <f>GETPIVOTDATA("Sum of Old G E-Learning",'Pivot Table for Fact Book'!$A$3,"State","LA","type",2,"Type2","Four-Year")</f>
        <v>0</v>
      </c>
      <c r="E74" s="140">
        <f>GETPIVOTDATA("Sum of New G E-Learning",'Pivot Table for Fact Book'!$A$3,"State","LA","type",2,"Type2","Four-Year")</f>
        <v>0</v>
      </c>
      <c r="F74" s="139">
        <f>GETPIVOTDATA("Sum of Old G E-Learning",'Pivot Table for Fact Book'!$A$3,"State","LA","type",3,"Type2","Four-Year")</f>
        <v>0</v>
      </c>
      <c r="G74" s="140">
        <f>GETPIVOTDATA("Sum of New G E-Learning",'Pivot Table for Fact Book'!$A$3,"State","LA","type",3,"Type2","Four-Year")</f>
        <v>0</v>
      </c>
      <c r="H74" s="139">
        <f>GETPIVOTDATA("Sum of Old G E-Learning",'Pivot Table for Fact Book'!$A$3,"State","LA","type",4,"Type2","Four-Year")</f>
        <v>0</v>
      </c>
      <c r="I74" s="140">
        <f>GETPIVOTDATA("Sum of New G E-Learning",'Pivot Table for Fact Book'!$A$3,"State","LA","type",4,"Type2","Four-Year")</f>
        <v>0</v>
      </c>
      <c r="J74" s="139">
        <f>GETPIVOTDATA("Sum of Old G E-Learning",'Pivot Table for Fact Book'!$A$3,"State","LA","type",5,"Type2","Four-Year")</f>
        <v>0</v>
      </c>
      <c r="K74" s="140">
        <f>GETPIVOTDATA("Sum of New G E-Learning",'Pivot Table for Fact Book'!$A$3,"State","LA","type",5,"Type2","Four-Year")</f>
        <v>0</v>
      </c>
      <c r="L74" s="139">
        <f>GETPIVOTDATA("Sum of Old G E-Learning",'Pivot Table for Fact Book'!$A$3,"State","LA","type",6,"Type2","Four-Year")</f>
        <v>0</v>
      </c>
      <c r="M74" s="140">
        <f>GETPIVOTDATA("Sum of New G E-Learning",'Pivot Table for Fact Book'!$A$3,"State","LA","type",6,"Type2","Four-Year")</f>
        <v>0</v>
      </c>
      <c r="N74" s="139">
        <f>GETPIVOTDATA("Sum of Old G E-Learning",'Pivot Table for Fact Book'!$A$3,"State","LA","type",15,"Type2","Four-Year")</f>
        <v>0</v>
      </c>
      <c r="O74" s="140">
        <f>GETPIVOTDATA("Sum of New G E-Learning",'Pivot Table for Fact Book'!$A$3,"State","LA","type",15,"Type2","Four-Year")</f>
        <v>0</v>
      </c>
      <c r="P74" s="141">
        <f>GETPIVOTDATA("Sum of Old G E-Learning",'Pivot Table for Fact Book'!$A$3,"State","LA","Type2","Four-Year")</f>
        <v>0</v>
      </c>
      <c r="Q74" s="141">
        <f>GETPIVOTDATA("Sum of New G E-Learning",'Pivot Table for Fact Book'!$A$3,"State","LA","Type2","Four-Year")</f>
        <v>0</v>
      </c>
      <c r="AH74" s="14"/>
    </row>
    <row r="75" spans="1:34">
      <c r="A75" s="275" t="s">
        <v>177</v>
      </c>
      <c r="B75" s="139">
        <f>GETPIVOTDATA("Sum of Old G E-Learning",'Pivot Table for Fact Book'!$A$3,"State","MD","type",1,"Type2","Four-Year")</f>
        <v>6383</v>
      </c>
      <c r="C75" s="140">
        <f>GETPIVOTDATA("Sum of New G E-Learning",'Pivot Table for Fact Book'!$A$3,"State","MD","type",1,"Type2","Four-Year")</f>
        <v>6723</v>
      </c>
      <c r="D75" s="139">
        <f>GETPIVOTDATA("Sum of Old G E-Learning",'Pivot Table for Fact Book'!$A$3,"State","MD","type",2,"Type2","Four-Year")</f>
        <v>6576</v>
      </c>
      <c r="E75" s="140">
        <f>GETPIVOTDATA("Sum of New G E-Learning",'Pivot Table for Fact Book'!$A$3,"State","MD","type",2,"Type2","Four-Year")</f>
        <v>7231</v>
      </c>
      <c r="F75" s="139">
        <f>GETPIVOTDATA("Sum of Old G E-Learning",'Pivot Table for Fact Book'!$A$3,"State","MD","type",3,"Type2","Four-Year")</f>
        <v>6239</v>
      </c>
      <c r="G75" s="140">
        <f>GETPIVOTDATA("Sum of New G E-Learning",'Pivot Table for Fact Book'!$A$3,"State","MD","type",3,"Type2","Four-Year")</f>
        <v>8059</v>
      </c>
      <c r="H75" s="139">
        <f>GETPIVOTDATA("Sum of Old G E-Learning",'Pivot Table for Fact Book'!$A$3,"State","MD","type",4,"Type2","Four-Year")</f>
        <v>97724</v>
      </c>
      <c r="I75" s="140">
        <f>GETPIVOTDATA("Sum of New G E-Learning",'Pivot Table for Fact Book'!$A$3,"State","MD","type",4,"Type2","Four-Year")</f>
        <v>20550</v>
      </c>
      <c r="J75" s="139">
        <f>GETPIVOTDATA("Sum of Old G E-Learning",'Pivot Table for Fact Book'!$A$3,"State","MD","type",5,"Type2","Four-Year")</f>
        <v>0</v>
      </c>
      <c r="K75" s="140">
        <f>GETPIVOTDATA("Sum of New G E-Learning",'Pivot Table for Fact Book'!$A$3,"State","MD","type",5,"Type2","Four-Year")</f>
        <v>0</v>
      </c>
      <c r="L75" s="139">
        <f>GETPIVOTDATA("Sum of Old G E-Learning",'Pivot Table for Fact Book'!$A$3,"State","MD","type",6,"Type2","Four-Year")</f>
        <v>0</v>
      </c>
      <c r="M75" s="140">
        <f>GETPIVOTDATA("Sum of New G E-Learning",'Pivot Table for Fact Book'!$A$3,"State","MD","type",6,"Type2","Four-Year")</f>
        <v>0</v>
      </c>
      <c r="N75" s="139">
        <f>GETPIVOTDATA("Sum of Old G E-Learning",'Pivot Table for Fact Book'!$A$3,"State","MD","type",15,"Type2","Four-Year")</f>
        <v>173875</v>
      </c>
      <c r="O75" s="140">
        <f>GETPIVOTDATA("Sum of New G E-Learning",'Pivot Table for Fact Book'!$A$3,"State","MD","type",15,"Type2","Four-Year")</f>
        <v>189917</v>
      </c>
      <c r="P75" s="141">
        <f>GETPIVOTDATA("Sum of Old G E-Learning",'Pivot Table for Fact Book'!$A$3,"State","MD","Type2","Four-Year")</f>
        <v>290797</v>
      </c>
      <c r="Q75" s="141">
        <f>GETPIVOTDATA("Sum of New G E-Learning",'Pivot Table for Fact Book'!$A$3,"State","MD","Type2","Four-Year")</f>
        <v>232480</v>
      </c>
      <c r="AH75" s="14"/>
    </row>
    <row r="76" spans="1:34">
      <c r="A76" s="275" t="s">
        <v>148</v>
      </c>
      <c r="B76" s="139">
        <f>GETPIVOTDATA("Sum of Old G E-Learning",'Pivot Table for Fact Book'!$A$3,"State","MS","type",1,"Type2","Four-Year")</f>
        <v>30146</v>
      </c>
      <c r="C76" s="140">
        <f>GETPIVOTDATA("Sum of New G E-Learning",'Pivot Table for Fact Book'!$A$3,"State","MS","type",1,"Type2","Four-Year")</f>
        <v>32391</v>
      </c>
      <c r="D76" s="139">
        <f>GETPIVOTDATA("Sum of Old G E-Learning",'Pivot Table for Fact Book'!$A$3,"State","MS","type",2,"Type2","Four-Year")</f>
        <v>3482</v>
      </c>
      <c r="E76" s="140">
        <f>GETPIVOTDATA("Sum of New G E-Learning",'Pivot Table for Fact Book'!$A$3,"State","MS","type",2,"Type2","Four-Year")</f>
        <v>5663</v>
      </c>
      <c r="F76" s="139">
        <f>GETPIVOTDATA("Sum of Old G E-Learning",'Pivot Table for Fact Book'!$A$3,"State","MS","type",3,"Type2","Four-Year")</f>
        <v>0</v>
      </c>
      <c r="G76" s="140">
        <f>GETPIVOTDATA("Sum of New G E-Learning",'Pivot Table for Fact Book'!$A$3,"State","MS","type",3,"Type2","Four-Year")</f>
        <v>0</v>
      </c>
      <c r="H76" s="139">
        <f>GETPIVOTDATA("Sum of Old G E-Learning",'Pivot Table for Fact Book'!$A$3,"State","MS","type",4,"Type2","Four-Year")</f>
        <v>15119</v>
      </c>
      <c r="I76" s="140">
        <f>GETPIVOTDATA("Sum of New G E-Learning",'Pivot Table for Fact Book'!$A$3,"State","MS","type",4,"Type2","Four-Year")</f>
        <v>18018</v>
      </c>
      <c r="J76" s="139">
        <f>GETPIVOTDATA("Sum of Old G E-Learning",'Pivot Table for Fact Book'!$A$3,"State","MS","type",5,"Type2","Four-Year")</f>
        <v>1239</v>
      </c>
      <c r="K76" s="140">
        <f>GETPIVOTDATA("Sum of New G E-Learning",'Pivot Table for Fact Book'!$A$3,"State","MS","type",5,"Type2","Four-Year")</f>
        <v>1189</v>
      </c>
      <c r="L76" s="139">
        <f>GETPIVOTDATA("Sum of Old G E-Learning",'Pivot Table for Fact Book'!$A$3,"State","MS","type",6,"Type2","Four-Year")</f>
        <v>0</v>
      </c>
      <c r="M76" s="140">
        <f>GETPIVOTDATA("Sum of New G E-Learning",'Pivot Table for Fact Book'!$A$3,"State","MS","type",6,"Type2","Four-Year")</f>
        <v>0</v>
      </c>
      <c r="N76" s="139">
        <f>GETPIVOTDATA("Sum of Old G E-Learning",'Pivot Table for Fact Book'!$A$3,"State","MS","type",15,"Type2","Four-Year")</f>
        <v>0</v>
      </c>
      <c r="O76" s="140">
        <f>GETPIVOTDATA("Sum of New G E-Learning",'Pivot Table for Fact Book'!$A$3,"State","MS","type",15,"Type2","Four-Year")</f>
        <v>0</v>
      </c>
      <c r="P76" s="141">
        <f>GETPIVOTDATA("Sum of Old G E-Learning",'Pivot Table for Fact Book'!$A$3,"State","MS","Type2","Four-Year")</f>
        <v>49986</v>
      </c>
      <c r="Q76" s="141">
        <f>GETPIVOTDATA("Sum of New G E-Learning",'Pivot Table for Fact Book'!$A$3,"State","MS","Type2","Four-Year")</f>
        <v>57261</v>
      </c>
      <c r="AH76" s="14"/>
    </row>
    <row r="77" spans="1:34">
      <c r="A77" s="275" t="s">
        <v>149</v>
      </c>
      <c r="B77" s="139">
        <f>GETPIVOTDATA("Sum of Old G E-Learning",'Pivot Table for Fact Book'!$A$3,"State","NC","type",1,"Type2","Four-Year")</f>
        <v>44941</v>
      </c>
      <c r="C77" s="140">
        <f>GETPIVOTDATA("Sum of New G E-Learning",'Pivot Table for Fact Book'!$A$3,"State","NC","type",1,"Type2","Four-Year")</f>
        <v>45198</v>
      </c>
      <c r="D77" s="139">
        <f>GETPIVOTDATA("Sum of Old G E-Learning",'Pivot Table for Fact Book'!$A$3,"State","NC","type",2,"Type2","Four-Year")</f>
        <v>10139</v>
      </c>
      <c r="E77" s="140">
        <f>GETPIVOTDATA("Sum of New G E-Learning",'Pivot Table for Fact Book'!$A$3,"State","NC","type",2,"Type2","Four-Year")</f>
        <v>10126</v>
      </c>
      <c r="F77" s="139">
        <f>GETPIVOTDATA("Sum of Old G E-Learning",'Pivot Table for Fact Book'!$A$3,"State","NC","type",3,"Type2","Four-Year")</f>
        <v>80369</v>
      </c>
      <c r="G77" s="140">
        <f>GETPIVOTDATA("Sum of New G E-Learning",'Pivot Table for Fact Book'!$A$3,"State","NC","type",3,"Type2","Four-Year")</f>
        <v>76673</v>
      </c>
      <c r="H77" s="139">
        <f>GETPIVOTDATA("Sum of Old G E-Learning",'Pivot Table for Fact Book'!$A$3,"State","NC","type",4,"Type2","Four-Year")</f>
        <v>2298</v>
      </c>
      <c r="I77" s="140">
        <f>GETPIVOTDATA("Sum of New G E-Learning",'Pivot Table for Fact Book'!$A$3,"State","NC","type",4,"Type2","Four-Year")</f>
        <v>2676</v>
      </c>
      <c r="J77" s="139">
        <f>GETPIVOTDATA("Sum of Old G E-Learning",'Pivot Table for Fact Book'!$A$3,"State","NC","type",5,"Type2","Four-Year")</f>
        <v>6545</v>
      </c>
      <c r="K77" s="140">
        <f>GETPIVOTDATA("Sum of New G E-Learning",'Pivot Table for Fact Book'!$A$3,"State","NC","type",5,"Type2","Four-Year")</f>
        <v>7939</v>
      </c>
      <c r="L77" s="139">
        <f>GETPIVOTDATA("Sum of Old G E-Learning",'Pivot Table for Fact Book'!$A$3,"State","NC","type",6,"Type2","Four-Year")</f>
        <v>365</v>
      </c>
      <c r="M77" s="140">
        <f>GETPIVOTDATA("Sum of New G E-Learning",'Pivot Table for Fact Book'!$A$3,"State","NC","type",6,"Type2","Four-Year")</f>
        <v>682</v>
      </c>
      <c r="N77" s="139">
        <f>GETPIVOTDATA("Sum of Old G E-Learning",'Pivot Table for Fact Book'!$A$3,"State","NC","type",15,"Type2","Four-Year")</f>
        <v>0</v>
      </c>
      <c r="O77" s="140">
        <f>GETPIVOTDATA("Sum of New G E-Learning",'Pivot Table for Fact Book'!$A$3,"State","NC","type",15,"Type2","Four-Year")</f>
        <v>0</v>
      </c>
      <c r="P77" s="141">
        <f>GETPIVOTDATA("Sum of Old G E-Learning",'Pivot Table for Fact Book'!$A$3,"State","NC","Type2","Four-Year")</f>
        <v>144657</v>
      </c>
      <c r="Q77" s="141">
        <f>GETPIVOTDATA("Sum of New G E-Learning",'Pivot Table for Fact Book'!$A$3,"State","NC","Type2","Four-Year")</f>
        <v>143294</v>
      </c>
      <c r="AH77" s="14"/>
    </row>
    <row r="78" spans="1:34">
      <c r="A78" s="275" t="s">
        <v>150</v>
      </c>
      <c r="B78" s="139">
        <f>GETPIVOTDATA("Sum of Old G E-Learning",'Pivot Table for Fact Book'!$A$3,"State","OK","type",1,"Type2","Four-Year")</f>
        <v>11780</v>
      </c>
      <c r="C78" s="140">
        <f>GETPIVOTDATA("Sum of New G E-Learning",'Pivot Table for Fact Book'!$A$3,"State","OK","type",1,"Type2","Four-Year")</f>
        <v>16558</v>
      </c>
      <c r="D78" s="139">
        <f>GETPIVOTDATA("Sum of Old G E-Learning",'Pivot Table for Fact Book'!$A$3,"State","OK","type",2,"Type2","Four-Year")</f>
        <v>0</v>
      </c>
      <c r="E78" s="140">
        <f>GETPIVOTDATA("Sum of New G E-Learning",'Pivot Table for Fact Book'!$A$3,"State","OK","type",2,"Type2","Four-Year")</f>
        <v>0</v>
      </c>
      <c r="F78" s="139">
        <f>GETPIVOTDATA("Sum of Old G E-Learning",'Pivot Table for Fact Book'!$A$3,"State","OK","type",3,"Type2","Four-Year")</f>
        <v>3677</v>
      </c>
      <c r="G78" s="140">
        <f>GETPIVOTDATA("Sum of New G E-Learning",'Pivot Table for Fact Book'!$A$3,"State","OK","type",3,"Type2","Four-Year")</f>
        <v>5660</v>
      </c>
      <c r="H78" s="139">
        <f>GETPIVOTDATA("Sum of Old G E-Learning",'Pivot Table for Fact Book'!$A$3,"State","OK","type",4,"Type2","Four-Year")</f>
        <v>0</v>
      </c>
      <c r="I78" s="140">
        <f>GETPIVOTDATA("Sum of New G E-Learning",'Pivot Table for Fact Book'!$A$3,"State","OK","type",4,"Type2","Four-Year")</f>
        <v>0</v>
      </c>
      <c r="J78" s="139">
        <f>GETPIVOTDATA("Sum of Old G E-Learning",'Pivot Table for Fact Book'!$A$3,"State","OK","type",5,"Type2","Four-Year")</f>
        <v>22579</v>
      </c>
      <c r="K78" s="140">
        <f>GETPIVOTDATA("Sum of New G E-Learning",'Pivot Table for Fact Book'!$A$3,"State","OK","type",5,"Type2","Four-Year")</f>
        <v>22174</v>
      </c>
      <c r="L78" s="139">
        <f>GETPIVOTDATA("Sum of Old G E-Learning",'Pivot Table for Fact Book'!$A$3,"State","OK","type",6,"Type2","Four-Year")</f>
        <v>0</v>
      </c>
      <c r="M78" s="140">
        <f>GETPIVOTDATA("Sum of New G E-Learning",'Pivot Table for Fact Book'!$A$3,"State","OK","type",6,"Type2","Four-Year")</f>
        <v>0</v>
      </c>
      <c r="N78" s="139">
        <f>GETPIVOTDATA("Sum of Old G E-Learning",'Pivot Table for Fact Book'!$A$3,"State","OK","type",15,"Type2","Four-Year")</f>
        <v>0</v>
      </c>
      <c r="O78" s="140">
        <f>GETPIVOTDATA("Sum of New G E-Learning",'Pivot Table for Fact Book'!$A$3,"State","OK","type",15,"Type2","Four-Year")</f>
        <v>0</v>
      </c>
      <c r="P78" s="141">
        <f>GETPIVOTDATA("Sum of Old G E-Learning",'Pivot Table for Fact Book'!$A$3,"State","OK","Type2","Four-Year")</f>
        <v>38036</v>
      </c>
      <c r="Q78" s="141">
        <f>GETPIVOTDATA("Sum of New G E-Learning",'Pivot Table for Fact Book'!$A$3,"State","OK","Type2","Four-Year")</f>
        <v>44392</v>
      </c>
      <c r="AH78" s="14"/>
    </row>
    <row r="79" spans="1:34">
      <c r="A79" s="275" t="s">
        <v>151</v>
      </c>
      <c r="B79" s="139">
        <f>GETPIVOTDATA("Sum of Old G E-Learning",'Pivot Table for Fact Book'!$A$3,"State","SC","type",1,"Type2","Four-Year")</f>
        <v>37640</v>
      </c>
      <c r="C79" s="140">
        <f>GETPIVOTDATA("Sum of New G E-Learning",'Pivot Table for Fact Book'!$A$3,"State","SC","type",1,"Type2","Four-Year")</f>
        <v>38628</v>
      </c>
      <c r="D79" s="139">
        <f>GETPIVOTDATA("Sum of Old G E-Learning",'Pivot Table for Fact Book'!$A$3,"State","SC","type",2,"Type2","Four-Year")</f>
        <v>0</v>
      </c>
      <c r="E79" s="140">
        <f>GETPIVOTDATA("Sum of New G E-Learning",'Pivot Table for Fact Book'!$A$3,"State","SC","type",2,"Type2","Four-Year")</f>
        <v>0</v>
      </c>
      <c r="F79" s="139">
        <f>GETPIVOTDATA("Sum of Old G E-Learning",'Pivot Table for Fact Book'!$A$3,"State","SC","type",3,"Type2","Four-Year")</f>
        <v>491</v>
      </c>
      <c r="G79" s="140">
        <f>GETPIVOTDATA("Sum of New G E-Learning",'Pivot Table for Fact Book'!$A$3,"State","SC","type",3,"Type2","Four-Year")</f>
        <v>2569</v>
      </c>
      <c r="H79" s="139">
        <f>GETPIVOTDATA("Sum of Old G E-Learning",'Pivot Table for Fact Book'!$A$3,"State","SC","type",4,"Type2","Four-Year")</f>
        <v>237</v>
      </c>
      <c r="I79" s="140">
        <f>GETPIVOTDATA("Sum of New G E-Learning",'Pivot Table for Fact Book'!$A$3,"State","SC","type",4,"Type2","Four-Year")</f>
        <v>1530</v>
      </c>
      <c r="J79" s="139">
        <f>GETPIVOTDATA("Sum of Old G E-Learning",'Pivot Table for Fact Book'!$A$3,"State","SC","type",5,"Type2","Four-Year")</f>
        <v>3057</v>
      </c>
      <c r="K79" s="140">
        <f>GETPIVOTDATA("Sum of New G E-Learning",'Pivot Table for Fact Book'!$A$3,"State","SC","type",5,"Type2","Four-Year")</f>
        <v>3836</v>
      </c>
      <c r="L79" s="139">
        <f>GETPIVOTDATA("Sum of Old G E-Learning",'Pivot Table for Fact Book'!$A$3,"State","SC","type",6,"Type2","Four-Year")</f>
        <v>1458</v>
      </c>
      <c r="M79" s="140">
        <f>GETPIVOTDATA("Sum of New G E-Learning",'Pivot Table for Fact Book'!$A$3,"State","SC","type",6,"Type2","Four-Year")</f>
        <v>1212</v>
      </c>
      <c r="N79" s="139">
        <f>GETPIVOTDATA("Sum of Old G E-Learning",'Pivot Table for Fact Book'!$A$3,"State","SC","type",15,"Type2","Four-Year")</f>
        <v>0</v>
      </c>
      <c r="O79" s="140">
        <f>GETPIVOTDATA("Sum of New G E-Learning",'Pivot Table for Fact Book'!$A$3,"State","SC","type",15,"Type2","Four-Year")</f>
        <v>0</v>
      </c>
      <c r="P79" s="141">
        <f>GETPIVOTDATA("Sum of Old G E-Learning",'Pivot Table for Fact Book'!$A$3,"State","SC","Type2","Four-Year")</f>
        <v>42883</v>
      </c>
      <c r="Q79" s="141">
        <f>GETPIVOTDATA("Sum of New G E-Learning",'Pivot Table for Fact Book'!$A$3,"State","SC","Type2","Four-Year")</f>
        <v>47775</v>
      </c>
      <c r="AH79" s="14"/>
    </row>
    <row r="80" spans="1:34">
      <c r="A80" s="275" t="s">
        <v>152</v>
      </c>
      <c r="B80" s="139">
        <f>GETPIVOTDATA("Sum of Old G E-Learning",'Pivot Table for Fact Book'!$A$3,"State","TN","type",1,"Type2","Four-Year")</f>
        <v>30851</v>
      </c>
      <c r="C80" s="140">
        <f>GETPIVOTDATA("Sum of New G E-Learning",'Pivot Table for Fact Book'!$A$3,"State","TN","type",1,"Type2","Four-Year")</f>
        <v>33483.300000000003</v>
      </c>
      <c r="D80" s="139">
        <f>GETPIVOTDATA("Sum of Old G E-Learning",'Pivot Table for Fact Book'!$A$3,"State","TN","type",2,"Type2","Four-Year")</f>
        <v>1975</v>
      </c>
      <c r="E80" s="140">
        <f>GETPIVOTDATA("Sum of New G E-Learning",'Pivot Table for Fact Book'!$A$3,"State","TN","type",2,"Type2","Four-Year")</f>
        <v>5253</v>
      </c>
      <c r="F80" s="139">
        <f>GETPIVOTDATA("Sum of Old G E-Learning",'Pivot Table for Fact Book'!$A$3,"State","TN","type",3,"Type2","Four-Year")</f>
        <v>33829</v>
      </c>
      <c r="G80" s="140">
        <f>GETPIVOTDATA("Sum of New G E-Learning",'Pivot Table for Fact Book'!$A$3,"State","TN","type",3,"Type2","Four-Year")</f>
        <v>46526</v>
      </c>
      <c r="H80" s="139">
        <f>GETPIVOTDATA("Sum of Old G E-Learning",'Pivot Table for Fact Book'!$A$3,"State","TN","type",4,"Type2","Four-Year")</f>
        <v>0</v>
      </c>
      <c r="I80" s="140">
        <f>GETPIVOTDATA("Sum of New G E-Learning",'Pivot Table for Fact Book'!$A$3,"State","TN","type",4,"Type2","Four-Year")</f>
        <v>0</v>
      </c>
      <c r="J80" s="139">
        <f>GETPIVOTDATA("Sum of Old G E-Learning",'Pivot Table for Fact Book'!$A$3,"State","TN","type",5,"Type2","Four-Year")</f>
        <v>3896</v>
      </c>
      <c r="K80" s="140">
        <f>GETPIVOTDATA("Sum of New G E-Learning",'Pivot Table for Fact Book'!$A$3,"State","TN","type",5,"Type2","Four-Year")</f>
        <v>5048</v>
      </c>
      <c r="L80" s="139">
        <f>GETPIVOTDATA("Sum of Old G E-Learning",'Pivot Table for Fact Book'!$A$3,"State","TN","type",6,"Type2","Four-Year")</f>
        <v>0</v>
      </c>
      <c r="M80" s="140">
        <f>GETPIVOTDATA("Sum of New G E-Learning",'Pivot Table for Fact Book'!$A$3,"State","TN","type",6,"Type2","Four-Year")</f>
        <v>0</v>
      </c>
      <c r="N80" s="139">
        <f>GETPIVOTDATA("Sum of Old G E-Learning",'Pivot Table for Fact Book'!$A$3,"State","TN","type",15,"Type2","Four-Year")</f>
        <v>0</v>
      </c>
      <c r="O80" s="140">
        <f>GETPIVOTDATA("Sum of New G E-Learning",'Pivot Table for Fact Book'!$A$3,"State","TN","type",15,"Type2","Four-Year")</f>
        <v>0</v>
      </c>
      <c r="P80" s="141">
        <f>GETPIVOTDATA("Sum of Old G E-Learning",'Pivot Table for Fact Book'!$A$3,"State","TN","Type2","Four-Year")</f>
        <v>70551</v>
      </c>
      <c r="Q80" s="141">
        <f>GETPIVOTDATA("Sum of New G E-Learning",'Pivot Table for Fact Book'!$A$3,"State","TN","Type2","Four-Year")</f>
        <v>90310.3</v>
      </c>
      <c r="AH80" s="14"/>
    </row>
    <row r="81" spans="1:34">
      <c r="A81" s="275" t="s">
        <v>153</v>
      </c>
      <c r="B81" s="139">
        <f>GETPIVOTDATA("Sum of Old G E-Learning",'Pivot Table for Fact Book'!$A$3,"State","TX","type",1,"Type2","Four-Year")</f>
        <v>118870</v>
      </c>
      <c r="C81" s="140">
        <f>GETPIVOTDATA("Sum of New G E-Learning",'Pivot Table for Fact Book'!$A$3,"State","TX","type",1,"Type2","Four-Year")</f>
        <v>138497</v>
      </c>
      <c r="D81" s="139">
        <f>GETPIVOTDATA("Sum of Old G E-Learning",'Pivot Table for Fact Book'!$A$3,"State","TX","type",2,"Type2","Four-Year")</f>
        <v>62151</v>
      </c>
      <c r="E81" s="140">
        <f>GETPIVOTDATA("Sum of New G E-Learning",'Pivot Table for Fact Book'!$A$3,"State","TX","type",2,"Type2","Four-Year")</f>
        <v>68386</v>
      </c>
      <c r="F81" s="139">
        <f>GETPIVOTDATA("Sum of Old G E-Learning",'Pivot Table for Fact Book'!$A$3,"State","TX","type",3,"Type2","Four-Year")</f>
        <v>228591</v>
      </c>
      <c r="G81" s="140">
        <f>GETPIVOTDATA("Sum of New G E-Learning",'Pivot Table for Fact Book'!$A$3,"State","TX","type",3,"Type2","Four-Year")</f>
        <v>240872</v>
      </c>
      <c r="H81" s="139">
        <f>GETPIVOTDATA("Sum of Old G E-Learning",'Pivot Table for Fact Book'!$A$3,"State","TX","type",4,"Type2","Four-Year")</f>
        <v>23394</v>
      </c>
      <c r="I81" s="140">
        <f>GETPIVOTDATA("Sum of New G E-Learning",'Pivot Table for Fact Book'!$A$3,"State","TX","type",4,"Type2","Four-Year")</f>
        <v>23799</v>
      </c>
      <c r="J81" s="139">
        <f>GETPIVOTDATA("Sum of Old G E-Learning",'Pivot Table for Fact Book'!$A$3,"State","TX","type",5,"Type2","Four-Year")</f>
        <v>1632</v>
      </c>
      <c r="K81" s="140">
        <f>GETPIVOTDATA("Sum of New G E-Learning",'Pivot Table for Fact Book'!$A$3,"State","TX","type",5,"Type2","Four-Year")</f>
        <v>1920</v>
      </c>
      <c r="L81" s="139">
        <f>GETPIVOTDATA("Sum of Old G E-Learning",'Pivot Table for Fact Book'!$A$3,"State","TX","type",6,"Type2","Four-Year")</f>
        <v>63</v>
      </c>
      <c r="M81" s="140">
        <f>GETPIVOTDATA("Sum of New G E-Learning",'Pivot Table for Fact Book'!$A$3,"State","TX","type",6,"Type2","Four-Year")</f>
        <v>97</v>
      </c>
      <c r="N81" s="139">
        <f>GETPIVOTDATA("Sum of Old G E-Learning",'Pivot Table for Fact Book'!$A$3,"State","TX","type",15,"Type2","Four-Year")</f>
        <v>0</v>
      </c>
      <c r="O81" s="140">
        <f>GETPIVOTDATA("Sum of New G E-Learning",'Pivot Table for Fact Book'!$A$3,"State","TX","type",15,"Type2","Four-Year")</f>
        <v>0</v>
      </c>
      <c r="P81" s="141">
        <f>GETPIVOTDATA("Sum of Old G E-Learning",'Pivot Table for Fact Book'!$A$3,"State","TX","Type2","Four-Year")</f>
        <v>436928</v>
      </c>
      <c r="Q81" s="141">
        <f>GETPIVOTDATA("Sum of New G E-Learning",'Pivot Table for Fact Book'!$A$3,"State","TX","Type2","Four-Year")</f>
        <v>485689</v>
      </c>
      <c r="AH81" s="14"/>
    </row>
    <row r="82" spans="1:34">
      <c r="A82" s="275" t="s">
        <v>154</v>
      </c>
      <c r="B82" s="139">
        <f>GETPIVOTDATA("Sum of Old G E-Learning",'Pivot Table for Fact Book'!$A$3,"State","VA","type",1,"Type2","Four-Year")</f>
        <v>55509</v>
      </c>
      <c r="C82" s="140">
        <f>GETPIVOTDATA("Sum of New G E-Learning",'Pivot Table for Fact Book'!$A$3,"State","VA","type",1,"Type2","Four-Year")</f>
        <v>52604.5</v>
      </c>
      <c r="D82" s="139">
        <f>GETPIVOTDATA("Sum of Old G E-Learning",'Pivot Table for Fact Book'!$A$3,"State","VA","type",2,"Type2","Four-Year")</f>
        <v>8050</v>
      </c>
      <c r="E82" s="140">
        <f>GETPIVOTDATA("Sum of New G E-Learning",'Pivot Table for Fact Book'!$A$3,"State","VA","type",2,"Type2","Four-Year")</f>
        <v>9871</v>
      </c>
      <c r="F82" s="139">
        <f>GETPIVOTDATA("Sum of Old G E-Learning",'Pivot Table for Fact Book'!$A$3,"State","VA","type",3,"Type2","Four-Year")</f>
        <v>4189</v>
      </c>
      <c r="G82" s="140">
        <f>GETPIVOTDATA("Sum of New G E-Learning",'Pivot Table for Fact Book'!$A$3,"State","VA","type",3,"Type2","Four-Year")</f>
        <v>5795</v>
      </c>
      <c r="H82" s="139">
        <f>GETPIVOTDATA("Sum of Old G E-Learning",'Pivot Table for Fact Book'!$A$3,"State","VA","type",4,"Type2","Four-Year")</f>
        <v>2398</v>
      </c>
      <c r="I82" s="140">
        <f>GETPIVOTDATA("Sum of New G E-Learning",'Pivot Table for Fact Book'!$A$3,"State","VA","type",4,"Type2","Four-Year")</f>
        <v>1733</v>
      </c>
      <c r="J82" s="139">
        <f>GETPIVOTDATA("Sum of Old G E-Learning",'Pivot Table for Fact Book'!$A$3,"State","VA","type",5,"Type2","Four-Year")</f>
        <v>1687</v>
      </c>
      <c r="K82" s="140">
        <f>GETPIVOTDATA("Sum of New G E-Learning",'Pivot Table for Fact Book'!$A$3,"State","VA","type",5,"Type2","Four-Year")</f>
        <v>3379</v>
      </c>
      <c r="L82" s="139">
        <f>GETPIVOTDATA("Sum of Old G E-Learning",'Pivot Table for Fact Book'!$A$3,"State","VA","type",6,"Type2","Four-Year")</f>
        <v>0</v>
      </c>
      <c r="M82" s="140">
        <f>GETPIVOTDATA("Sum of New G E-Learning",'Pivot Table for Fact Book'!$A$3,"State","VA","type",6,"Type2","Four-Year")</f>
        <v>0</v>
      </c>
      <c r="N82" s="139">
        <f>GETPIVOTDATA("Sum of Old G E-Learning",'Pivot Table for Fact Book'!$A$3,"State","VA","type",15,"Type2","Four-Year")</f>
        <v>0</v>
      </c>
      <c r="O82" s="140">
        <f>GETPIVOTDATA("Sum of New G E-Learning",'Pivot Table for Fact Book'!$A$3,"State","VA","type",15,"Type2","Four-Year")</f>
        <v>0</v>
      </c>
      <c r="P82" s="141">
        <f>GETPIVOTDATA("Sum of Old G E-Learning",'Pivot Table for Fact Book'!$A$3,"State","VA","Type2","Four-Year")</f>
        <v>71833</v>
      </c>
      <c r="Q82" s="141">
        <f>GETPIVOTDATA("Sum of New G E-Learning",'Pivot Table for Fact Book'!$A$3,"State","VA","Type2","Four-Year")</f>
        <v>73382.5</v>
      </c>
      <c r="AH82" s="14"/>
    </row>
    <row r="83" spans="1:34">
      <c r="A83" s="285" t="s">
        <v>155</v>
      </c>
      <c r="B83" s="286">
        <f>GETPIVOTDATA("Sum of Old G E-Learning",'Pivot Table for Fact Book'!$A$3,"State","WV","type",1,"Type2","Four-Year")</f>
        <v>27334</v>
      </c>
      <c r="C83" s="287">
        <f>GETPIVOTDATA("Sum of New G E-Learning",'Pivot Table for Fact Book'!$A$3,"State","WV","type",1,"Type2","Four-Year")</f>
        <v>28493</v>
      </c>
      <c r="D83" s="286">
        <f>GETPIVOTDATA("Sum of Old G E-Learning",'Pivot Table for Fact Book'!$A$3,"State","WV","type",2,"Type2","Four-Year")</f>
        <v>0</v>
      </c>
      <c r="E83" s="287">
        <f>GETPIVOTDATA("Sum of New G E-Learning",'Pivot Table for Fact Book'!$A$3,"State","WV","type",2,"Type2","Four-Year")</f>
        <v>0</v>
      </c>
      <c r="F83" s="286">
        <f>GETPIVOTDATA("Sum of Old G E-Learning",'Pivot Table for Fact Book'!$A$3,"State","WV","type",3,"Type2","Four-Year")</f>
        <v>12407</v>
      </c>
      <c r="G83" s="287">
        <f>GETPIVOTDATA("Sum of New G E-Learning",'Pivot Table for Fact Book'!$A$3,"State","WV","type",3,"Type2","Four-Year")</f>
        <v>11127</v>
      </c>
      <c r="H83" s="286">
        <f>GETPIVOTDATA("Sum of Old G E-Learning",'Pivot Table for Fact Book'!$A$3,"State","WV","type",4,"Type2","Four-Year")</f>
        <v>0</v>
      </c>
      <c r="I83" s="287">
        <f>GETPIVOTDATA("Sum of New G E-Learning",'Pivot Table for Fact Book'!$A$3,"State","WV","type",4,"Type2","Four-Year")</f>
        <v>0</v>
      </c>
      <c r="J83" s="286">
        <f>GETPIVOTDATA("Sum of Old G E-Learning",'Pivot Table for Fact Book'!$A$3,"State","WV","type",5,"Type2","Four-Year")</f>
        <v>4160</v>
      </c>
      <c r="K83" s="287">
        <f>GETPIVOTDATA("Sum of New G E-Learning",'Pivot Table for Fact Book'!$A$3,"State","WV","type",5,"Type2","Four-Year")</f>
        <v>4348</v>
      </c>
      <c r="L83" s="286">
        <f>GETPIVOTDATA("Sum of Old G E-Learning",'Pivot Table for Fact Book'!$A$3,"State","WV","type",6,"Type2","Four-Year")</f>
        <v>2391</v>
      </c>
      <c r="M83" s="287">
        <f>GETPIVOTDATA("Sum of New G E-Learning",'Pivot Table for Fact Book'!$A$3,"State","WV","type",6,"Type2","Four-Year")</f>
        <v>3345</v>
      </c>
      <c r="N83" s="286">
        <f>GETPIVOTDATA("Sum of Old G E-Learning",'Pivot Table for Fact Book'!$A$3,"State","WV","type",15,"Type2","Four-Year")</f>
        <v>0</v>
      </c>
      <c r="O83" s="287">
        <f>GETPIVOTDATA("Sum of New G E-Learning",'Pivot Table for Fact Book'!$A$3,"State","WV","type",15,"Type2","Four-Year")</f>
        <v>0</v>
      </c>
      <c r="P83" s="288">
        <f>GETPIVOTDATA("Sum of Old G E-Learning",'Pivot Table for Fact Book'!$A$3,"State","WV","Type2","Four-Year")</f>
        <v>46292</v>
      </c>
      <c r="Q83" s="288">
        <f>GETPIVOTDATA("Sum of New G E-Learning",'Pivot Table for Fact Book'!$A$3,"State","WV","Type2","Four-Year")</f>
        <v>47313</v>
      </c>
      <c r="AH83" s="1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00"/>
  </sheetPr>
  <dimension ref="A1:Z882"/>
  <sheetViews>
    <sheetView workbookViewId="0"/>
  </sheetViews>
  <sheetFormatPr defaultColWidth="11.42578125" defaultRowHeight="15"/>
  <cols>
    <col min="1" max="1" width="7" style="236" customWidth="1"/>
    <col min="2" max="2" width="26.85546875" style="236" customWidth="1"/>
    <col min="3" max="3" width="9.28515625" style="236" customWidth="1"/>
    <col min="4" max="10" width="9.28515625" style="237" customWidth="1"/>
    <col min="11" max="11" width="10.140625" style="237" customWidth="1"/>
    <col min="12" max="15" width="11.140625" style="237" customWidth="1"/>
    <col min="16" max="16" width="10.140625" style="237" customWidth="1"/>
    <col min="17" max="18" width="11.140625" style="237" customWidth="1"/>
    <col min="19" max="19" width="10.140625" style="237" customWidth="1"/>
    <col min="20" max="22" width="11.140625" style="236" customWidth="1"/>
    <col min="23" max="23" width="10.140625" style="236" customWidth="1"/>
    <col min="24" max="25" width="11.140625" style="236" customWidth="1"/>
    <col min="26" max="26" width="10.140625" style="236" customWidth="1"/>
    <col min="27" max="16384" width="11.42578125" style="236"/>
  </cols>
  <sheetData>
    <row r="1" spans="1:26">
      <c r="A1" s="236" t="s">
        <v>129</v>
      </c>
    </row>
    <row r="2" spans="1:26">
      <c r="S2" s="238"/>
      <c r="T2" s="238"/>
    </row>
    <row r="3" spans="1:26">
      <c r="A3" s="244"/>
      <c r="B3" s="245"/>
      <c r="C3" s="246" t="s">
        <v>225</v>
      </c>
      <c r="D3" s="247" t="s">
        <v>9</v>
      </c>
      <c r="E3" s="247"/>
      <c r="F3" s="247"/>
      <c r="G3" s="247"/>
      <c r="H3" s="247"/>
      <c r="I3" s="247"/>
      <c r="J3" s="271"/>
      <c r="K3" s="247"/>
      <c r="L3" s="247"/>
      <c r="M3" s="247"/>
      <c r="N3" s="247"/>
      <c r="O3" s="271"/>
      <c r="P3" s="247"/>
      <c r="Q3" s="247"/>
      <c r="R3" s="271"/>
      <c r="S3" s="248"/>
      <c r="T3" s="15"/>
      <c r="U3" s="15"/>
      <c r="V3" s="15"/>
      <c r="W3" s="15"/>
      <c r="X3" s="15"/>
      <c r="Y3" s="15"/>
      <c r="Z3" s="15"/>
    </row>
    <row r="4" spans="1:26">
      <c r="A4" s="244"/>
      <c r="B4" s="245"/>
      <c r="C4" s="246" t="s">
        <v>55</v>
      </c>
      <c r="D4" s="249"/>
      <c r="E4" s="249"/>
      <c r="F4" s="249"/>
      <c r="G4" s="249"/>
      <c r="H4" s="249"/>
      <c r="I4" s="249"/>
      <c r="J4" s="251"/>
      <c r="K4" s="246" t="s">
        <v>226</v>
      </c>
      <c r="L4" s="268" t="s">
        <v>56</v>
      </c>
      <c r="M4" s="249"/>
      <c r="N4" s="249"/>
      <c r="O4" s="251"/>
      <c r="P4" s="246" t="s">
        <v>227</v>
      </c>
      <c r="Q4" s="268" t="s">
        <v>228</v>
      </c>
      <c r="R4" s="251"/>
      <c r="S4" s="250" t="s">
        <v>229</v>
      </c>
      <c r="T4" s="15"/>
      <c r="U4" s="15"/>
      <c r="V4" s="15"/>
      <c r="W4" s="15"/>
      <c r="X4" s="15"/>
      <c r="Y4" s="15"/>
      <c r="Z4" s="15"/>
    </row>
    <row r="5" spans="1:26">
      <c r="A5" s="261" t="s">
        <v>4</v>
      </c>
      <c r="B5" s="262" t="s">
        <v>58</v>
      </c>
      <c r="C5" s="244">
        <v>1</v>
      </c>
      <c r="D5" s="270">
        <v>2</v>
      </c>
      <c r="E5" s="270">
        <v>3</v>
      </c>
      <c r="F5" s="270">
        <v>4</v>
      </c>
      <c r="G5" s="270">
        <v>5</v>
      </c>
      <c r="H5" s="270">
        <v>6</v>
      </c>
      <c r="I5" s="270">
        <v>15</v>
      </c>
      <c r="J5" s="270">
        <v>99</v>
      </c>
      <c r="K5" s="164"/>
      <c r="L5" s="269">
        <v>7</v>
      </c>
      <c r="M5" s="265">
        <v>8</v>
      </c>
      <c r="N5" s="265">
        <v>9</v>
      </c>
      <c r="O5" s="265">
        <v>10</v>
      </c>
      <c r="P5" s="263"/>
      <c r="Q5" s="269">
        <v>12</v>
      </c>
      <c r="R5" s="265">
        <v>13</v>
      </c>
      <c r="S5" s="264"/>
      <c r="T5" s="15"/>
      <c r="U5" s="15"/>
      <c r="V5" s="15"/>
      <c r="W5" s="15"/>
      <c r="X5" s="15"/>
      <c r="Y5" s="15"/>
      <c r="Z5" s="15"/>
    </row>
    <row r="6" spans="1:26" s="239" customFormat="1">
      <c r="A6" s="258" t="s">
        <v>38</v>
      </c>
      <c r="B6" s="253" t="s">
        <v>130</v>
      </c>
      <c r="C6" s="253">
        <v>1549762</v>
      </c>
      <c r="D6" s="253">
        <v>161061</v>
      </c>
      <c r="E6" s="253">
        <v>961969</v>
      </c>
      <c r="F6" s="253">
        <v>441638</v>
      </c>
      <c r="G6" s="253">
        <v>123346</v>
      </c>
      <c r="H6" s="253">
        <v>89190</v>
      </c>
      <c r="I6" s="253"/>
      <c r="J6" s="253"/>
      <c r="K6" s="252">
        <v>3326966</v>
      </c>
      <c r="L6" s="266"/>
      <c r="M6" s="253">
        <v>816617</v>
      </c>
      <c r="N6" s="253">
        <v>1204127</v>
      </c>
      <c r="O6" s="253">
        <v>292760</v>
      </c>
      <c r="P6" s="252">
        <v>2313504</v>
      </c>
      <c r="Q6" s="266">
        <v>49717</v>
      </c>
      <c r="R6" s="253">
        <v>79335</v>
      </c>
      <c r="S6" s="254">
        <v>129052</v>
      </c>
      <c r="T6" s="15"/>
      <c r="U6" s="15"/>
      <c r="V6" s="15"/>
      <c r="W6" s="15"/>
      <c r="X6" s="15"/>
      <c r="Y6" s="15"/>
      <c r="Z6" s="15"/>
    </row>
    <row r="7" spans="1:26" s="239" customFormat="1">
      <c r="A7" s="259"/>
      <c r="B7" s="256" t="s">
        <v>134</v>
      </c>
      <c r="C7" s="256">
        <v>1588642</v>
      </c>
      <c r="D7" s="256">
        <v>155382</v>
      </c>
      <c r="E7" s="256">
        <v>1010120</v>
      </c>
      <c r="F7" s="256">
        <v>432241</v>
      </c>
      <c r="G7" s="256">
        <v>124756</v>
      </c>
      <c r="H7" s="256">
        <v>85702</v>
      </c>
      <c r="I7" s="256"/>
      <c r="J7" s="256"/>
      <c r="K7" s="255">
        <v>3396843</v>
      </c>
      <c r="L7" s="267"/>
      <c r="M7" s="256">
        <v>801324</v>
      </c>
      <c r="N7" s="256">
        <v>1150347</v>
      </c>
      <c r="O7" s="256">
        <v>283170</v>
      </c>
      <c r="P7" s="255">
        <v>2234841</v>
      </c>
      <c r="Q7" s="267">
        <v>49502</v>
      </c>
      <c r="R7" s="256">
        <v>74055</v>
      </c>
      <c r="S7" s="257">
        <v>123557</v>
      </c>
      <c r="T7" s="15"/>
      <c r="U7" s="15"/>
      <c r="V7" s="15"/>
      <c r="W7" s="15"/>
      <c r="X7" s="15"/>
      <c r="Y7" s="15"/>
      <c r="Z7" s="15"/>
    </row>
    <row r="8" spans="1:26" s="239" customFormat="1">
      <c r="A8" s="259"/>
      <c r="B8" s="253" t="s">
        <v>131</v>
      </c>
      <c r="C8" s="253">
        <v>65970</v>
      </c>
      <c r="D8" s="253">
        <v>1991</v>
      </c>
      <c r="E8" s="253">
        <v>157476</v>
      </c>
      <c r="F8" s="253">
        <v>40275</v>
      </c>
      <c r="G8" s="253">
        <v>3794</v>
      </c>
      <c r="H8" s="253">
        <v>63163</v>
      </c>
      <c r="I8" s="253">
        <v>0</v>
      </c>
      <c r="J8" s="253">
        <v>0</v>
      </c>
      <c r="K8" s="252">
        <v>332669</v>
      </c>
      <c r="L8" s="266">
        <v>0</v>
      </c>
      <c r="M8" s="253">
        <v>154118</v>
      </c>
      <c r="N8" s="253">
        <v>163221</v>
      </c>
      <c r="O8" s="253">
        <v>64844</v>
      </c>
      <c r="P8" s="252">
        <v>382183</v>
      </c>
      <c r="Q8" s="266">
        <v>3740</v>
      </c>
      <c r="R8" s="253">
        <v>6456</v>
      </c>
      <c r="S8" s="254">
        <v>10196</v>
      </c>
      <c r="T8" s="15"/>
      <c r="U8" s="15"/>
      <c r="V8" s="15"/>
      <c r="W8" s="15"/>
      <c r="X8" s="15"/>
      <c r="Y8" s="15"/>
      <c r="Z8" s="15"/>
    </row>
    <row r="9" spans="1:26" s="239" customFormat="1">
      <c r="A9" s="259"/>
      <c r="B9" s="256" t="s">
        <v>135</v>
      </c>
      <c r="C9" s="256">
        <v>79932</v>
      </c>
      <c r="D9" s="256">
        <v>2542</v>
      </c>
      <c r="E9" s="256">
        <v>207173</v>
      </c>
      <c r="F9" s="256">
        <v>42961</v>
      </c>
      <c r="G9" s="256">
        <v>5747</v>
      </c>
      <c r="H9" s="256">
        <v>61157</v>
      </c>
      <c r="I9" s="256">
        <v>0</v>
      </c>
      <c r="J9" s="256">
        <v>0</v>
      </c>
      <c r="K9" s="255">
        <v>399512</v>
      </c>
      <c r="L9" s="267">
        <v>0</v>
      </c>
      <c r="M9" s="256">
        <v>163099</v>
      </c>
      <c r="N9" s="256">
        <v>170990</v>
      </c>
      <c r="O9" s="256">
        <v>64476</v>
      </c>
      <c r="P9" s="255">
        <v>398565</v>
      </c>
      <c r="Q9" s="267">
        <v>3402</v>
      </c>
      <c r="R9" s="256">
        <v>8988</v>
      </c>
      <c r="S9" s="257">
        <v>12390</v>
      </c>
      <c r="T9" s="15"/>
      <c r="U9" s="15"/>
      <c r="V9" s="15"/>
      <c r="W9" s="15"/>
      <c r="X9" s="15"/>
      <c r="Y9" s="15"/>
      <c r="Z9" s="15"/>
    </row>
    <row r="10" spans="1:26" s="239" customFormat="1">
      <c r="A10" s="259"/>
      <c r="B10" s="253" t="s">
        <v>132</v>
      </c>
      <c r="C10" s="253">
        <v>235423</v>
      </c>
      <c r="D10" s="253">
        <v>21952</v>
      </c>
      <c r="E10" s="253">
        <v>105605</v>
      </c>
      <c r="F10" s="253">
        <v>49129</v>
      </c>
      <c r="G10" s="253">
        <v>57895</v>
      </c>
      <c r="H10" s="253">
        <v>0</v>
      </c>
      <c r="I10" s="253"/>
      <c r="J10" s="253"/>
      <c r="K10" s="252">
        <v>470004</v>
      </c>
      <c r="L10" s="266"/>
      <c r="M10" s="253">
        <v>0</v>
      </c>
      <c r="N10" s="253">
        <v>0</v>
      </c>
      <c r="O10" s="253">
        <v>0</v>
      </c>
      <c r="P10" s="252">
        <v>0</v>
      </c>
      <c r="Q10" s="266">
        <v>0</v>
      </c>
      <c r="R10" s="253">
        <v>0</v>
      </c>
      <c r="S10" s="254">
        <v>0</v>
      </c>
      <c r="T10" s="15"/>
      <c r="U10" s="15"/>
      <c r="V10" s="15"/>
      <c r="W10" s="15"/>
      <c r="X10" s="15"/>
      <c r="Y10" s="15"/>
      <c r="Z10" s="15"/>
    </row>
    <row r="11" spans="1:26" s="239" customFormat="1">
      <c r="A11" s="259"/>
      <c r="B11" s="256" t="s">
        <v>136</v>
      </c>
      <c r="C11" s="256">
        <v>240622</v>
      </c>
      <c r="D11" s="256">
        <v>23176</v>
      </c>
      <c r="E11" s="256">
        <v>109587</v>
      </c>
      <c r="F11" s="256">
        <v>45224</v>
      </c>
      <c r="G11" s="256">
        <v>58285</v>
      </c>
      <c r="H11" s="256">
        <v>0</v>
      </c>
      <c r="I11" s="256"/>
      <c r="J11" s="256"/>
      <c r="K11" s="255">
        <v>476894</v>
      </c>
      <c r="L11" s="267"/>
      <c r="M11" s="256">
        <v>0</v>
      </c>
      <c r="N11" s="256">
        <v>0</v>
      </c>
      <c r="O11" s="256">
        <v>0</v>
      </c>
      <c r="P11" s="255">
        <v>0</v>
      </c>
      <c r="Q11" s="267">
        <v>0</v>
      </c>
      <c r="R11" s="256">
        <v>0</v>
      </c>
      <c r="S11" s="257">
        <v>0</v>
      </c>
      <c r="T11" s="15"/>
      <c r="U11" s="15"/>
      <c r="V11" s="15"/>
      <c r="W11" s="15"/>
      <c r="X11" s="15"/>
      <c r="Y11" s="15"/>
      <c r="Z11" s="15"/>
    </row>
    <row r="12" spans="1:26" s="239" customFormat="1">
      <c r="A12" s="259"/>
      <c r="B12" s="253" t="s">
        <v>133</v>
      </c>
      <c r="C12" s="253">
        <v>25712</v>
      </c>
      <c r="D12" s="253">
        <v>3580</v>
      </c>
      <c r="E12" s="253">
        <v>31748</v>
      </c>
      <c r="F12" s="253">
        <v>10955</v>
      </c>
      <c r="G12" s="253">
        <v>42922</v>
      </c>
      <c r="H12" s="253">
        <v>0</v>
      </c>
      <c r="I12" s="253">
        <v>0</v>
      </c>
      <c r="J12" s="253">
        <v>0</v>
      </c>
      <c r="K12" s="252">
        <v>114917</v>
      </c>
      <c r="L12" s="266">
        <v>0</v>
      </c>
      <c r="M12" s="253">
        <v>0</v>
      </c>
      <c r="N12" s="253">
        <v>0</v>
      </c>
      <c r="O12" s="253">
        <v>0</v>
      </c>
      <c r="P12" s="252">
        <v>0</v>
      </c>
      <c r="Q12" s="266">
        <v>0</v>
      </c>
      <c r="R12" s="253">
        <v>0</v>
      </c>
      <c r="S12" s="254">
        <v>0</v>
      </c>
      <c r="T12" s="15"/>
      <c r="U12" s="15"/>
      <c r="V12" s="15"/>
      <c r="W12" s="15"/>
      <c r="X12" s="15"/>
      <c r="Y12" s="15"/>
      <c r="Z12" s="15"/>
    </row>
    <row r="13" spans="1:26" s="239" customFormat="1">
      <c r="A13" s="260"/>
      <c r="B13" s="256" t="s">
        <v>137</v>
      </c>
      <c r="C13" s="256">
        <v>30678</v>
      </c>
      <c r="D13" s="256">
        <v>3908</v>
      </c>
      <c r="E13" s="256">
        <v>39776</v>
      </c>
      <c r="F13" s="256">
        <v>15656</v>
      </c>
      <c r="G13" s="256">
        <v>42647</v>
      </c>
      <c r="H13" s="256">
        <v>0</v>
      </c>
      <c r="I13" s="256">
        <v>0</v>
      </c>
      <c r="J13" s="256">
        <v>0</v>
      </c>
      <c r="K13" s="255">
        <v>132665</v>
      </c>
      <c r="L13" s="267">
        <v>0</v>
      </c>
      <c r="M13" s="256">
        <v>0</v>
      </c>
      <c r="N13" s="256">
        <v>0</v>
      </c>
      <c r="O13" s="256">
        <v>0</v>
      </c>
      <c r="P13" s="255">
        <v>0</v>
      </c>
      <c r="Q13" s="267">
        <v>0</v>
      </c>
      <c r="R13" s="256">
        <v>0</v>
      </c>
      <c r="S13" s="257">
        <v>0</v>
      </c>
      <c r="T13" s="15"/>
      <c r="U13" s="15"/>
      <c r="V13" s="15"/>
      <c r="W13" s="15"/>
      <c r="X13" s="15"/>
      <c r="Y13" s="15"/>
      <c r="Z13" s="15"/>
    </row>
    <row r="14" spans="1:26" s="239" customFormat="1">
      <c r="A14" s="258" t="s">
        <v>40</v>
      </c>
      <c r="B14" s="253" t="s">
        <v>130</v>
      </c>
      <c r="C14" s="253">
        <v>473313</v>
      </c>
      <c r="D14" s="253"/>
      <c r="E14" s="253">
        <v>778618</v>
      </c>
      <c r="F14" s="253">
        <v>383965</v>
      </c>
      <c r="G14" s="253">
        <v>70587</v>
      </c>
      <c r="H14" s="253">
        <v>284271</v>
      </c>
      <c r="I14" s="253"/>
      <c r="J14" s="253"/>
      <c r="K14" s="266">
        <v>1990754</v>
      </c>
      <c r="L14" s="253"/>
      <c r="M14" s="253">
        <v>417183</v>
      </c>
      <c r="N14" s="253">
        <v>193056</v>
      </c>
      <c r="O14" s="253">
        <v>743120</v>
      </c>
      <c r="P14" s="266">
        <v>1353359</v>
      </c>
      <c r="Q14" s="253"/>
      <c r="R14" s="272"/>
      <c r="S14" s="254"/>
      <c r="T14" s="15"/>
      <c r="U14" s="15"/>
      <c r="V14" s="15"/>
      <c r="W14" s="15"/>
      <c r="X14" s="15"/>
      <c r="Y14" s="15"/>
      <c r="Z14" s="15"/>
    </row>
    <row r="15" spans="1:26" s="239" customFormat="1">
      <c r="A15" s="259"/>
      <c r="B15" s="256" t="s">
        <v>134</v>
      </c>
      <c r="C15" s="256">
        <v>525893</v>
      </c>
      <c r="D15" s="256"/>
      <c r="E15" s="256">
        <v>785555</v>
      </c>
      <c r="F15" s="256">
        <v>399791</v>
      </c>
      <c r="G15" s="256">
        <v>72002</v>
      </c>
      <c r="H15" s="256">
        <v>280667</v>
      </c>
      <c r="I15" s="256"/>
      <c r="J15" s="256"/>
      <c r="K15" s="267">
        <v>2063908</v>
      </c>
      <c r="L15" s="256"/>
      <c r="M15" s="256">
        <v>435744</v>
      </c>
      <c r="N15" s="256">
        <v>192915</v>
      </c>
      <c r="O15" s="256">
        <v>727792</v>
      </c>
      <c r="P15" s="267">
        <v>1356451</v>
      </c>
      <c r="Q15" s="256"/>
      <c r="R15" s="273"/>
      <c r="S15" s="257"/>
      <c r="T15" s="15"/>
      <c r="U15" s="15"/>
      <c r="V15" s="15"/>
      <c r="W15" s="15"/>
      <c r="X15" s="15"/>
      <c r="Y15" s="15"/>
      <c r="Z15" s="15"/>
    </row>
    <row r="16" spans="1:26" s="239" customFormat="1">
      <c r="A16" s="259"/>
      <c r="B16" s="253" t="s">
        <v>131</v>
      </c>
      <c r="C16" s="253">
        <v>15109</v>
      </c>
      <c r="D16" s="253">
        <v>0</v>
      </c>
      <c r="E16" s="253">
        <v>118459</v>
      </c>
      <c r="F16" s="253">
        <v>45687</v>
      </c>
      <c r="G16" s="253">
        <v>9894</v>
      </c>
      <c r="H16" s="253">
        <v>30094</v>
      </c>
      <c r="I16" s="253">
        <v>0</v>
      </c>
      <c r="J16" s="253">
        <v>0</v>
      </c>
      <c r="K16" s="266">
        <v>219243</v>
      </c>
      <c r="L16" s="253">
        <v>0</v>
      </c>
      <c r="M16" s="253">
        <v>112983</v>
      </c>
      <c r="N16" s="253">
        <v>31542</v>
      </c>
      <c r="O16" s="253">
        <v>131038</v>
      </c>
      <c r="P16" s="266">
        <v>275563</v>
      </c>
      <c r="Q16" s="253">
        <v>0</v>
      </c>
      <c r="R16" s="272">
        <v>0</v>
      </c>
      <c r="S16" s="254">
        <v>0</v>
      </c>
      <c r="T16" s="15"/>
      <c r="U16" s="15"/>
      <c r="V16" s="15"/>
      <c r="W16" s="15"/>
      <c r="X16" s="15"/>
      <c r="Y16" s="15"/>
      <c r="Z16" s="15"/>
    </row>
    <row r="17" spans="1:26" s="239" customFormat="1">
      <c r="A17" s="259"/>
      <c r="B17" s="256" t="s">
        <v>135</v>
      </c>
      <c r="C17" s="256">
        <v>15554</v>
      </c>
      <c r="D17" s="256">
        <v>0</v>
      </c>
      <c r="E17" s="256">
        <v>127844</v>
      </c>
      <c r="F17" s="256">
        <v>55034</v>
      </c>
      <c r="G17" s="256">
        <v>11817</v>
      </c>
      <c r="H17" s="256">
        <v>32443</v>
      </c>
      <c r="I17" s="256">
        <v>0</v>
      </c>
      <c r="J17" s="256">
        <v>0</v>
      </c>
      <c r="K17" s="267">
        <v>242692</v>
      </c>
      <c r="L17" s="256">
        <v>0</v>
      </c>
      <c r="M17" s="256">
        <v>121356</v>
      </c>
      <c r="N17" s="256">
        <v>34522</v>
      </c>
      <c r="O17" s="256">
        <v>138112</v>
      </c>
      <c r="P17" s="267">
        <v>293990</v>
      </c>
      <c r="Q17" s="256">
        <v>0</v>
      </c>
      <c r="R17" s="273">
        <v>0</v>
      </c>
      <c r="S17" s="257">
        <v>0</v>
      </c>
      <c r="T17" s="15"/>
      <c r="U17" s="15"/>
      <c r="V17" s="15"/>
      <c r="W17" s="15"/>
      <c r="X17" s="15"/>
      <c r="Y17" s="15"/>
      <c r="Z17" s="15"/>
    </row>
    <row r="18" spans="1:26" s="239" customFormat="1">
      <c r="A18" s="259"/>
      <c r="B18" s="253" t="s">
        <v>132</v>
      </c>
      <c r="C18" s="253">
        <v>75584</v>
      </c>
      <c r="D18" s="253"/>
      <c r="E18" s="253">
        <v>153797</v>
      </c>
      <c r="F18" s="253">
        <v>28370</v>
      </c>
      <c r="G18" s="253">
        <v>2591</v>
      </c>
      <c r="H18" s="253">
        <v>2132</v>
      </c>
      <c r="I18" s="253"/>
      <c r="J18" s="253"/>
      <c r="K18" s="266">
        <v>262474</v>
      </c>
      <c r="L18" s="253"/>
      <c r="M18" s="253">
        <v>0</v>
      </c>
      <c r="N18" s="253">
        <v>0</v>
      </c>
      <c r="O18" s="253">
        <v>0</v>
      </c>
      <c r="P18" s="266">
        <v>0</v>
      </c>
      <c r="Q18" s="253"/>
      <c r="R18" s="272"/>
      <c r="S18" s="254"/>
      <c r="T18" s="15"/>
      <c r="U18" s="15"/>
      <c r="V18" s="15"/>
      <c r="W18" s="15"/>
      <c r="X18" s="15"/>
      <c r="Y18" s="15"/>
      <c r="Z18" s="15"/>
    </row>
    <row r="19" spans="1:26" s="239" customFormat="1">
      <c r="A19" s="259"/>
      <c r="B19" s="256" t="s">
        <v>136</v>
      </c>
      <c r="C19" s="256">
        <v>77183</v>
      </c>
      <c r="D19" s="256"/>
      <c r="E19" s="256">
        <v>166189</v>
      </c>
      <c r="F19" s="256">
        <v>28836</v>
      </c>
      <c r="G19" s="256">
        <v>2079</v>
      </c>
      <c r="H19" s="256">
        <v>1885</v>
      </c>
      <c r="I19" s="256"/>
      <c r="J19" s="256"/>
      <c r="K19" s="267">
        <v>276172</v>
      </c>
      <c r="L19" s="256"/>
      <c r="M19" s="256">
        <v>0</v>
      </c>
      <c r="N19" s="256">
        <v>0</v>
      </c>
      <c r="O19" s="256">
        <v>0</v>
      </c>
      <c r="P19" s="267">
        <v>0</v>
      </c>
      <c r="Q19" s="256"/>
      <c r="R19" s="273"/>
      <c r="S19" s="257"/>
      <c r="T19" s="15"/>
      <c r="U19" s="15"/>
      <c r="V19" s="15"/>
      <c r="W19" s="15"/>
      <c r="X19" s="15"/>
      <c r="Y19" s="15"/>
      <c r="Z19" s="15"/>
    </row>
    <row r="20" spans="1:26" s="239" customFormat="1">
      <c r="A20" s="259"/>
      <c r="B20" s="253" t="s">
        <v>133</v>
      </c>
      <c r="C20" s="253">
        <v>15067</v>
      </c>
      <c r="D20" s="253">
        <v>0</v>
      </c>
      <c r="E20" s="253">
        <v>65000</v>
      </c>
      <c r="F20" s="253">
        <v>10410</v>
      </c>
      <c r="G20" s="253">
        <v>1286</v>
      </c>
      <c r="H20" s="253">
        <v>417</v>
      </c>
      <c r="I20" s="253">
        <v>0</v>
      </c>
      <c r="J20" s="253">
        <v>0</v>
      </c>
      <c r="K20" s="266">
        <v>92180</v>
      </c>
      <c r="L20" s="253">
        <v>0</v>
      </c>
      <c r="M20" s="253">
        <v>0</v>
      </c>
      <c r="N20" s="253">
        <v>0</v>
      </c>
      <c r="O20" s="253">
        <v>0</v>
      </c>
      <c r="P20" s="266">
        <v>0</v>
      </c>
      <c r="Q20" s="253">
        <v>0</v>
      </c>
      <c r="R20" s="272">
        <v>0</v>
      </c>
      <c r="S20" s="254">
        <v>0</v>
      </c>
      <c r="T20" s="15"/>
      <c r="U20" s="15"/>
      <c r="V20" s="15"/>
      <c r="W20" s="15"/>
      <c r="X20" s="15"/>
      <c r="Y20" s="15"/>
      <c r="Z20" s="15"/>
    </row>
    <row r="21" spans="1:26" s="239" customFormat="1">
      <c r="A21" s="260"/>
      <c r="B21" s="256" t="s">
        <v>137</v>
      </c>
      <c r="C21" s="256">
        <v>16628</v>
      </c>
      <c r="D21" s="256">
        <v>0</v>
      </c>
      <c r="E21" s="256">
        <v>78329</v>
      </c>
      <c r="F21" s="256">
        <v>11524</v>
      </c>
      <c r="G21" s="256">
        <v>1020</v>
      </c>
      <c r="H21" s="256">
        <v>255</v>
      </c>
      <c r="I21" s="256">
        <v>0</v>
      </c>
      <c r="J21" s="256">
        <v>0</v>
      </c>
      <c r="K21" s="267">
        <v>107756</v>
      </c>
      <c r="L21" s="256">
        <v>0</v>
      </c>
      <c r="M21" s="256">
        <v>0</v>
      </c>
      <c r="N21" s="256">
        <v>0</v>
      </c>
      <c r="O21" s="256">
        <v>0</v>
      </c>
      <c r="P21" s="267">
        <v>0</v>
      </c>
      <c r="Q21" s="256">
        <v>0</v>
      </c>
      <c r="R21" s="273">
        <v>0</v>
      </c>
      <c r="S21" s="257">
        <v>0</v>
      </c>
      <c r="T21" s="15"/>
      <c r="U21" s="15"/>
      <c r="V21" s="15"/>
      <c r="W21" s="15"/>
      <c r="X21" s="15"/>
      <c r="Y21" s="15"/>
      <c r="Z21" s="15"/>
    </row>
    <row r="22" spans="1:26" s="239" customFormat="1">
      <c r="A22" s="258" t="s">
        <v>41</v>
      </c>
      <c r="B22" s="253" t="s">
        <v>130</v>
      </c>
      <c r="C22" s="253">
        <v>519545</v>
      </c>
      <c r="D22" s="253"/>
      <c r="E22" s="253"/>
      <c r="F22" s="253">
        <v>105469</v>
      </c>
      <c r="G22" s="253"/>
      <c r="H22" s="253"/>
      <c r="I22" s="253"/>
      <c r="J22" s="253"/>
      <c r="K22" s="266">
        <v>625014</v>
      </c>
      <c r="L22" s="253"/>
      <c r="M22" s="253">
        <v>162690</v>
      </c>
      <c r="N22" s="253">
        <v>180809</v>
      </c>
      <c r="O22" s="253"/>
      <c r="P22" s="266">
        <v>343499</v>
      </c>
      <c r="Q22" s="253"/>
      <c r="R22" s="272"/>
      <c r="S22" s="254"/>
      <c r="T22" s="15"/>
      <c r="U22" s="15"/>
      <c r="V22" s="15"/>
      <c r="W22" s="15"/>
      <c r="X22" s="15"/>
      <c r="Y22" s="15"/>
      <c r="Z22" s="15"/>
    </row>
    <row r="23" spans="1:26" s="239" customFormat="1">
      <c r="A23" s="259"/>
      <c r="B23" s="256" t="s">
        <v>134</v>
      </c>
      <c r="C23" s="256">
        <v>525599</v>
      </c>
      <c r="D23" s="256"/>
      <c r="E23" s="256"/>
      <c r="F23" s="256">
        <v>105618</v>
      </c>
      <c r="G23" s="256"/>
      <c r="H23" s="256"/>
      <c r="I23" s="256"/>
      <c r="J23" s="256"/>
      <c r="K23" s="267">
        <v>631217</v>
      </c>
      <c r="L23" s="256"/>
      <c r="M23" s="256">
        <v>157752</v>
      </c>
      <c r="N23" s="256">
        <v>178768</v>
      </c>
      <c r="O23" s="256"/>
      <c r="P23" s="267">
        <v>336520</v>
      </c>
      <c r="Q23" s="256"/>
      <c r="R23" s="273"/>
      <c r="S23" s="257"/>
      <c r="T23" s="15"/>
      <c r="U23" s="15"/>
      <c r="V23" s="15"/>
      <c r="W23" s="15"/>
      <c r="X23" s="15"/>
      <c r="Y23" s="15"/>
      <c r="Z23" s="15"/>
    </row>
    <row r="24" spans="1:26" s="239" customFormat="1">
      <c r="A24" s="259"/>
      <c r="B24" s="253" t="s">
        <v>131</v>
      </c>
      <c r="C24" s="253">
        <v>18191</v>
      </c>
      <c r="D24" s="253">
        <v>0</v>
      </c>
      <c r="E24" s="253">
        <v>0</v>
      </c>
      <c r="F24" s="253">
        <v>96</v>
      </c>
      <c r="G24" s="253">
        <v>0</v>
      </c>
      <c r="H24" s="253">
        <v>0</v>
      </c>
      <c r="I24" s="253">
        <v>0</v>
      </c>
      <c r="J24" s="253">
        <v>0</v>
      </c>
      <c r="K24" s="266">
        <v>18287</v>
      </c>
      <c r="L24" s="253">
        <v>0</v>
      </c>
      <c r="M24" s="253">
        <v>16805</v>
      </c>
      <c r="N24" s="253">
        <v>30623</v>
      </c>
      <c r="O24" s="253">
        <v>0</v>
      </c>
      <c r="P24" s="266">
        <v>47428</v>
      </c>
      <c r="Q24" s="253">
        <v>0</v>
      </c>
      <c r="R24" s="272">
        <v>0</v>
      </c>
      <c r="S24" s="254">
        <v>0</v>
      </c>
      <c r="T24" s="15"/>
      <c r="U24" s="15"/>
      <c r="V24" s="15"/>
      <c r="W24" s="15"/>
      <c r="X24" s="15"/>
      <c r="Y24" s="15"/>
      <c r="Z24" s="15"/>
    </row>
    <row r="25" spans="1:26" s="239" customFormat="1">
      <c r="A25" s="259"/>
      <c r="B25" s="256" t="s">
        <v>135</v>
      </c>
      <c r="C25" s="256">
        <v>15918</v>
      </c>
      <c r="D25" s="256">
        <v>0</v>
      </c>
      <c r="E25" s="256">
        <v>0</v>
      </c>
      <c r="F25" s="256">
        <v>1731</v>
      </c>
      <c r="G25" s="256">
        <v>0</v>
      </c>
      <c r="H25" s="256">
        <v>0</v>
      </c>
      <c r="I25" s="256">
        <v>0</v>
      </c>
      <c r="J25" s="256">
        <v>0</v>
      </c>
      <c r="K25" s="267">
        <v>17649</v>
      </c>
      <c r="L25" s="256">
        <v>0</v>
      </c>
      <c r="M25" s="256">
        <v>20973</v>
      </c>
      <c r="N25" s="256">
        <v>34033</v>
      </c>
      <c r="O25" s="256">
        <v>0</v>
      </c>
      <c r="P25" s="267">
        <v>55006</v>
      </c>
      <c r="Q25" s="256">
        <v>0</v>
      </c>
      <c r="R25" s="273">
        <v>0</v>
      </c>
      <c r="S25" s="257">
        <v>0</v>
      </c>
      <c r="T25" s="15"/>
      <c r="U25" s="15"/>
      <c r="V25" s="15"/>
      <c r="W25" s="15"/>
      <c r="X25" s="15"/>
      <c r="Y25" s="15"/>
      <c r="Z25" s="15"/>
    </row>
    <row r="26" spans="1:26" s="239" customFormat="1">
      <c r="A26" s="259"/>
      <c r="B26" s="253" t="s">
        <v>132</v>
      </c>
      <c r="C26" s="253">
        <v>54654</v>
      </c>
      <c r="D26" s="253"/>
      <c r="E26" s="253"/>
      <c r="F26" s="253">
        <v>8878</v>
      </c>
      <c r="G26" s="253"/>
      <c r="H26" s="253"/>
      <c r="I26" s="253"/>
      <c r="J26" s="253"/>
      <c r="K26" s="266">
        <v>63532</v>
      </c>
      <c r="L26" s="253"/>
      <c r="M26" s="253">
        <v>0</v>
      </c>
      <c r="N26" s="253">
        <v>0</v>
      </c>
      <c r="O26" s="253"/>
      <c r="P26" s="266">
        <v>0</v>
      </c>
      <c r="Q26" s="253"/>
      <c r="R26" s="272"/>
      <c r="S26" s="254"/>
      <c r="T26" s="15"/>
      <c r="U26" s="15"/>
      <c r="V26" s="15"/>
      <c r="W26" s="15"/>
      <c r="X26" s="15"/>
      <c r="Y26" s="15"/>
      <c r="Z26" s="15"/>
    </row>
    <row r="27" spans="1:26" s="239" customFormat="1">
      <c r="A27" s="259"/>
      <c r="B27" s="256" t="s">
        <v>136</v>
      </c>
      <c r="C27" s="256">
        <v>51744</v>
      </c>
      <c r="D27" s="256"/>
      <c r="E27" s="256"/>
      <c r="F27" s="256">
        <v>11247</v>
      </c>
      <c r="G27" s="256"/>
      <c r="H27" s="256"/>
      <c r="I27" s="256"/>
      <c r="J27" s="256"/>
      <c r="K27" s="267">
        <v>62991</v>
      </c>
      <c r="L27" s="256"/>
      <c r="M27" s="256">
        <v>0</v>
      </c>
      <c r="N27" s="256">
        <v>0</v>
      </c>
      <c r="O27" s="256"/>
      <c r="P27" s="267">
        <v>0</v>
      </c>
      <c r="Q27" s="256"/>
      <c r="R27" s="273"/>
      <c r="S27" s="257"/>
      <c r="T27" s="15"/>
      <c r="U27" s="15"/>
      <c r="V27" s="15"/>
      <c r="W27" s="15"/>
      <c r="X27" s="15"/>
      <c r="Y27" s="15"/>
      <c r="Z27" s="15"/>
    </row>
    <row r="28" spans="1:26" s="239" customFormat="1">
      <c r="A28" s="259"/>
      <c r="B28" s="253" t="s">
        <v>133</v>
      </c>
      <c r="C28" s="253">
        <v>3432</v>
      </c>
      <c r="D28" s="253">
        <v>0</v>
      </c>
      <c r="E28" s="253">
        <v>0</v>
      </c>
      <c r="F28" s="253">
        <v>27</v>
      </c>
      <c r="G28" s="253">
        <v>0</v>
      </c>
      <c r="H28" s="253">
        <v>0</v>
      </c>
      <c r="I28" s="253">
        <v>0</v>
      </c>
      <c r="J28" s="253">
        <v>0</v>
      </c>
      <c r="K28" s="266">
        <v>3459</v>
      </c>
      <c r="L28" s="253">
        <v>0</v>
      </c>
      <c r="M28" s="253">
        <v>0</v>
      </c>
      <c r="N28" s="253">
        <v>0</v>
      </c>
      <c r="O28" s="253">
        <v>0</v>
      </c>
      <c r="P28" s="266">
        <v>0</v>
      </c>
      <c r="Q28" s="253">
        <v>0</v>
      </c>
      <c r="R28" s="272">
        <v>0</v>
      </c>
      <c r="S28" s="254">
        <v>0</v>
      </c>
      <c r="T28" s="15"/>
      <c r="U28" s="15"/>
      <c r="V28" s="15"/>
      <c r="W28" s="15"/>
      <c r="X28" s="15"/>
      <c r="Y28" s="15"/>
      <c r="Z28" s="15"/>
    </row>
    <row r="29" spans="1:26" s="239" customFormat="1">
      <c r="A29" s="260"/>
      <c r="B29" s="256" t="s">
        <v>137</v>
      </c>
      <c r="C29" s="256">
        <v>2922</v>
      </c>
      <c r="D29" s="256">
        <v>0</v>
      </c>
      <c r="E29" s="256">
        <v>0</v>
      </c>
      <c r="F29" s="256">
        <v>3480</v>
      </c>
      <c r="G29" s="256">
        <v>0</v>
      </c>
      <c r="H29" s="256">
        <v>0</v>
      </c>
      <c r="I29" s="256">
        <v>0</v>
      </c>
      <c r="J29" s="256">
        <v>0</v>
      </c>
      <c r="K29" s="267">
        <v>6402</v>
      </c>
      <c r="L29" s="256">
        <v>0</v>
      </c>
      <c r="M29" s="256">
        <v>0</v>
      </c>
      <c r="N29" s="256">
        <v>0</v>
      </c>
      <c r="O29" s="256">
        <v>0</v>
      </c>
      <c r="P29" s="267">
        <v>0</v>
      </c>
      <c r="Q29" s="256">
        <v>0</v>
      </c>
      <c r="R29" s="273">
        <v>0</v>
      </c>
      <c r="S29" s="257">
        <v>0</v>
      </c>
      <c r="T29" s="15"/>
      <c r="U29" s="15"/>
      <c r="V29" s="15"/>
      <c r="W29" s="15"/>
      <c r="X29" s="15"/>
      <c r="Y29" s="15"/>
      <c r="Z29" s="15"/>
    </row>
    <row r="30" spans="1:26" s="239" customFormat="1">
      <c r="A30" s="258" t="s">
        <v>42</v>
      </c>
      <c r="B30" s="253" t="s">
        <v>130</v>
      </c>
      <c r="C30" s="253">
        <v>5146567</v>
      </c>
      <c r="D30" s="253">
        <v>570235</v>
      </c>
      <c r="E30" s="253">
        <v>953563</v>
      </c>
      <c r="F30" s="253">
        <v>268823</v>
      </c>
      <c r="G30" s="253"/>
      <c r="H30" s="253">
        <v>27680</v>
      </c>
      <c r="I30" s="253"/>
      <c r="J30" s="253"/>
      <c r="K30" s="266">
        <v>6966868</v>
      </c>
      <c r="L30" s="253">
        <v>4203398</v>
      </c>
      <c r="M30" s="253">
        <v>5522972</v>
      </c>
      <c r="N30" s="253">
        <v>484330</v>
      </c>
      <c r="O30" s="253">
        <v>55835</v>
      </c>
      <c r="P30" s="266">
        <v>10266535</v>
      </c>
      <c r="Q30" s="253"/>
      <c r="R30" s="272"/>
      <c r="S30" s="254"/>
      <c r="T30" s="15"/>
      <c r="U30" s="15"/>
      <c r="V30" s="15"/>
      <c r="W30" s="15"/>
      <c r="X30" s="15"/>
      <c r="Y30" s="15"/>
      <c r="Z30" s="15"/>
    </row>
    <row r="31" spans="1:26" s="239" customFormat="1">
      <c r="A31" s="259"/>
      <c r="B31" s="256" t="s">
        <v>134</v>
      </c>
      <c r="C31" s="256">
        <v>5303102</v>
      </c>
      <c r="D31" s="256">
        <v>599677</v>
      </c>
      <c r="E31" s="256">
        <v>962337.5</v>
      </c>
      <c r="F31" s="256">
        <v>288563</v>
      </c>
      <c r="G31" s="256"/>
      <c r="H31" s="256">
        <v>28208</v>
      </c>
      <c r="I31" s="256"/>
      <c r="J31" s="256"/>
      <c r="K31" s="267">
        <v>7181887.5</v>
      </c>
      <c r="L31" s="256">
        <v>4309508</v>
      </c>
      <c r="M31" s="256">
        <v>5702741</v>
      </c>
      <c r="N31" s="256">
        <v>485740</v>
      </c>
      <c r="O31" s="256">
        <v>53854</v>
      </c>
      <c r="P31" s="267">
        <v>10551843</v>
      </c>
      <c r="Q31" s="256"/>
      <c r="R31" s="273"/>
      <c r="S31" s="257"/>
      <c r="T31" s="15"/>
      <c r="U31" s="15"/>
      <c r="V31" s="15"/>
      <c r="W31" s="15"/>
      <c r="X31" s="15"/>
      <c r="Y31" s="15"/>
      <c r="Z31" s="15"/>
    </row>
    <row r="32" spans="1:26" s="239" customFormat="1">
      <c r="A32" s="259"/>
      <c r="B32" s="253" t="s">
        <v>131</v>
      </c>
      <c r="C32" s="253">
        <v>999740</v>
      </c>
      <c r="D32" s="253">
        <v>37041</v>
      </c>
      <c r="E32" s="253">
        <v>130797</v>
      </c>
      <c r="F32" s="253">
        <v>51796</v>
      </c>
      <c r="G32" s="253">
        <v>0</v>
      </c>
      <c r="H32" s="253">
        <v>0</v>
      </c>
      <c r="I32" s="253">
        <v>0</v>
      </c>
      <c r="J32" s="253">
        <v>0</v>
      </c>
      <c r="K32" s="266">
        <v>1219374</v>
      </c>
      <c r="L32" s="253">
        <v>960466</v>
      </c>
      <c r="M32" s="253">
        <v>1176144</v>
      </c>
      <c r="N32" s="253">
        <v>136382</v>
      </c>
      <c r="O32" s="253">
        <v>15826</v>
      </c>
      <c r="P32" s="266">
        <v>2288818</v>
      </c>
      <c r="Q32" s="253">
        <v>0</v>
      </c>
      <c r="R32" s="272">
        <v>0</v>
      </c>
      <c r="S32" s="254">
        <v>0</v>
      </c>
      <c r="T32" s="15"/>
      <c r="U32" s="15"/>
      <c r="V32" s="15"/>
      <c r="W32" s="15"/>
      <c r="X32" s="15"/>
      <c r="Y32" s="15"/>
      <c r="Z32" s="15"/>
    </row>
    <row r="33" spans="1:26" s="239" customFormat="1">
      <c r="A33" s="259"/>
      <c r="B33" s="256" t="s">
        <v>135</v>
      </c>
      <c r="C33" s="256">
        <v>1073681</v>
      </c>
      <c r="D33" s="256">
        <v>44769</v>
      </c>
      <c r="E33" s="256">
        <v>142670</v>
      </c>
      <c r="F33" s="256">
        <v>50153</v>
      </c>
      <c r="G33" s="256">
        <v>0</v>
      </c>
      <c r="H33" s="256">
        <v>0</v>
      </c>
      <c r="I33" s="256">
        <v>0</v>
      </c>
      <c r="J33" s="256">
        <v>0</v>
      </c>
      <c r="K33" s="267">
        <v>1311273</v>
      </c>
      <c r="L33" s="256">
        <v>1358258</v>
      </c>
      <c r="M33" s="256">
        <v>1508168</v>
      </c>
      <c r="N33" s="256">
        <v>153018</v>
      </c>
      <c r="O33" s="256">
        <v>31007</v>
      </c>
      <c r="P33" s="267">
        <v>3050451</v>
      </c>
      <c r="Q33" s="256">
        <v>0</v>
      </c>
      <c r="R33" s="273">
        <v>0</v>
      </c>
      <c r="S33" s="257">
        <v>0</v>
      </c>
      <c r="T33" s="15"/>
      <c r="U33" s="15"/>
      <c r="V33" s="15"/>
      <c r="W33" s="15"/>
      <c r="X33" s="15"/>
      <c r="Y33" s="15"/>
      <c r="Z33" s="15"/>
    </row>
    <row r="34" spans="1:26" s="239" customFormat="1">
      <c r="A34" s="259"/>
      <c r="B34" s="253" t="s">
        <v>132</v>
      </c>
      <c r="C34" s="253">
        <v>1045371</v>
      </c>
      <c r="D34" s="253">
        <v>80819</v>
      </c>
      <c r="E34" s="253">
        <v>114242</v>
      </c>
      <c r="F34" s="253">
        <v>24078</v>
      </c>
      <c r="G34" s="253"/>
      <c r="H34" s="253">
        <v>0</v>
      </c>
      <c r="I34" s="253"/>
      <c r="J34" s="253"/>
      <c r="K34" s="266">
        <v>1264510</v>
      </c>
      <c r="L34" s="253">
        <v>0</v>
      </c>
      <c r="M34" s="253">
        <v>0</v>
      </c>
      <c r="N34" s="253">
        <v>0</v>
      </c>
      <c r="O34" s="253">
        <v>0</v>
      </c>
      <c r="P34" s="266">
        <v>0</v>
      </c>
      <c r="Q34" s="253"/>
      <c r="R34" s="272"/>
      <c r="S34" s="254"/>
      <c r="T34" s="15"/>
      <c r="U34" s="15"/>
      <c r="V34" s="15"/>
      <c r="W34" s="15"/>
      <c r="X34" s="15"/>
      <c r="Y34" s="15"/>
      <c r="Z34" s="15"/>
    </row>
    <row r="35" spans="1:26" s="239" customFormat="1">
      <c r="A35" s="259"/>
      <c r="B35" s="256" t="s">
        <v>136</v>
      </c>
      <c r="C35" s="256">
        <v>1019154</v>
      </c>
      <c r="D35" s="256">
        <v>78558</v>
      </c>
      <c r="E35" s="256">
        <v>114575.5</v>
      </c>
      <c r="F35" s="256">
        <v>23963</v>
      </c>
      <c r="G35" s="256"/>
      <c r="H35" s="256">
        <v>0</v>
      </c>
      <c r="I35" s="256"/>
      <c r="J35" s="256"/>
      <c r="K35" s="267">
        <v>1236250.5</v>
      </c>
      <c r="L35" s="256">
        <v>0</v>
      </c>
      <c r="M35" s="256">
        <v>0</v>
      </c>
      <c r="N35" s="256">
        <v>0</v>
      </c>
      <c r="O35" s="256">
        <v>0</v>
      </c>
      <c r="P35" s="267">
        <v>0</v>
      </c>
      <c r="Q35" s="256"/>
      <c r="R35" s="273"/>
      <c r="S35" s="257"/>
      <c r="T35" s="15"/>
      <c r="U35" s="15"/>
      <c r="V35" s="15"/>
      <c r="W35" s="15"/>
      <c r="X35" s="15"/>
      <c r="Y35" s="15"/>
      <c r="Z35" s="15"/>
    </row>
    <row r="36" spans="1:26" s="239" customFormat="1">
      <c r="A36" s="259"/>
      <c r="B36" s="253" t="s">
        <v>133</v>
      </c>
      <c r="C36" s="253">
        <v>233454</v>
      </c>
      <c r="D36" s="253">
        <v>19659</v>
      </c>
      <c r="E36" s="253">
        <v>26241</v>
      </c>
      <c r="F36" s="253">
        <v>10149</v>
      </c>
      <c r="G36" s="253">
        <v>0</v>
      </c>
      <c r="H36" s="253">
        <v>0</v>
      </c>
      <c r="I36" s="253">
        <v>0</v>
      </c>
      <c r="J36" s="253">
        <v>0</v>
      </c>
      <c r="K36" s="266">
        <v>289503</v>
      </c>
      <c r="L36" s="253">
        <v>0</v>
      </c>
      <c r="M36" s="253">
        <v>0</v>
      </c>
      <c r="N36" s="253">
        <v>0</v>
      </c>
      <c r="O36" s="253">
        <v>0</v>
      </c>
      <c r="P36" s="266">
        <v>0</v>
      </c>
      <c r="Q36" s="253">
        <v>0</v>
      </c>
      <c r="R36" s="272">
        <v>0</v>
      </c>
      <c r="S36" s="254">
        <v>0</v>
      </c>
      <c r="T36" s="15"/>
      <c r="U36" s="15"/>
      <c r="V36" s="15"/>
      <c r="W36" s="15"/>
      <c r="X36" s="15"/>
      <c r="Y36" s="15"/>
      <c r="Z36" s="15"/>
    </row>
    <row r="37" spans="1:26" s="239" customFormat="1">
      <c r="A37" s="260"/>
      <c r="B37" s="256" t="s">
        <v>137</v>
      </c>
      <c r="C37" s="256">
        <v>208728</v>
      </c>
      <c r="D37" s="256">
        <v>18884</v>
      </c>
      <c r="E37" s="256">
        <v>26536</v>
      </c>
      <c r="F37" s="256">
        <v>9381</v>
      </c>
      <c r="G37" s="256">
        <v>0</v>
      </c>
      <c r="H37" s="256">
        <v>0</v>
      </c>
      <c r="I37" s="256">
        <v>0</v>
      </c>
      <c r="J37" s="256">
        <v>0</v>
      </c>
      <c r="K37" s="267">
        <v>263529</v>
      </c>
      <c r="L37" s="256">
        <v>0</v>
      </c>
      <c r="M37" s="256">
        <v>0</v>
      </c>
      <c r="N37" s="256">
        <v>0</v>
      </c>
      <c r="O37" s="256">
        <v>0</v>
      </c>
      <c r="P37" s="267">
        <v>0</v>
      </c>
      <c r="Q37" s="256">
        <v>0</v>
      </c>
      <c r="R37" s="273">
        <v>0</v>
      </c>
      <c r="S37" s="257">
        <v>0</v>
      </c>
      <c r="T37" s="15"/>
      <c r="U37" s="15"/>
      <c r="V37" s="15"/>
      <c r="W37" s="15"/>
      <c r="X37" s="15"/>
      <c r="Y37" s="15"/>
      <c r="Z37" s="15"/>
    </row>
    <row r="38" spans="1:26" s="239" customFormat="1">
      <c r="A38" s="258" t="s">
        <v>43</v>
      </c>
      <c r="B38" s="253" t="s">
        <v>130</v>
      </c>
      <c r="C38" s="253"/>
      <c r="D38" s="253"/>
      <c r="E38" s="253"/>
      <c r="F38" s="253"/>
      <c r="G38" s="253"/>
      <c r="H38" s="253"/>
      <c r="I38" s="253"/>
      <c r="J38" s="253"/>
      <c r="K38" s="266"/>
      <c r="L38" s="253"/>
      <c r="M38" s="253"/>
      <c r="N38" s="253"/>
      <c r="O38" s="253"/>
      <c r="P38" s="266"/>
      <c r="Q38" s="253">
        <v>3091550.3697899994</v>
      </c>
      <c r="R38" s="272"/>
      <c r="S38" s="254">
        <v>3091550.3697899994</v>
      </c>
      <c r="T38" s="15"/>
      <c r="U38" s="15"/>
      <c r="V38" s="15"/>
      <c r="W38" s="15"/>
      <c r="X38" s="15"/>
      <c r="Y38" s="15"/>
      <c r="Z38" s="15"/>
    </row>
    <row r="39" spans="1:26" s="239" customFormat="1">
      <c r="A39" s="259"/>
      <c r="B39" s="256" t="s">
        <v>134</v>
      </c>
      <c r="C39" s="256"/>
      <c r="D39" s="256"/>
      <c r="E39" s="256"/>
      <c r="F39" s="256"/>
      <c r="G39" s="256"/>
      <c r="H39" s="256"/>
      <c r="I39" s="256"/>
      <c r="J39" s="256"/>
      <c r="K39" s="267"/>
      <c r="L39" s="256"/>
      <c r="M39" s="256"/>
      <c r="N39" s="256"/>
      <c r="O39" s="256"/>
      <c r="P39" s="267"/>
      <c r="Q39" s="256">
        <v>2900244.5000000005</v>
      </c>
      <c r="R39" s="273"/>
      <c r="S39" s="257">
        <v>2900244.5000000005</v>
      </c>
      <c r="T39" s="15"/>
      <c r="U39" s="15"/>
      <c r="V39" s="15"/>
      <c r="W39" s="15"/>
      <c r="X39" s="15"/>
      <c r="Y39" s="15"/>
      <c r="Z39" s="15"/>
    </row>
    <row r="40" spans="1:26" s="239" customFormat="1">
      <c r="A40" s="259"/>
      <c r="B40" s="253" t="s">
        <v>131</v>
      </c>
      <c r="C40" s="253">
        <v>0</v>
      </c>
      <c r="D40" s="253">
        <v>0</v>
      </c>
      <c r="E40" s="253">
        <v>0</v>
      </c>
      <c r="F40" s="253">
        <v>0</v>
      </c>
      <c r="G40" s="253">
        <v>0</v>
      </c>
      <c r="H40" s="253">
        <v>0</v>
      </c>
      <c r="I40" s="253">
        <v>0</v>
      </c>
      <c r="J40" s="253">
        <v>0</v>
      </c>
      <c r="K40" s="266">
        <v>0</v>
      </c>
      <c r="L40" s="253">
        <v>0</v>
      </c>
      <c r="M40" s="253">
        <v>0</v>
      </c>
      <c r="N40" s="253">
        <v>0</v>
      </c>
      <c r="O40" s="253">
        <v>0</v>
      </c>
      <c r="P40" s="266">
        <v>0</v>
      </c>
      <c r="Q40" s="253">
        <v>617566.21010000014</v>
      </c>
      <c r="R40" s="272">
        <v>0</v>
      </c>
      <c r="S40" s="254">
        <v>617566.21010000014</v>
      </c>
      <c r="T40" s="15"/>
      <c r="U40" s="15"/>
      <c r="V40" s="15"/>
      <c r="W40" s="15"/>
      <c r="X40" s="15"/>
      <c r="Y40" s="15"/>
      <c r="Z40" s="15"/>
    </row>
    <row r="41" spans="1:26" s="239" customFormat="1">
      <c r="A41" s="259"/>
      <c r="B41" s="256" t="s">
        <v>135</v>
      </c>
      <c r="C41" s="256">
        <v>0</v>
      </c>
      <c r="D41" s="256">
        <v>0</v>
      </c>
      <c r="E41" s="256">
        <v>0</v>
      </c>
      <c r="F41" s="256">
        <v>0</v>
      </c>
      <c r="G41" s="256">
        <v>0</v>
      </c>
      <c r="H41" s="256">
        <v>0</v>
      </c>
      <c r="I41" s="256">
        <v>0</v>
      </c>
      <c r="J41" s="256">
        <v>0</v>
      </c>
      <c r="K41" s="267">
        <v>0</v>
      </c>
      <c r="L41" s="256">
        <v>0</v>
      </c>
      <c r="M41" s="256">
        <v>0</v>
      </c>
      <c r="N41" s="256">
        <v>0</v>
      </c>
      <c r="O41" s="256">
        <v>0</v>
      </c>
      <c r="P41" s="267">
        <v>0</v>
      </c>
      <c r="Q41" s="256">
        <v>651259.60000000009</v>
      </c>
      <c r="R41" s="273">
        <v>0</v>
      </c>
      <c r="S41" s="257">
        <v>651259.60000000009</v>
      </c>
      <c r="T41" s="15"/>
      <c r="U41" s="15"/>
      <c r="V41" s="15"/>
      <c r="W41" s="15"/>
      <c r="X41" s="15"/>
      <c r="Y41" s="15"/>
      <c r="Z41" s="15"/>
    </row>
    <row r="42" spans="1:26" s="239" customFormat="1">
      <c r="A42" s="259"/>
      <c r="B42" s="253" t="s">
        <v>132</v>
      </c>
      <c r="C42" s="253"/>
      <c r="D42" s="253"/>
      <c r="E42" s="253"/>
      <c r="F42" s="253"/>
      <c r="G42" s="253"/>
      <c r="H42" s="253"/>
      <c r="I42" s="253"/>
      <c r="J42" s="253"/>
      <c r="K42" s="266"/>
      <c r="L42" s="253"/>
      <c r="M42" s="253"/>
      <c r="N42" s="253"/>
      <c r="O42" s="253"/>
      <c r="P42" s="266"/>
      <c r="Q42" s="253">
        <v>0</v>
      </c>
      <c r="R42" s="272"/>
      <c r="S42" s="254">
        <v>0</v>
      </c>
      <c r="T42" s="15"/>
      <c r="U42" s="15"/>
      <c r="V42" s="15"/>
      <c r="W42" s="15"/>
      <c r="X42" s="15"/>
      <c r="Y42" s="15"/>
      <c r="Z42" s="15"/>
    </row>
    <row r="43" spans="1:26" s="239" customFormat="1">
      <c r="A43" s="259"/>
      <c r="B43" s="256" t="s">
        <v>136</v>
      </c>
      <c r="C43" s="256"/>
      <c r="D43" s="256"/>
      <c r="E43" s="256"/>
      <c r="F43" s="256"/>
      <c r="G43" s="256"/>
      <c r="H43" s="256"/>
      <c r="I43" s="256"/>
      <c r="J43" s="256"/>
      <c r="K43" s="267"/>
      <c r="L43" s="256"/>
      <c r="M43" s="256"/>
      <c r="N43" s="256"/>
      <c r="O43" s="256"/>
      <c r="P43" s="267"/>
      <c r="Q43" s="256">
        <v>0</v>
      </c>
      <c r="R43" s="273"/>
      <c r="S43" s="257">
        <v>0</v>
      </c>
      <c r="T43" s="15"/>
      <c r="U43" s="15"/>
      <c r="V43" s="15"/>
      <c r="W43" s="15"/>
      <c r="X43" s="15"/>
      <c r="Y43" s="15"/>
      <c r="Z43" s="15"/>
    </row>
    <row r="44" spans="1:26" s="239" customFormat="1">
      <c r="A44" s="259"/>
      <c r="B44" s="253" t="s">
        <v>133</v>
      </c>
      <c r="C44" s="253">
        <v>0</v>
      </c>
      <c r="D44" s="253">
        <v>0</v>
      </c>
      <c r="E44" s="253">
        <v>0</v>
      </c>
      <c r="F44" s="253">
        <v>0</v>
      </c>
      <c r="G44" s="253">
        <v>0</v>
      </c>
      <c r="H44" s="253">
        <v>0</v>
      </c>
      <c r="I44" s="253">
        <v>0</v>
      </c>
      <c r="J44" s="253">
        <v>0</v>
      </c>
      <c r="K44" s="266">
        <v>0</v>
      </c>
      <c r="L44" s="253">
        <v>0</v>
      </c>
      <c r="M44" s="253">
        <v>0</v>
      </c>
      <c r="N44" s="253">
        <v>0</v>
      </c>
      <c r="O44" s="253">
        <v>0</v>
      </c>
      <c r="P44" s="266">
        <v>0</v>
      </c>
      <c r="Q44" s="253">
        <v>0</v>
      </c>
      <c r="R44" s="272">
        <v>0</v>
      </c>
      <c r="S44" s="254">
        <v>0</v>
      </c>
      <c r="T44" s="15"/>
      <c r="U44" s="15"/>
      <c r="V44" s="15"/>
      <c r="W44" s="15"/>
      <c r="X44" s="15"/>
      <c r="Y44" s="15"/>
      <c r="Z44" s="15"/>
    </row>
    <row r="45" spans="1:26" s="239" customFormat="1">
      <c r="A45" s="260"/>
      <c r="B45" s="256" t="s">
        <v>137</v>
      </c>
      <c r="C45" s="256">
        <v>0</v>
      </c>
      <c r="D45" s="256">
        <v>0</v>
      </c>
      <c r="E45" s="256">
        <v>0</v>
      </c>
      <c r="F45" s="256">
        <v>0</v>
      </c>
      <c r="G45" s="256">
        <v>0</v>
      </c>
      <c r="H45" s="256">
        <v>0</v>
      </c>
      <c r="I45" s="256">
        <v>0</v>
      </c>
      <c r="J45" s="256">
        <v>0</v>
      </c>
      <c r="K45" s="267">
        <v>0</v>
      </c>
      <c r="L45" s="256">
        <v>0</v>
      </c>
      <c r="M45" s="256">
        <v>0</v>
      </c>
      <c r="N45" s="256">
        <v>0</v>
      </c>
      <c r="O45" s="256">
        <v>0</v>
      </c>
      <c r="P45" s="267">
        <v>0</v>
      </c>
      <c r="Q45" s="256">
        <v>0</v>
      </c>
      <c r="R45" s="273">
        <v>0</v>
      </c>
      <c r="S45" s="257">
        <v>0</v>
      </c>
      <c r="T45" s="15"/>
      <c r="U45" s="15"/>
      <c r="V45" s="15"/>
      <c r="W45" s="15"/>
      <c r="X45" s="15"/>
      <c r="Y45" s="15"/>
      <c r="Z45" s="15"/>
    </row>
    <row r="46" spans="1:26" s="239" customFormat="1">
      <c r="A46" s="258" t="s">
        <v>44</v>
      </c>
      <c r="B46" s="253" t="s">
        <v>130</v>
      </c>
      <c r="C46" s="253">
        <v>933808</v>
      </c>
      <c r="D46" s="253"/>
      <c r="E46" s="253">
        <v>1247754</v>
      </c>
      <c r="F46" s="253">
        <v>398429</v>
      </c>
      <c r="G46" s="253"/>
      <c r="H46" s="253"/>
      <c r="I46" s="253"/>
      <c r="J46" s="253"/>
      <c r="K46" s="266">
        <v>2579991</v>
      </c>
      <c r="L46" s="253"/>
      <c r="M46" s="253">
        <v>553195</v>
      </c>
      <c r="N46" s="253">
        <v>1013200</v>
      </c>
      <c r="O46" s="253">
        <v>114870</v>
      </c>
      <c r="P46" s="266">
        <v>1681265</v>
      </c>
      <c r="Q46" s="253">
        <v>137533</v>
      </c>
      <c r="R46" s="272"/>
      <c r="S46" s="254">
        <v>137533</v>
      </c>
      <c r="T46" s="15"/>
      <c r="U46" s="15"/>
      <c r="V46" s="15"/>
      <c r="W46" s="15"/>
      <c r="X46" s="15"/>
      <c r="Y46" s="15"/>
      <c r="Z46" s="15"/>
    </row>
    <row r="47" spans="1:26" s="239" customFormat="1">
      <c r="A47" s="259"/>
      <c r="B47" s="256" t="s">
        <v>134</v>
      </c>
      <c r="C47" s="256">
        <v>952973.5</v>
      </c>
      <c r="D47" s="256"/>
      <c r="E47" s="256">
        <v>1237192</v>
      </c>
      <c r="F47" s="256">
        <v>398500</v>
      </c>
      <c r="G47" s="256"/>
      <c r="H47" s="256"/>
      <c r="I47" s="256"/>
      <c r="J47" s="256"/>
      <c r="K47" s="267">
        <v>2588665.5</v>
      </c>
      <c r="L47" s="256"/>
      <c r="M47" s="256">
        <v>552702</v>
      </c>
      <c r="N47" s="256">
        <v>1018276</v>
      </c>
      <c r="O47" s="256">
        <v>111599</v>
      </c>
      <c r="P47" s="267">
        <v>1682577</v>
      </c>
      <c r="Q47" s="256">
        <v>144514</v>
      </c>
      <c r="R47" s="273"/>
      <c r="S47" s="257">
        <v>144514</v>
      </c>
      <c r="T47" s="15"/>
      <c r="U47" s="15"/>
      <c r="V47" s="15"/>
      <c r="W47" s="15"/>
      <c r="X47" s="15"/>
      <c r="Y47" s="15"/>
      <c r="Z47" s="15"/>
    </row>
    <row r="48" spans="1:26" s="239" customFormat="1">
      <c r="A48" s="259"/>
      <c r="B48" s="253" t="s">
        <v>131</v>
      </c>
      <c r="C48" s="253">
        <v>40145</v>
      </c>
      <c r="D48" s="253">
        <v>0</v>
      </c>
      <c r="E48" s="253">
        <v>180189</v>
      </c>
      <c r="F48" s="253">
        <v>40337</v>
      </c>
      <c r="G48" s="253">
        <v>0</v>
      </c>
      <c r="H48" s="253">
        <v>0</v>
      </c>
      <c r="I48" s="253">
        <v>0</v>
      </c>
      <c r="J48" s="253">
        <v>0</v>
      </c>
      <c r="K48" s="266">
        <v>260671</v>
      </c>
      <c r="L48" s="253">
        <v>0</v>
      </c>
      <c r="M48" s="253">
        <v>118920</v>
      </c>
      <c r="N48" s="253">
        <v>290137</v>
      </c>
      <c r="O48" s="253">
        <v>36121</v>
      </c>
      <c r="P48" s="266">
        <v>445178</v>
      </c>
      <c r="Q48" s="253">
        <v>10371</v>
      </c>
      <c r="R48" s="272">
        <v>0</v>
      </c>
      <c r="S48" s="254">
        <v>10371</v>
      </c>
      <c r="T48" s="15"/>
      <c r="U48" s="15"/>
      <c r="V48" s="15"/>
      <c r="W48" s="15"/>
      <c r="X48" s="15"/>
      <c r="Y48" s="15"/>
      <c r="Z48" s="15"/>
    </row>
    <row r="49" spans="1:26" s="239" customFormat="1">
      <c r="A49" s="259"/>
      <c r="B49" s="256" t="s">
        <v>135</v>
      </c>
      <c r="C49" s="256">
        <v>49583</v>
      </c>
      <c r="D49" s="256">
        <v>0</v>
      </c>
      <c r="E49" s="256">
        <v>185952.5</v>
      </c>
      <c r="F49" s="256">
        <v>51128</v>
      </c>
      <c r="G49" s="256">
        <v>0</v>
      </c>
      <c r="H49" s="256">
        <v>0</v>
      </c>
      <c r="I49" s="256">
        <v>0</v>
      </c>
      <c r="J49" s="256">
        <v>0</v>
      </c>
      <c r="K49" s="267">
        <v>286663.5</v>
      </c>
      <c r="L49" s="256">
        <v>0</v>
      </c>
      <c r="M49" s="256">
        <v>132797</v>
      </c>
      <c r="N49" s="256">
        <v>321016</v>
      </c>
      <c r="O49" s="256">
        <v>41111</v>
      </c>
      <c r="P49" s="267">
        <v>494924</v>
      </c>
      <c r="Q49" s="256">
        <v>14730</v>
      </c>
      <c r="R49" s="273">
        <v>0</v>
      </c>
      <c r="S49" s="257">
        <v>14730</v>
      </c>
      <c r="T49" s="15"/>
      <c r="U49" s="15"/>
      <c r="V49" s="15"/>
      <c r="W49" s="15"/>
      <c r="X49" s="15"/>
      <c r="Y49" s="15"/>
      <c r="Z49" s="15"/>
    </row>
    <row r="50" spans="1:26" s="239" customFormat="1">
      <c r="A50" s="259"/>
      <c r="B50" s="253" t="s">
        <v>132</v>
      </c>
      <c r="C50" s="253">
        <v>158576</v>
      </c>
      <c r="D50" s="253"/>
      <c r="E50" s="253">
        <v>127279</v>
      </c>
      <c r="F50" s="253">
        <v>41099</v>
      </c>
      <c r="G50" s="253"/>
      <c r="H50" s="253"/>
      <c r="I50" s="253"/>
      <c r="J50" s="253"/>
      <c r="K50" s="266">
        <v>326954</v>
      </c>
      <c r="L50" s="253"/>
      <c r="M50" s="253">
        <v>0</v>
      </c>
      <c r="N50" s="253">
        <v>0</v>
      </c>
      <c r="O50" s="253">
        <v>0</v>
      </c>
      <c r="P50" s="266">
        <v>0</v>
      </c>
      <c r="Q50" s="253">
        <v>0</v>
      </c>
      <c r="R50" s="272"/>
      <c r="S50" s="254">
        <v>0</v>
      </c>
      <c r="T50" s="15"/>
      <c r="U50" s="15"/>
      <c r="V50" s="15"/>
      <c r="W50" s="15"/>
      <c r="X50" s="15"/>
      <c r="Y50" s="15"/>
      <c r="Z50" s="15"/>
    </row>
    <row r="51" spans="1:26" s="239" customFormat="1">
      <c r="A51" s="259"/>
      <c r="B51" s="256" t="s">
        <v>136</v>
      </c>
      <c r="C51" s="256">
        <v>163831</v>
      </c>
      <c r="D51" s="256"/>
      <c r="E51" s="256">
        <v>141565.5</v>
      </c>
      <c r="F51" s="256">
        <v>45328</v>
      </c>
      <c r="G51" s="256"/>
      <c r="H51" s="256"/>
      <c r="I51" s="256"/>
      <c r="J51" s="256"/>
      <c r="K51" s="267">
        <v>350724.5</v>
      </c>
      <c r="L51" s="256"/>
      <c r="M51" s="256">
        <v>0</v>
      </c>
      <c r="N51" s="256">
        <v>0</v>
      </c>
      <c r="O51" s="256">
        <v>0</v>
      </c>
      <c r="P51" s="267">
        <v>0</v>
      </c>
      <c r="Q51" s="256">
        <v>0</v>
      </c>
      <c r="R51" s="273"/>
      <c r="S51" s="257">
        <v>0</v>
      </c>
      <c r="T51" s="15"/>
      <c r="U51" s="15"/>
      <c r="V51" s="15"/>
      <c r="W51" s="15"/>
      <c r="X51" s="15"/>
      <c r="Y51" s="15"/>
      <c r="Z51" s="15"/>
    </row>
    <row r="52" spans="1:26" s="239" customFormat="1">
      <c r="A52" s="259"/>
      <c r="B52" s="253" t="s">
        <v>133</v>
      </c>
      <c r="C52" s="253">
        <v>12517</v>
      </c>
      <c r="D52" s="253">
        <v>0</v>
      </c>
      <c r="E52" s="253">
        <v>59381</v>
      </c>
      <c r="F52" s="253">
        <v>8996</v>
      </c>
      <c r="G52" s="253">
        <v>0</v>
      </c>
      <c r="H52" s="253">
        <v>0</v>
      </c>
      <c r="I52" s="253">
        <v>0</v>
      </c>
      <c r="J52" s="253">
        <v>0</v>
      </c>
      <c r="K52" s="266">
        <v>80894</v>
      </c>
      <c r="L52" s="253">
        <v>0</v>
      </c>
      <c r="M52" s="253">
        <v>0</v>
      </c>
      <c r="N52" s="253">
        <v>0</v>
      </c>
      <c r="O52" s="253">
        <v>0</v>
      </c>
      <c r="P52" s="266">
        <v>0</v>
      </c>
      <c r="Q52" s="253">
        <v>0</v>
      </c>
      <c r="R52" s="272">
        <v>0</v>
      </c>
      <c r="S52" s="254">
        <v>0</v>
      </c>
      <c r="T52" s="15"/>
      <c r="U52" s="15"/>
      <c r="V52" s="15"/>
      <c r="W52" s="15"/>
      <c r="X52" s="15"/>
      <c r="Y52" s="15"/>
      <c r="Z52" s="15"/>
    </row>
    <row r="53" spans="1:26" s="239" customFormat="1">
      <c r="A53" s="260"/>
      <c r="B53" s="256" t="s">
        <v>137</v>
      </c>
      <c r="C53" s="256">
        <v>15989</v>
      </c>
      <c r="D53" s="256">
        <v>0</v>
      </c>
      <c r="E53" s="256">
        <v>69669.5</v>
      </c>
      <c r="F53" s="256">
        <v>11076</v>
      </c>
      <c r="G53" s="256">
        <v>0</v>
      </c>
      <c r="H53" s="256">
        <v>0</v>
      </c>
      <c r="I53" s="256">
        <v>0</v>
      </c>
      <c r="J53" s="256">
        <v>0</v>
      </c>
      <c r="K53" s="267">
        <v>96734.5</v>
      </c>
      <c r="L53" s="256">
        <v>0</v>
      </c>
      <c r="M53" s="256">
        <v>0</v>
      </c>
      <c r="N53" s="256">
        <v>0</v>
      </c>
      <c r="O53" s="256">
        <v>0</v>
      </c>
      <c r="P53" s="267">
        <v>0</v>
      </c>
      <c r="Q53" s="256">
        <v>0</v>
      </c>
      <c r="R53" s="273">
        <v>0</v>
      </c>
      <c r="S53" s="257">
        <v>0</v>
      </c>
      <c r="T53" s="15"/>
      <c r="U53" s="15"/>
      <c r="V53" s="15"/>
      <c r="W53" s="15"/>
      <c r="X53" s="15"/>
      <c r="Y53" s="15"/>
      <c r="Z53" s="15"/>
    </row>
    <row r="54" spans="1:26" s="239" customFormat="1">
      <c r="A54" s="258" t="s">
        <v>45</v>
      </c>
      <c r="B54" s="253" t="s">
        <v>130</v>
      </c>
      <c r="C54" s="253"/>
      <c r="D54" s="253"/>
      <c r="E54" s="253"/>
      <c r="F54" s="253"/>
      <c r="G54" s="253"/>
      <c r="H54" s="253"/>
      <c r="I54" s="253"/>
      <c r="J54" s="253"/>
      <c r="K54" s="266"/>
      <c r="L54" s="253"/>
      <c r="M54" s="253"/>
      <c r="N54" s="253"/>
      <c r="O54" s="253"/>
      <c r="P54" s="266"/>
      <c r="Q54" s="253"/>
      <c r="R54" s="272"/>
      <c r="S54" s="254"/>
      <c r="T54" s="15"/>
      <c r="U54" s="15"/>
      <c r="V54" s="15"/>
      <c r="W54" s="15"/>
      <c r="X54" s="15"/>
      <c r="Y54" s="15"/>
      <c r="Z54" s="15"/>
    </row>
    <row r="55" spans="1:26" s="239" customFormat="1">
      <c r="A55" s="259"/>
      <c r="B55" s="256" t="s">
        <v>134</v>
      </c>
      <c r="C55" s="256"/>
      <c r="D55" s="256"/>
      <c r="E55" s="256"/>
      <c r="F55" s="256"/>
      <c r="G55" s="256"/>
      <c r="H55" s="256"/>
      <c r="I55" s="256"/>
      <c r="J55" s="256"/>
      <c r="K55" s="267"/>
      <c r="L55" s="256"/>
      <c r="M55" s="256"/>
      <c r="N55" s="256"/>
      <c r="O55" s="256"/>
      <c r="P55" s="267"/>
      <c r="Q55" s="256"/>
      <c r="R55" s="273"/>
      <c r="S55" s="257"/>
      <c r="T55" s="15"/>
      <c r="U55" s="15"/>
      <c r="V55" s="15"/>
      <c r="W55" s="15"/>
      <c r="X55" s="15"/>
      <c r="Y55" s="15"/>
      <c r="Z55" s="15"/>
    </row>
    <row r="56" spans="1:26" s="239" customFormat="1">
      <c r="A56" s="259"/>
      <c r="B56" s="253" t="s">
        <v>131</v>
      </c>
      <c r="C56" s="253">
        <v>0</v>
      </c>
      <c r="D56" s="253">
        <v>0</v>
      </c>
      <c r="E56" s="253">
        <v>0</v>
      </c>
      <c r="F56" s="253">
        <v>0</v>
      </c>
      <c r="G56" s="253">
        <v>0</v>
      </c>
      <c r="H56" s="253">
        <v>0</v>
      </c>
      <c r="I56" s="253">
        <v>0</v>
      </c>
      <c r="J56" s="253">
        <v>0</v>
      </c>
      <c r="K56" s="266">
        <v>0</v>
      </c>
      <c r="L56" s="253">
        <v>0</v>
      </c>
      <c r="M56" s="253">
        <v>0</v>
      </c>
      <c r="N56" s="253">
        <v>0</v>
      </c>
      <c r="O56" s="253">
        <v>0</v>
      </c>
      <c r="P56" s="266">
        <v>0</v>
      </c>
      <c r="Q56" s="253">
        <v>0</v>
      </c>
      <c r="R56" s="272">
        <v>0</v>
      </c>
      <c r="S56" s="254">
        <v>0</v>
      </c>
      <c r="T56" s="15"/>
      <c r="U56" s="15"/>
      <c r="V56" s="15"/>
      <c r="W56" s="15"/>
      <c r="X56" s="15"/>
      <c r="Y56" s="15"/>
      <c r="Z56" s="15"/>
    </row>
    <row r="57" spans="1:26" s="239" customFormat="1">
      <c r="A57" s="259"/>
      <c r="B57" s="256" t="s">
        <v>135</v>
      </c>
      <c r="C57" s="256">
        <v>0</v>
      </c>
      <c r="D57" s="256">
        <v>0</v>
      </c>
      <c r="E57" s="256">
        <v>0</v>
      </c>
      <c r="F57" s="256">
        <v>0</v>
      </c>
      <c r="G57" s="256">
        <v>0</v>
      </c>
      <c r="H57" s="256">
        <v>0</v>
      </c>
      <c r="I57" s="256">
        <v>0</v>
      </c>
      <c r="J57" s="256">
        <v>0</v>
      </c>
      <c r="K57" s="267">
        <v>0</v>
      </c>
      <c r="L57" s="256">
        <v>0</v>
      </c>
      <c r="M57" s="256">
        <v>0</v>
      </c>
      <c r="N57" s="256">
        <v>0</v>
      </c>
      <c r="O57" s="256">
        <v>0</v>
      </c>
      <c r="P57" s="267">
        <v>0</v>
      </c>
      <c r="Q57" s="256">
        <v>0</v>
      </c>
      <c r="R57" s="273">
        <v>0</v>
      </c>
      <c r="S57" s="257">
        <v>0</v>
      </c>
      <c r="T57" s="15"/>
      <c r="U57" s="15"/>
      <c r="V57" s="15"/>
      <c r="W57" s="15"/>
      <c r="X57" s="15"/>
      <c r="Y57" s="15"/>
      <c r="Z57" s="15"/>
    </row>
    <row r="58" spans="1:26" s="239" customFormat="1">
      <c r="A58" s="259"/>
      <c r="B58" s="253" t="s">
        <v>132</v>
      </c>
      <c r="C58" s="253"/>
      <c r="D58" s="253"/>
      <c r="E58" s="253"/>
      <c r="F58" s="253"/>
      <c r="G58" s="253"/>
      <c r="H58" s="253"/>
      <c r="I58" s="253"/>
      <c r="J58" s="253"/>
      <c r="K58" s="266"/>
      <c r="L58" s="253"/>
      <c r="M58" s="253"/>
      <c r="N58" s="253"/>
      <c r="O58" s="253"/>
      <c r="P58" s="266"/>
      <c r="Q58" s="253"/>
      <c r="R58" s="272"/>
      <c r="S58" s="254"/>
      <c r="T58" s="15"/>
      <c r="U58" s="15"/>
      <c r="V58" s="15"/>
      <c r="W58" s="15"/>
      <c r="X58" s="15"/>
      <c r="Y58" s="15"/>
      <c r="Z58" s="15"/>
    </row>
    <row r="59" spans="1:26" s="239" customFormat="1">
      <c r="A59" s="259"/>
      <c r="B59" s="256" t="s">
        <v>136</v>
      </c>
      <c r="C59" s="256"/>
      <c r="D59" s="256"/>
      <c r="E59" s="256"/>
      <c r="F59" s="256"/>
      <c r="G59" s="256"/>
      <c r="H59" s="256"/>
      <c r="I59" s="256"/>
      <c r="J59" s="256"/>
      <c r="K59" s="267"/>
      <c r="L59" s="256"/>
      <c r="M59" s="256"/>
      <c r="N59" s="256"/>
      <c r="O59" s="256"/>
      <c r="P59" s="267"/>
      <c r="Q59" s="256"/>
      <c r="R59" s="273"/>
      <c r="S59" s="257"/>
      <c r="T59" s="15"/>
      <c r="U59" s="15"/>
      <c r="V59" s="15"/>
      <c r="W59" s="15"/>
      <c r="X59" s="15"/>
      <c r="Y59" s="15"/>
      <c r="Z59" s="15"/>
    </row>
    <row r="60" spans="1:26" s="239" customFormat="1">
      <c r="A60" s="259"/>
      <c r="B60" s="253" t="s">
        <v>133</v>
      </c>
      <c r="C60" s="253">
        <v>0</v>
      </c>
      <c r="D60" s="253">
        <v>0</v>
      </c>
      <c r="E60" s="253">
        <v>0</v>
      </c>
      <c r="F60" s="253">
        <v>0</v>
      </c>
      <c r="G60" s="253">
        <v>0</v>
      </c>
      <c r="H60" s="253">
        <v>0</v>
      </c>
      <c r="I60" s="253">
        <v>0</v>
      </c>
      <c r="J60" s="253">
        <v>0</v>
      </c>
      <c r="K60" s="266">
        <v>0</v>
      </c>
      <c r="L60" s="253">
        <v>0</v>
      </c>
      <c r="M60" s="253">
        <v>0</v>
      </c>
      <c r="N60" s="253">
        <v>0</v>
      </c>
      <c r="O60" s="253">
        <v>0</v>
      </c>
      <c r="P60" s="266">
        <v>0</v>
      </c>
      <c r="Q60" s="253">
        <v>0</v>
      </c>
      <c r="R60" s="272">
        <v>0</v>
      </c>
      <c r="S60" s="254">
        <v>0</v>
      </c>
      <c r="T60" s="15"/>
      <c r="U60" s="15"/>
      <c r="V60" s="15"/>
      <c r="W60" s="15"/>
      <c r="X60" s="15"/>
      <c r="Y60" s="15"/>
      <c r="Z60" s="15"/>
    </row>
    <row r="61" spans="1:26" s="239" customFormat="1">
      <c r="A61" s="260"/>
      <c r="B61" s="256" t="s">
        <v>137</v>
      </c>
      <c r="C61" s="256">
        <v>0</v>
      </c>
      <c r="D61" s="256">
        <v>0</v>
      </c>
      <c r="E61" s="256">
        <v>0</v>
      </c>
      <c r="F61" s="256">
        <v>0</v>
      </c>
      <c r="G61" s="256">
        <v>0</v>
      </c>
      <c r="H61" s="256">
        <v>0</v>
      </c>
      <c r="I61" s="256">
        <v>0</v>
      </c>
      <c r="J61" s="256">
        <v>0</v>
      </c>
      <c r="K61" s="267">
        <v>0</v>
      </c>
      <c r="L61" s="256">
        <v>0</v>
      </c>
      <c r="M61" s="256">
        <v>0</v>
      </c>
      <c r="N61" s="256">
        <v>0</v>
      </c>
      <c r="O61" s="256">
        <v>0</v>
      </c>
      <c r="P61" s="267">
        <v>0</v>
      </c>
      <c r="Q61" s="256">
        <v>0</v>
      </c>
      <c r="R61" s="273">
        <v>0</v>
      </c>
      <c r="S61" s="257">
        <v>0</v>
      </c>
      <c r="T61" s="15"/>
      <c r="U61" s="15"/>
      <c r="V61" s="15"/>
      <c r="W61" s="15"/>
      <c r="X61" s="15"/>
      <c r="Y61" s="15"/>
      <c r="Z61" s="15"/>
    </row>
    <row r="62" spans="1:26" s="239" customFormat="1">
      <c r="A62" s="258" t="s">
        <v>46</v>
      </c>
      <c r="B62" s="253" t="s">
        <v>130</v>
      </c>
      <c r="C62" s="253">
        <v>799218</v>
      </c>
      <c r="D62" s="253">
        <v>471640.5</v>
      </c>
      <c r="E62" s="253">
        <v>506715.5</v>
      </c>
      <c r="F62" s="253">
        <v>765194</v>
      </c>
      <c r="G62" s="253"/>
      <c r="H62" s="253">
        <v>62834.5</v>
      </c>
      <c r="I62" s="253">
        <v>422643</v>
      </c>
      <c r="J62" s="253"/>
      <c r="K62" s="266">
        <v>3028245.5</v>
      </c>
      <c r="L62" s="253"/>
      <c r="M62" s="253">
        <v>2099019.7000000002</v>
      </c>
      <c r="N62" s="253">
        <v>729201.5</v>
      </c>
      <c r="O62" s="253">
        <v>123677.25</v>
      </c>
      <c r="P62" s="266">
        <v>2951898.45</v>
      </c>
      <c r="Q62" s="253"/>
      <c r="R62" s="272"/>
      <c r="S62" s="254"/>
      <c r="T62" s="15"/>
      <c r="U62" s="15"/>
      <c r="V62" s="15"/>
      <c r="W62" s="15"/>
      <c r="X62" s="15"/>
      <c r="Y62" s="15"/>
      <c r="Z62" s="15"/>
    </row>
    <row r="63" spans="1:26" s="239" customFormat="1">
      <c r="A63" s="259"/>
      <c r="B63" s="256" t="s">
        <v>134</v>
      </c>
      <c r="C63" s="256">
        <v>799551</v>
      </c>
      <c r="D63" s="256">
        <v>488823</v>
      </c>
      <c r="E63" s="256">
        <v>506306.5</v>
      </c>
      <c r="F63" s="256">
        <v>767429.5</v>
      </c>
      <c r="G63" s="256"/>
      <c r="H63" s="256">
        <v>65152.5</v>
      </c>
      <c r="I63" s="256">
        <v>467863</v>
      </c>
      <c r="J63" s="256"/>
      <c r="K63" s="267">
        <v>3095125.5</v>
      </c>
      <c r="L63" s="256"/>
      <c r="M63" s="256">
        <v>2105923.5</v>
      </c>
      <c r="N63" s="256">
        <v>743982.5</v>
      </c>
      <c r="O63" s="256">
        <v>125828.75</v>
      </c>
      <c r="P63" s="267">
        <v>2975734.75</v>
      </c>
      <c r="Q63" s="256"/>
      <c r="R63" s="273"/>
      <c r="S63" s="257"/>
      <c r="T63" s="15"/>
      <c r="U63" s="15"/>
      <c r="V63" s="15"/>
      <c r="W63" s="15"/>
      <c r="X63" s="15"/>
      <c r="Y63" s="15"/>
      <c r="Z63" s="15"/>
    </row>
    <row r="64" spans="1:26" s="239" customFormat="1">
      <c r="A64" s="259"/>
      <c r="B64" s="253" t="s">
        <v>131</v>
      </c>
      <c r="C64" s="253">
        <v>11064</v>
      </c>
      <c r="D64" s="253">
        <v>22879</v>
      </c>
      <c r="E64" s="253">
        <v>25124</v>
      </c>
      <c r="F64" s="253">
        <v>60441</v>
      </c>
      <c r="G64" s="253">
        <v>0</v>
      </c>
      <c r="H64" s="253">
        <v>0</v>
      </c>
      <c r="I64" s="253">
        <v>365434</v>
      </c>
      <c r="J64" s="253">
        <v>0</v>
      </c>
      <c r="K64" s="266">
        <v>484942</v>
      </c>
      <c r="L64" s="253">
        <v>0</v>
      </c>
      <c r="M64" s="253">
        <v>258430.5</v>
      </c>
      <c r="N64" s="253">
        <v>101665.5</v>
      </c>
      <c r="O64" s="253">
        <v>17327</v>
      </c>
      <c r="P64" s="266">
        <v>377423</v>
      </c>
      <c r="Q64" s="253">
        <v>0</v>
      </c>
      <c r="R64" s="272">
        <v>0</v>
      </c>
      <c r="S64" s="254">
        <v>0</v>
      </c>
      <c r="T64" s="15"/>
      <c r="U64" s="15"/>
      <c r="V64" s="15"/>
      <c r="W64" s="15"/>
      <c r="X64" s="15"/>
      <c r="Y64" s="15"/>
      <c r="Z64" s="15"/>
    </row>
    <row r="65" spans="1:26" s="239" customFormat="1">
      <c r="A65" s="259"/>
      <c r="B65" s="256" t="s">
        <v>135</v>
      </c>
      <c r="C65" s="256">
        <v>14961</v>
      </c>
      <c r="D65" s="256">
        <v>27787</v>
      </c>
      <c r="E65" s="256">
        <v>26030</v>
      </c>
      <c r="F65" s="256">
        <v>71483</v>
      </c>
      <c r="G65" s="256">
        <v>0</v>
      </c>
      <c r="H65" s="256">
        <v>0</v>
      </c>
      <c r="I65" s="256">
        <v>425286</v>
      </c>
      <c r="J65" s="256">
        <v>0</v>
      </c>
      <c r="K65" s="267">
        <v>565547</v>
      </c>
      <c r="L65" s="256">
        <v>0</v>
      </c>
      <c r="M65" s="256">
        <v>302013</v>
      </c>
      <c r="N65" s="256">
        <v>117557</v>
      </c>
      <c r="O65" s="256">
        <v>22218</v>
      </c>
      <c r="P65" s="267">
        <v>441788</v>
      </c>
      <c r="Q65" s="256">
        <v>0</v>
      </c>
      <c r="R65" s="273">
        <v>0</v>
      </c>
      <c r="S65" s="257">
        <v>0</v>
      </c>
      <c r="T65" s="15"/>
      <c r="U65" s="15"/>
      <c r="V65" s="15"/>
      <c r="W65" s="15"/>
      <c r="X65" s="15"/>
      <c r="Y65" s="15"/>
      <c r="Z65" s="15"/>
    </row>
    <row r="66" spans="1:26" s="239" customFormat="1">
      <c r="A66" s="259"/>
      <c r="B66" s="253" t="s">
        <v>132</v>
      </c>
      <c r="C66" s="253">
        <v>156544.5</v>
      </c>
      <c r="D66" s="253">
        <v>53309</v>
      </c>
      <c r="E66" s="253">
        <v>58131.5</v>
      </c>
      <c r="F66" s="253">
        <v>191450</v>
      </c>
      <c r="G66" s="253"/>
      <c r="H66" s="253">
        <v>1937</v>
      </c>
      <c r="I66" s="253">
        <v>173875</v>
      </c>
      <c r="J66" s="253"/>
      <c r="K66" s="266">
        <v>635247</v>
      </c>
      <c r="L66" s="253"/>
      <c r="M66" s="253">
        <v>0</v>
      </c>
      <c r="N66" s="253">
        <v>0</v>
      </c>
      <c r="O66" s="253">
        <v>0</v>
      </c>
      <c r="P66" s="266">
        <v>0</v>
      </c>
      <c r="Q66" s="253"/>
      <c r="R66" s="272"/>
      <c r="S66" s="254"/>
      <c r="T66" s="15"/>
      <c r="U66" s="15"/>
      <c r="V66" s="15"/>
      <c r="W66" s="15"/>
      <c r="X66" s="15"/>
      <c r="Y66" s="15"/>
      <c r="Z66" s="15"/>
    </row>
    <row r="67" spans="1:26" s="239" customFormat="1">
      <c r="A67" s="259"/>
      <c r="B67" s="256" t="s">
        <v>136</v>
      </c>
      <c r="C67" s="256">
        <v>158873</v>
      </c>
      <c r="D67" s="256">
        <v>54431</v>
      </c>
      <c r="E67" s="256">
        <v>57519</v>
      </c>
      <c r="F67" s="256">
        <v>115885</v>
      </c>
      <c r="G67" s="256"/>
      <c r="H67" s="256">
        <v>1577</v>
      </c>
      <c r="I67" s="256">
        <v>189917</v>
      </c>
      <c r="J67" s="256"/>
      <c r="K67" s="267">
        <v>578202</v>
      </c>
      <c r="L67" s="256"/>
      <c r="M67" s="256">
        <v>0</v>
      </c>
      <c r="N67" s="256">
        <v>0</v>
      </c>
      <c r="O67" s="256">
        <v>0</v>
      </c>
      <c r="P67" s="267">
        <v>0</v>
      </c>
      <c r="Q67" s="256"/>
      <c r="R67" s="273"/>
      <c r="S67" s="257"/>
      <c r="T67" s="15"/>
      <c r="U67" s="15"/>
      <c r="V67" s="15"/>
      <c r="W67" s="15"/>
      <c r="X67" s="15"/>
      <c r="Y67" s="15"/>
      <c r="Z67" s="15"/>
    </row>
    <row r="68" spans="1:26" s="239" customFormat="1">
      <c r="A68" s="259"/>
      <c r="B68" s="253" t="s">
        <v>133</v>
      </c>
      <c r="C68" s="253">
        <v>6383</v>
      </c>
      <c r="D68" s="253">
        <v>6576</v>
      </c>
      <c r="E68" s="253">
        <v>6239</v>
      </c>
      <c r="F68" s="253">
        <v>97724</v>
      </c>
      <c r="G68" s="253">
        <v>0</v>
      </c>
      <c r="H68" s="253">
        <v>0</v>
      </c>
      <c r="I68" s="253">
        <v>173875</v>
      </c>
      <c r="J68" s="253">
        <v>0</v>
      </c>
      <c r="K68" s="266">
        <v>290797</v>
      </c>
      <c r="L68" s="253">
        <v>0</v>
      </c>
      <c r="M68" s="253">
        <v>0</v>
      </c>
      <c r="N68" s="253">
        <v>0</v>
      </c>
      <c r="O68" s="253">
        <v>0</v>
      </c>
      <c r="P68" s="266">
        <v>0</v>
      </c>
      <c r="Q68" s="253">
        <v>0</v>
      </c>
      <c r="R68" s="272">
        <v>0</v>
      </c>
      <c r="S68" s="254">
        <v>0</v>
      </c>
      <c r="T68" s="15"/>
      <c r="U68" s="15"/>
      <c r="V68" s="15"/>
      <c r="W68" s="15"/>
      <c r="X68" s="15"/>
      <c r="Y68" s="15"/>
      <c r="Z68" s="15"/>
    </row>
    <row r="69" spans="1:26" s="239" customFormat="1">
      <c r="A69" s="260"/>
      <c r="B69" s="256" t="s">
        <v>137</v>
      </c>
      <c r="C69" s="256">
        <v>6723</v>
      </c>
      <c r="D69" s="256">
        <v>7231</v>
      </c>
      <c r="E69" s="256">
        <v>8059</v>
      </c>
      <c r="F69" s="256">
        <v>20550</v>
      </c>
      <c r="G69" s="256">
        <v>0</v>
      </c>
      <c r="H69" s="256">
        <v>0</v>
      </c>
      <c r="I69" s="256">
        <v>189917</v>
      </c>
      <c r="J69" s="256">
        <v>0</v>
      </c>
      <c r="K69" s="267">
        <v>232480</v>
      </c>
      <c r="L69" s="256">
        <v>0</v>
      </c>
      <c r="M69" s="256">
        <v>0</v>
      </c>
      <c r="N69" s="256">
        <v>0</v>
      </c>
      <c r="O69" s="256">
        <v>0</v>
      </c>
      <c r="P69" s="267">
        <v>0</v>
      </c>
      <c r="Q69" s="256">
        <v>0</v>
      </c>
      <c r="R69" s="273">
        <v>0</v>
      </c>
      <c r="S69" s="257">
        <v>0</v>
      </c>
      <c r="T69" s="15"/>
      <c r="U69" s="15"/>
      <c r="V69" s="15"/>
      <c r="W69" s="15"/>
      <c r="X69" s="15"/>
      <c r="Y69" s="15"/>
      <c r="Z69" s="15"/>
    </row>
    <row r="70" spans="1:26" s="239" customFormat="1">
      <c r="A70" s="258" t="s">
        <v>47</v>
      </c>
      <c r="B70" s="253" t="s">
        <v>130</v>
      </c>
      <c r="C70" s="253">
        <v>761085</v>
      </c>
      <c r="D70" s="253">
        <v>577234.5</v>
      </c>
      <c r="E70" s="253"/>
      <c r="F70" s="253">
        <v>228354</v>
      </c>
      <c r="G70" s="253">
        <v>63024</v>
      </c>
      <c r="H70" s="253"/>
      <c r="I70" s="253"/>
      <c r="J70" s="253"/>
      <c r="K70" s="266">
        <v>1629697.5</v>
      </c>
      <c r="L70" s="253"/>
      <c r="M70" s="253">
        <v>1046744</v>
      </c>
      <c r="N70" s="253">
        <v>1052107</v>
      </c>
      <c r="O70" s="253">
        <v>120095</v>
      </c>
      <c r="P70" s="266">
        <v>2218946</v>
      </c>
      <c r="Q70" s="253"/>
      <c r="R70" s="272"/>
      <c r="S70" s="254"/>
      <c r="T70" s="15"/>
      <c r="U70" s="15"/>
      <c r="V70" s="15"/>
      <c r="W70" s="15"/>
      <c r="X70" s="15"/>
      <c r="Y70" s="15"/>
      <c r="Z70" s="15"/>
    </row>
    <row r="71" spans="1:26" s="239" customFormat="1">
      <c r="A71" s="259"/>
      <c r="B71" s="256" t="s">
        <v>134</v>
      </c>
      <c r="C71" s="256">
        <v>790323</v>
      </c>
      <c r="D71" s="256">
        <v>614306</v>
      </c>
      <c r="E71" s="256"/>
      <c r="F71" s="256">
        <v>231762</v>
      </c>
      <c r="G71" s="256">
        <v>67624</v>
      </c>
      <c r="H71" s="256"/>
      <c r="I71" s="256"/>
      <c r="J71" s="256"/>
      <c r="K71" s="267">
        <v>1704015</v>
      </c>
      <c r="L71" s="256"/>
      <c r="M71" s="256">
        <v>1012727</v>
      </c>
      <c r="N71" s="256">
        <v>1021317.5</v>
      </c>
      <c r="O71" s="256">
        <v>129482</v>
      </c>
      <c r="P71" s="267">
        <v>2163526.5</v>
      </c>
      <c r="Q71" s="256"/>
      <c r="R71" s="273"/>
      <c r="S71" s="257"/>
      <c r="T71" s="15"/>
      <c r="U71" s="15"/>
      <c r="V71" s="15"/>
      <c r="W71" s="15"/>
      <c r="X71" s="15"/>
      <c r="Y71" s="15"/>
      <c r="Z71" s="15"/>
    </row>
    <row r="72" spans="1:26" s="239" customFormat="1">
      <c r="A72" s="259"/>
      <c r="B72" s="253" t="s">
        <v>131</v>
      </c>
      <c r="C72" s="253">
        <v>56180</v>
      </c>
      <c r="D72" s="253">
        <v>20722</v>
      </c>
      <c r="E72" s="253">
        <v>0</v>
      </c>
      <c r="F72" s="253">
        <v>29692.5</v>
      </c>
      <c r="G72" s="253">
        <v>19169</v>
      </c>
      <c r="H72" s="253">
        <v>0</v>
      </c>
      <c r="I72" s="253">
        <v>0</v>
      </c>
      <c r="J72" s="253">
        <v>0</v>
      </c>
      <c r="K72" s="266">
        <v>125763.5</v>
      </c>
      <c r="L72" s="253">
        <v>0</v>
      </c>
      <c r="M72" s="253">
        <v>215435</v>
      </c>
      <c r="N72" s="253">
        <v>172678</v>
      </c>
      <c r="O72" s="253">
        <v>11706</v>
      </c>
      <c r="P72" s="266">
        <v>399819</v>
      </c>
      <c r="Q72" s="253">
        <v>0</v>
      </c>
      <c r="R72" s="272">
        <v>0</v>
      </c>
      <c r="S72" s="254">
        <v>0</v>
      </c>
      <c r="T72" s="15"/>
      <c r="U72" s="15"/>
      <c r="V72" s="15"/>
      <c r="W72" s="15"/>
      <c r="X72" s="15"/>
      <c r="Y72" s="15"/>
      <c r="Z72" s="15"/>
    </row>
    <row r="73" spans="1:26" s="239" customFormat="1">
      <c r="A73" s="259"/>
      <c r="B73" s="256" t="s">
        <v>135</v>
      </c>
      <c r="C73" s="256">
        <v>59316</v>
      </c>
      <c r="D73" s="256">
        <v>26498</v>
      </c>
      <c r="E73" s="256">
        <v>0</v>
      </c>
      <c r="F73" s="256">
        <v>39766</v>
      </c>
      <c r="G73" s="256">
        <v>27672</v>
      </c>
      <c r="H73" s="256">
        <v>0</v>
      </c>
      <c r="I73" s="256">
        <v>0</v>
      </c>
      <c r="J73" s="256">
        <v>0</v>
      </c>
      <c r="K73" s="267">
        <v>153252</v>
      </c>
      <c r="L73" s="256">
        <v>0</v>
      </c>
      <c r="M73" s="256">
        <v>217043</v>
      </c>
      <c r="N73" s="256">
        <v>188545</v>
      </c>
      <c r="O73" s="256">
        <v>15718</v>
      </c>
      <c r="P73" s="267">
        <v>421306</v>
      </c>
      <c r="Q73" s="256">
        <v>0</v>
      </c>
      <c r="R73" s="273">
        <v>0</v>
      </c>
      <c r="S73" s="257">
        <v>0</v>
      </c>
      <c r="T73" s="15"/>
      <c r="U73" s="15"/>
      <c r="V73" s="15"/>
      <c r="W73" s="15"/>
      <c r="X73" s="15"/>
      <c r="Y73" s="15"/>
      <c r="Z73" s="15"/>
    </row>
    <row r="74" spans="1:26" s="239" customFormat="1">
      <c r="A74" s="259"/>
      <c r="B74" s="253" t="s">
        <v>132</v>
      </c>
      <c r="C74" s="253">
        <v>124105</v>
      </c>
      <c r="D74" s="253">
        <v>87762.5</v>
      </c>
      <c r="E74" s="253"/>
      <c r="F74" s="253">
        <v>38310</v>
      </c>
      <c r="G74" s="253">
        <v>4501</v>
      </c>
      <c r="H74" s="253"/>
      <c r="I74" s="253"/>
      <c r="J74" s="253"/>
      <c r="K74" s="266">
        <v>254678.5</v>
      </c>
      <c r="L74" s="253"/>
      <c r="M74" s="253">
        <v>0</v>
      </c>
      <c r="N74" s="253">
        <v>0</v>
      </c>
      <c r="O74" s="253">
        <v>0</v>
      </c>
      <c r="P74" s="266">
        <v>0</v>
      </c>
      <c r="Q74" s="253"/>
      <c r="R74" s="272"/>
      <c r="S74" s="254"/>
      <c r="T74" s="15"/>
      <c r="U74" s="15"/>
      <c r="V74" s="15"/>
      <c r="W74" s="15"/>
      <c r="X74" s="15"/>
      <c r="Y74" s="15"/>
      <c r="Z74" s="15"/>
    </row>
    <row r="75" spans="1:26" s="239" customFormat="1">
      <c r="A75" s="259"/>
      <c r="B75" s="256" t="s">
        <v>136</v>
      </c>
      <c r="C75" s="256">
        <v>123248</v>
      </c>
      <c r="D75" s="256">
        <v>92928</v>
      </c>
      <c r="E75" s="256"/>
      <c r="F75" s="256">
        <v>46157</v>
      </c>
      <c r="G75" s="256">
        <v>4260</v>
      </c>
      <c r="H75" s="256"/>
      <c r="I75" s="256"/>
      <c r="J75" s="256"/>
      <c r="K75" s="267">
        <v>266593</v>
      </c>
      <c r="L75" s="256"/>
      <c r="M75" s="256">
        <v>0</v>
      </c>
      <c r="N75" s="256">
        <v>0</v>
      </c>
      <c r="O75" s="256">
        <v>0</v>
      </c>
      <c r="P75" s="267">
        <v>0</v>
      </c>
      <c r="Q75" s="256"/>
      <c r="R75" s="273"/>
      <c r="S75" s="257"/>
      <c r="T75" s="15"/>
      <c r="U75" s="15"/>
      <c r="V75" s="15"/>
      <c r="W75" s="15"/>
      <c r="X75" s="15"/>
      <c r="Y75" s="15"/>
      <c r="Z75" s="15"/>
    </row>
    <row r="76" spans="1:26" s="239" customFormat="1">
      <c r="A76" s="259"/>
      <c r="B76" s="253" t="s">
        <v>133</v>
      </c>
      <c r="C76" s="253">
        <v>30146</v>
      </c>
      <c r="D76" s="253">
        <v>3482</v>
      </c>
      <c r="E76" s="253">
        <v>0</v>
      </c>
      <c r="F76" s="253">
        <v>15119</v>
      </c>
      <c r="G76" s="253">
        <v>1239</v>
      </c>
      <c r="H76" s="253">
        <v>0</v>
      </c>
      <c r="I76" s="253">
        <v>0</v>
      </c>
      <c r="J76" s="253">
        <v>0</v>
      </c>
      <c r="K76" s="266">
        <v>49986</v>
      </c>
      <c r="L76" s="253">
        <v>0</v>
      </c>
      <c r="M76" s="253">
        <v>0</v>
      </c>
      <c r="N76" s="253">
        <v>0</v>
      </c>
      <c r="O76" s="253">
        <v>0</v>
      </c>
      <c r="P76" s="266">
        <v>0</v>
      </c>
      <c r="Q76" s="253">
        <v>0</v>
      </c>
      <c r="R76" s="272">
        <v>0</v>
      </c>
      <c r="S76" s="254">
        <v>0</v>
      </c>
      <c r="T76" s="15"/>
      <c r="U76" s="15"/>
      <c r="V76" s="15"/>
      <c r="W76" s="15"/>
      <c r="X76" s="15"/>
      <c r="Y76" s="15"/>
      <c r="Z76" s="15"/>
    </row>
    <row r="77" spans="1:26" s="239" customFormat="1">
      <c r="A77" s="260"/>
      <c r="B77" s="256" t="s">
        <v>137</v>
      </c>
      <c r="C77" s="256">
        <v>32391</v>
      </c>
      <c r="D77" s="256">
        <v>5663</v>
      </c>
      <c r="E77" s="256">
        <v>0</v>
      </c>
      <c r="F77" s="256">
        <v>18018</v>
      </c>
      <c r="G77" s="256">
        <v>1189</v>
      </c>
      <c r="H77" s="256">
        <v>0</v>
      </c>
      <c r="I77" s="256">
        <v>0</v>
      </c>
      <c r="J77" s="256">
        <v>0</v>
      </c>
      <c r="K77" s="267">
        <v>57261</v>
      </c>
      <c r="L77" s="256">
        <v>0</v>
      </c>
      <c r="M77" s="256">
        <v>0</v>
      </c>
      <c r="N77" s="256">
        <v>0</v>
      </c>
      <c r="O77" s="256">
        <v>0</v>
      </c>
      <c r="P77" s="267">
        <v>0</v>
      </c>
      <c r="Q77" s="256">
        <v>0</v>
      </c>
      <c r="R77" s="273">
        <v>0</v>
      </c>
      <c r="S77" s="257">
        <v>0</v>
      </c>
      <c r="T77" s="15"/>
      <c r="U77" s="15"/>
      <c r="V77" s="15"/>
      <c r="W77" s="15"/>
      <c r="X77" s="15"/>
      <c r="Y77" s="15"/>
      <c r="Z77" s="15"/>
    </row>
    <row r="78" spans="1:26" s="239" customFormat="1">
      <c r="A78" s="258" t="s">
        <v>48</v>
      </c>
      <c r="B78" s="253" t="s">
        <v>130</v>
      </c>
      <c r="C78" s="253">
        <v>1649031</v>
      </c>
      <c r="D78" s="253">
        <v>550912</v>
      </c>
      <c r="E78" s="253">
        <v>2064575</v>
      </c>
      <c r="F78" s="253">
        <v>144829</v>
      </c>
      <c r="G78" s="253">
        <v>342848</v>
      </c>
      <c r="H78" s="253">
        <v>202516</v>
      </c>
      <c r="I78" s="253"/>
      <c r="J78" s="253"/>
      <c r="K78" s="266">
        <v>4954711</v>
      </c>
      <c r="L78" s="253"/>
      <c r="M78" s="253">
        <v>2426176</v>
      </c>
      <c r="N78" s="253">
        <v>2128322</v>
      </c>
      <c r="O78" s="253">
        <v>885250</v>
      </c>
      <c r="P78" s="266">
        <v>5439748</v>
      </c>
      <c r="Q78" s="253"/>
      <c r="R78" s="272"/>
      <c r="S78" s="254"/>
      <c r="T78" s="15"/>
      <c r="U78" s="15"/>
      <c r="V78" s="15"/>
      <c r="W78" s="15"/>
      <c r="X78" s="15"/>
      <c r="Y78" s="15"/>
      <c r="Z78" s="15"/>
    </row>
    <row r="79" spans="1:26" s="239" customFormat="1">
      <c r="A79" s="259"/>
      <c r="B79" s="256" t="s">
        <v>134</v>
      </c>
      <c r="C79" s="256">
        <v>1663616</v>
      </c>
      <c r="D79" s="256">
        <v>566448</v>
      </c>
      <c r="E79" s="256">
        <v>2089313</v>
      </c>
      <c r="F79" s="256">
        <v>148382</v>
      </c>
      <c r="G79" s="256">
        <v>328916</v>
      </c>
      <c r="H79" s="256">
        <v>196642</v>
      </c>
      <c r="I79" s="256"/>
      <c r="J79" s="256"/>
      <c r="K79" s="267">
        <v>4993317</v>
      </c>
      <c r="L79" s="256"/>
      <c r="M79" s="256">
        <v>2511660</v>
      </c>
      <c r="N79" s="256">
        <v>2067397</v>
      </c>
      <c r="O79" s="256">
        <v>852525</v>
      </c>
      <c r="P79" s="267">
        <v>5431582</v>
      </c>
      <c r="Q79" s="256"/>
      <c r="R79" s="273"/>
      <c r="S79" s="257"/>
      <c r="T79" s="15"/>
      <c r="U79" s="15"/>
      <c r="V79" s="15"/>
      <c r="W79" s="15"/>
      <c r="X79" s="15"/>
      <c r="Y79" s="15"/>
      <c r="Z79" s="15"/>
    </row>
    <row r="80" spans="1:26" s="239" customFormat="1">
      <c r="A80" s="259"/>
      <c r="B80" s="253" t="s">
        <v>131</v>
      </c>
      <c r="C80" s="253">
        <v>149560</v>
      </c>
      <c r="D80" s="253">
        <v>20126</v>
      </c>
      <c r="E80" s="253">
        <v>164895</v>
      </c>
      <c r="F80" s="253">
        <v>22072</v>
      </c>
      <c r="G80" s="253">
        <v>51837</v>
      </c>
      <c r="H80" s="253">
        <v>15046</v>
      </c>
      <c r="I80" s="253">
        <v>0</v>
      </c>
      <c r="J80" s="253">
        <v>0</v>
      </c>
      <c r="K80" s="266">
        <v>423536</v>
      </c>
      <c r="L80" s="253">
        <v>0</v>
      </c>
      <c r="M80" s="253">
        <v>515842</v>
      </c>
      <c r="N80" s="253">
        <v>498157</v>
      </c>
      <c r="O80" s="253">
        <v>217647</v>
      </c>
      <c r="P80" s="266">
        <v>1231646</v>
      </c>
      <c r="Q80" s="253">
        <v>0</v>
      </c>
      <c r="R80" s="272">
        <v>0</v>
      </c>
      <c r="S80" s="254">
        <v>0</v>
      </c>
      <c r="T80" s="15"/>
      <c r="U80" s="15"/>
      <c r="V80" s="15"/>
      <c r="W80" s="15"/>
      <c r="X80" s="15"/>
      <c r="Y80" s="15"/>
      <c r="Z80" s="15"/>
    </row>
    <row r="81" spans="1:26" s="239" customFormat="1">
      <c r="A81" s="259"/>
      <c r="B81" s="256" t="s">
        <v>135</v>
      </c>
      <c r="C81" s="256">
        <v>160731</v>
      </c>
      <c r="D81" s="256">
        <v>22987</v>
      </c>
      <c r="E81" s="256">
        <v>180461</v>
      </c>
      <c r="F81" s="256">
        <v>23627</v>
      </c>
      <c r="G81" s="256">
        <v>53056</v>
      </c>
      <c r="H81" s="256">
        <v>17522</v>
      </c>
      <c r="I81" s="256">
        <v>0</v>
      </c>
      <c r="J81" s="256">
        <v>0</v>
      </c>
      <c r="K81" s="267">
        <v>458384</v>
      </c>
      <c r="L81" s="256">
        <v>0</v>
      </c>
      <c r="M81" s="256">
        <v>770943</v>
      </c>
      <c r="N81" s="256">
        <v>709843</v>
      </c>
      <c r="O81" s="256">
        <v>306526</v>
      </c>
      <c r="P81" s="267">
        <v>1787312</v>
      </c>
      <c r="Q81" s="256">
        <v>0</v>
      </c>
      <c r="R81" s="273">
        <v>0</v>
      </c>
      <c r="S81" s="257">
        <v>0</v>
      </c>
      <c r="T81" s="15"/>
      <c r="U81" s="15"/>
      <c r="V81" s="15"/>
      <c r="W81" s="15"/>
      <c r="X81" s="15"/>
      <c r="Y81" s="15"/>
      <c r="Z81" s="15"/>
    </row>
    <row r="82" spans="1:26" s="239" customFormat="1">
      <c r="A82" s="259"/>
      <c r="B82" s="253" t="s">
        <v>132</v>
      </c>
      <c r="C82" s="253">
        <v>398794</v>
      </c>
      <c r="D82" s="253">
        <v>74936</v>
      </c>
      <c r="E82" s="253">
        <v>278815</v>
      </c>
      <c r="F82" s="253">
        <v>9471</v>
      </c>
      <c r="G82" s="253">
        <v>21876</v>
      </c>
      <c r="H82" s="253">
        <v>1519</v>
      </c>
      <c r="I82" s="253"/>
      <c r="J82" s="253"/>
      <c r="K82" s="266">
        <v>785411</v>
      </c>
      <c r="L82" s="253"/>
      <c r="M82" s="253">
        <v>0</v>
      </c>
      <c r="N82" s="253">
        <v>0</v>
      </c>
      <c r="O82" s="253">
        <v>0</v>
      </c>
      <c r="P82" s="266">
        <v>0</v>
      </c>
      <c r="Q82" s="253"/>
      <c r="R82" s="272"/>
      <c r="S82" s="254"/>
      <c r="T82" s="15"/>
      <c r="U82" s="15"/>
      <c r="V82" s="15"/>
      <c r="W82" s="15"/>
      <c r="X82" s="15"/>
      <c r="Y82" s="15"/>
      <c r="Z82" s="15"/>
    </row>
    <row r="83" spans="1:26" s="239" customFormat="1">
      <c r="A83" s="259"/>
      <c r="B83" s="256" t="s">
        <v>136</v>
      </c>
      <c r="C83" s="256">
        <v>400538</v>
      </c>
      <c r="D83" s="256">
        <v>71816</v>
      </c>
      <c r="E83" s="256">
        <v>266291</v>
      </c>
      <c r="F83" s="256">
        <v>10848</v>
      </c>
      <c r="G83" s="256">
        <v>23028</v>
      </c>
      <c r="H83" s="256">
        <v>2072</v>
      </c>
      <c r="I83" s="256"/>
      <c r="J83" s="256"/>
      <c r="K83" s="267">
        <v>774593</v>
      </c>
      <c r="L83" s="256"/>
      <c r="M83" s="256">
        <v>0</v>
      </c>
      <c r="N83" s="256">
        <v>0</v>
      </c>
      <c r="O83" s="256">
        <v>0</v>
      </c>
      <c r="P83" s="267">
        <v>0</v>
      </c>
      <c r="Q83" s="256"/>
      <c r="R83" s="273"/>
      <c r="S83" s="257"/>
      <c r="T83" s="15"/>
      <c r="U83" s="15"/>
      <c r="V83" s="15"/>
      <c r="W83" s="15"/>
      <c r="X83" s="15"/>
      <c r="Y83" s="15"/>
      <c r="Z83" s="15"/>
    </row>
    <row r="84" spans="1:26" s="239" customFormat="1">
      <c r="A84" s="259"/>
      <c r="B84" s="253" t="s">
        <v>133</v>
      </c>
      <c r="C84" s="253">
        <v>44941</v>
      </c>
      <c r="D84" s="253">
        <v>10139</v>
      </c>
      <c r="E84" s="253">
        <v>80369</v>
      </c>
      <c r="F84" s="253">
        <v>2298</v>
      </c>
      <c r="G84" s="253">
        <v>6545</v>
      </c>
      <c r="H84" s="253">
        <v>365</v>
      </c>
      <c r="I84" s="253">
        <v>0</v>
      </c>
      <c r="J84" s="253">
        <v>0</v>
      </c>
      <c r="K84" s="266">
        <v>144657</v>
      </c>
      <c r="L84" s="253">
        <v>0</v>
      </c>
      <c r="M84" s="253">
        <v>0</v>
      </c>
      <c r="N84" s="253">
        <v>0</v>
      </c>
      <c r="O84" s="253">
        <v>0</v>
      </c>
      <c r="P84" s="266">
        <v>0</v>
      </c>
      <c r="Q84" s="253">
        <v>0</v>
      </c>
      <c r="R84" s="272">
        <v>0</v>
      </c>
      <c r="S84" s="254">
        <v>0</v>
      </c>
      <c r="T84" s="15"/>
      <c r="U84" s="15"/>
      <c r="V84" s="15"/>
      <c r="W84" s="15"/>
      <c r="X84" s="15"/>
      <c r="Y84" s="15"/>
      <c r="Z84" s="15"/>
    </row>
    <row r="85" spans="1:26" s="239" customFormat="1">
      <c r="A85" s="260"/>
      <c r="B85" s="256" t="s">
        <v>137</v>
      </c>
      <c r="C85" s="256">
        <v>45198</v>
      </c>
      <c r="D85" s="256">
        <v>10126</v>
      </c>
      <c r="E85" s="256">
        <v>76673</v>
      </c>
      <c r="F85" s="256">
        <v>2676</v>
      </c>
      <c r="G85" s="256">
        <v>7939</v>
      </c>
      <c r="H85" s="256">
        <v>682</v>
      </c>
      <c r="I85" s="256">
        <v>0</v>
      </c>
      <c r="J85" s="256">
        <v>0</v>
      </c>
      <c r="K85" s="267">
        <v>143294</v>
      </c>
      <c r="L85" s="256">
        <v>0</v>
      </c>
      <c r="M85" s="256">
        <v>0</v>
      </c>
      <c r="N85" s="256">
        <v>0</v>
      </c>
      <c r="O85" s="256">
        <v>0</v>
      </c>
      <c r="P85" s="267">
        <v>0</v>
      </c>
      <c r="Q85" s="256">
        <v>0</v>
      </c>
      <c r="R85" s="273">
        <v>0</v>
      </c>
      <c r="S85" s="257">
        <v>0</v>
      </c>
      <c r="T85" s="15"/>
      <c r="U85" s="15"/>
      <c r="V85" s="15"/>
      <c r="W85" s="15"/>
      <c r="X85" s="15"/>
      <c r="Y85" s="15"/>
      <c r="Z85" s="15"/>
    </row>
    <row r="86" spans="1:26" s="239" customFormat="1">
      <c r="A86" s="258" t="s">
        <v>49</v>
      </c>
      <c r="B86" s="253" t="s">
        <v>130</v>
      </c>
      <c r="C86" s="253">
        <v>527383</v>
      </c>
      <c r="D86" s="253"/>
      <c r="E86" s="253">
        <v>570594</v>
      </c>
      <c r="F86" s="253"/>
      <c r="G86" s="253">
        <v>584608</v>
      </c>
      <c r="H86" s="253">
        <v>168945</v>
      </c>
      <c r="I86" s="253"/>
      <c r="J86" s="253"/>
      <c r="K86" s="266">
        <v>1851530</v>
      </c>
      <c r="L86" s="253">
        <v>256386</v>
      </c>
      <c r="M86" s="253">
        <v>814596</v>
      </c>
      <c r="N86" s="253">
        <v>112504</v>
      </c>
      <c r="O86" s="253">
        <v>445740</v>
      </c>
      <c r="P86" s="266">
        <v>1629226</v>
      </c>
      <c r="Q86" s="253"/>
      <c r="R86" s="272"/>
      <c r="S86" s="254"/>
      <c r="T86" s="15"/>
      <c r="U86" s="15"/>
      <c r="V86" s="15"/>
      <c r="W86" s="15"/>
      <c r="X86" s="15"/>
      <c r="Y86" s="15"/>
      <c r="Z86" s="15"/>
    </row>
    <row r="87" spans="1:26" s="239" customFormat="1">
      <c r="A87" s="259"/>
      <c r="B87" s="256" t="s">
        <v>134</v>
      </c>
      <c r="C87" s="256">
        <v>542963</v>
      </c>
      <c r="D87" s="256"/>
      <c r="E87" s="256">
        <v>580617</v>
      </c>
      <c r="F87" s="256"/>
      <c r="G87" s="256">
        <v>582775</v>
      </c>
      <c r="H87" s="256">
        <v>174874</v>
      </c>
      <c r="I87" s="256"/>
      <c r="J87" s="256"/>
      <c r="K87" s="267">
        <v>1881229</v>
      </c>
      <c r="L87" s="256">
        <v>265072</v>
      </c>
      <c r="M87" s="256">
        <v>882644</v>
      </c>
      <c r="N87" s="256">
        <v>120330</v>
      </c>
      <c r="O87" s="256">
        <v>447794</v>
      </c>
      <c r="P87" s="267">
        <v>1715840</v>
      </c>
      <c r="Q87" s="256"/>
      <c r="R87" s="273"/>
      <c r="S87" s="257"/>
      <c r="T87" s="15"/>
      <c r="U87" s="15"/>
      <c r="V87" s="15"/>
      <c r="W87" s="15"/>
      <c r="X87" s="15"/>
      <c r="Y87" s="15"/>
      <c r="Z87" s="15"/>
    </row>
    <row r="88" spans="1:26" s="239" customFormat="1">
      <c r="A88" s="259"/>
      <c r="B88" s="253" t="s">
        <v>131</v>
      </c>
      <c r="C88" s="253">
        <v>50889</v>
      </c>
      <c r="D88" s="253">
        <v>0</v>
      </c>
      <c r="E88" s="253">
        <v>46358</v>
      </c>
      <c r="F88" s="253">
        <v>0</v>
      </c>
      <c r="G88" s="253">
        <v>96036</v>
      </c>
      <c r="H88" s="253">
        <v>35476</v>
      </c>
      <c r="I88" s="253">
        <v>0</v>
      </c>
      <c r="J88" s="253">
        <v>0</v>
      </c>
      <c r="K88" s="266">
        <v>228759</v>
      </c>
      <c r="L88" s="253">
        <v>55365</v>
      </c>
      <c r="M88" s="253">
        <v>144707</v>
      </c>
      <c r="N88" s="253">
        <v>24506</v>
      </c>
      <c r="O88" s="253">
        <v>140143</v>
      </c>
      <c r="P88" s="266">
        <v>364721</v>
      </c>
      <c r="Q88" s="253">
        <v>0</v>
      </c>
      <c r="R88" s="272">
        <v>0</v>
      </c>
      <c r="S88" s="254">
        <v>0</v>
      </c>
      <c r="T88" s="15"/>
      <c r="U88" s="15"/>
      <c r="V88" s="15"/>
      <c r="W88" s="15"/>
      <c r="X88" s="15"/>
      <c r="Y88" s="15"/>
      <c r="Z88" s="15"/>
    </row>
    <row r="89" spans="1:26" s="239" customFormat="1">
      <c r="A89" s="259"/>
      <c r="B89" s="256" t="s">
        <v>135</v>
      </c>
      <c r="C89" s="256">
        <v>61870</v>
      </c>
      <c r="D89" s="256">
        <v>0</v>
      </c>
      <c r="E89" s="256">
        <v>67198</v>
      </c>
      <c r="F89" s="256">
        <v>0</v>
      </c>
      <c r="G89" s="256">
        <v>102412</v>
      </c>
      <c r="H89" s="256">
        <v>34297</v>
      </c>
      <c r="I89" s="256">
        <v>0</v>
      </c>
      <c r="J89" s="256">
        <v>0</v>
      </c>
      <c r="K89" s="267">
        <v>265777</v>
      </c>
      <c r="L89" s="256">
        <v>62848</v>
      </c>
      <c r="M89" s="256">
        <v>235842</v>
      </c>
      <c r="N89" s="256">
        <v>28120</v>
      </c>
      <c r="O89" s="256">
        <v>152261</v>
      </c>
      <c r="P89" s="267">
        <v>479071</v>
      </c>
      <c r="Q89" s="256">
        <v>0</v>
      </c>
      <c r="R89" s="273">
        <v>0</v>
      </c>
      <c r="S89" s="257">
        <v>0</v>
      </c>
      <c r="T89" s="15"/>
      <c r="U89" s="15"/>
      <c r="V89" s="15"/>
      <c r="W89" s="15"/>
      <c r="X89" s="15"/>
      <c r="Y89" s="15"/>
      <c r="Z89" s="15"/>
    </row>
    <row r="90" spans="1:26" s="239" customFormat="1">
      <c r="A90" s="259"/>
      <c r="B90" s="253" t="s">
        <v>132</v>
      </c>
      <c r="C90" s="253">
        <v>92405</v>
      </c>
      <c r="D90" s="253"/>
      <c r="E90" s="253">
        <v>48051</v>
      </c>
      <c r="F90" s="253"/>
      <c r="G90" s="253">
        <v>53667</v>
      </c>
      <c r="H90" s="253">
        <v>0</v>
      </c>
      <c r="I90" s="253"/>
      <c r="J90" s="253"/>
      <c r="K90" s="266">
        <v>194123</v>
      </c>
      <c r="L90" s="253">
        <v>0</v>
      </c>
      <c r="M90" s="253">
        <v>0</v>
      </c>
      <c r="N90" s="253">
        <v>0</v>
      </c>
      <c r="O90" s="253">
        <v>0</v>
      </c>
      <c r="P90" s="266">
        <v>0</v>
      </c>
      <c r="Q90" s="253"/>
      <c r="R90" s="272"/>
      <c r="S90" s="254"/>
      <c r="T90" s="15"/>
      <c r="U90" s="15"/>
      <c r="V90" s="15"/>
      <c r="W90" s="15"/>
      <c r="X90" s="15"/>
      <c r="Y90" s="15"/>
      <c r="Z90" s="15"/>
    </row>
    <row r="91" spans="1:26" s="239" customFormat="1">
      <c r="A91" s="259"/>
      <c r="B91" s="256" t="s">
        <v>136</v>
      </c>
      <c r="C91" s="256">
        <v>94236</v>
      </c>
      <c r="D91" s="256"/>
      <c r="E91" s="256">
        <v>48499</v>
      </c>
      <c r="F91" s="256"/>
      <c r="G91" s="256">
        <v>55864</v>
      </c>
      <c r="H91" s="256">
        <v>0</v>
      </c>
      <c r="I91" s="256"/>
      <c r="J91" s="256"/>
      <c r="K91" s="267">
        <v>198599</v>
      </c>
      <c r="L91" s="256">
        <v>0</v>
      </c>
      <c r="M91" s="256">
        <v>0</v>
      </c>
      <c r="N91" s="256">
        <v>0</v>
      </c>
      <c r="O91" s="256">
        <v>0</v>
      </c>
      <c r="P91" s="267">
        <v>0</v>
      </c>
      <c r="Q91" s="256"/>
      <c r="R91" s="273"/>
      <c r="S91" s="257"/>
      <c r="T91" s="15"/>
      <c r="U91" s="15"/>
      <c r="V91" s="15"/>
      <c r="W91" s="15"/>
      <c r="X91" s="15"/>
      <c r="Y91" s="15"/>
      <c r="Z91" s="15"/>
    </row>
    <row r="92" spans="1:26" s="239" customFormat="1">
      <c r="A92" s="259"/>
      <c r="B92" s="253" t="s">
        <v>133</v>
      </c>
      <c r="C92" s="253">
        <v>11780</v>
      </c>
      <c r="D92" s="253">
        <v>0</v>
      </c>
      <c r="E92" s="253">
        <v>3677</v>
      </c>
      <c r="F92" s="253">
        <v>0</v>
      </c>
      <c r="G92" s="253">
        <v>22579</v>
      </c>
      <c r="H92" s="253">
        <v>0</v>
      </c>
      <c r="I92" s="253">
        <v>0</v>
      </c>
      <c r="J92" s="253">
        <v>0</v>
      </c>
      <c r="K92" s="266">
        <v>38036</v>
      </c>
      <c r="L92" s="253">
        <v>0</v>
      </c>
      <c r="M92" s="253">
        <v>0</v>
      </c>
      <c r="N92" s="253">
        <v>0</v>
      </c>
      <c r="O92" s="253">
        <v>0</v>
      </c>
      <c r="P92" s="266">
        <v>0</v>
      </c>
      <c r="Q92" s="253">
        <v>0</v>
      </c>
      <c r="R92" s="272">
        <v>0</v>
      </c>
      <c r="S92" s="254">
        <v>0</v>
      </c>
      <c r="T92" s="15"/>
      <c r="U92" s="15"/>
      <c r="V92" s="15"/>
      <c r="W92" s="15"/>
      <c r="X92" s="15"/>
      <c r="Y92" s="15"/>
      <c r="Z92" s="15"/>
    </row>
    <row r="93" spans="1:26" s="239" customFormat="1">
      <c r="A93" s="260"/>
      <c r="B93" s="256" t="s">
        <v>137</v>
      </c>
      <c r="C93" s="256">
        <v>16558</v>
      </c>
      <c r="D93" s="256">
        <v>0</v>
      </c>
      <c r="E93" s="256">
        <v>5660</v>
      </c>
      <c r="F93" s="256">
        <v>0</v>
      </c>
      <c r="G93" s="256">
        <v>22174</v>
      </c>
      <c r="H93" s="256">
        <v>0</v>
      </c>
      <c r="I93" s="256">
        <v>0</v>
      </c>
      <c r="J93" s="256">
        <v>0</v>
      </c>
      <c r="K93" s="267">
        <v>44392</v>
      </c>
      <c r="L93" s="256">
        <v>0</v>
      </c>
      <c r="M93" s="256">
        <v>0</v>
      </c>
      <c r="N93" s="256">
        <v>0</v>
      </c>
      <c r="O93" s="256">
        <v>0</v>
      </c>
      <c r="P93" s="267">
        <v>0</v>
      </c>
      <c r="Q93" s="256">
        <v>0</v>
      </c>
      <c r="R93" s="273">
        <v>0</v>
      </c>
      <c r="S93" s="257">
        <v>0</v>
      </c>
      <c r="T93" s="15"/>
      <c r="U93" s="15"/>
      <c r="V93" s="15"/>
      <c r="W93" s="15"/>
      <c r="X93" s="15"/>
      <c r="Y93" s="15"/>
      <c r="Z93" s="15"/>
    </row>
    <row r="94" spans="1:26" s="239" customFormat="1">
      <c r="A94" s="258" t="s">
        <v>50</v>
      </c>
      <c r="B94" s="253" t="s">
        <v>130</v>
      </c>
      <c r="C94" s="253">
        <v>1096262</v>
      </c>
      <c r="D94" s="253"/>
      <c r="E94" s="253">
        <v>438067.5</v>
      </c>
      <c r="F94" s="253">
        <v>85876</v>
      </c>
      <c r="G94" s="253">
        <v>454983</v>
      </c>
      <c r="H94" s="253">
        <v>361664.5</v>
      </c>
      <c r="I94" s="253"/>
      <c r="J94" s="253"/>
      <c r="K94" s="266">
        <v>2436853</v>
      </c>
      <c r="L94" s="253"/>
      <c r="M94" s="253">
        <v>1329057</v>
      </c>
      <c r="N94" s="253">
        <v>803203</v>
      </c>
      <c r="O94" s="253">
        <v>235856</v>
      </c>
      <c r="P94" s="266">
        <v>2368116</v>
      </c>
      <c r="Q94" s="253"/>
      <c r="R94" s="272"/>
      <c r="S94" s="254"/>
      <c r="T94" s="15"/>
      <c r="U94" s="15"/>
      <c r="V94" s="15"/>
      <c r="W94" s="15"/>
      <c r="X94" s="15"/>
      <c r="Y94" s="15"/>
      <c r="Z94" s="15"/>
    </row>
    <row r="95" spans="1:26" s="239" customFormat="1">
      <c r="A95" s="259"/>
      <c r="B95" s="256" t="s">
        <v>134</v>
      </c>
      <c r="C95" s="256">
        <v>1166277</v>
      </c>
      <c r="D95" s="256"/>
      <c r="E95" s="256">
        <v>445886</v>
      </c>
      <c r="F95" s="256">
        <v>87469</v>
      </c>
      <c r="G95" s="256">
        <v>467191</v>
      </c>
      <c r="H95" s="256">
        <v>392132</v>
      </c>
      <c r="I95" s="256"/>
      <c r="J95" s="256"/>
      <c r="K95" s="267">
        <v>2558955</v>
      </c>
      <c r="L95" s="256"/>
      <c r="M95" s="256">
        <v>1425625.79</v>
      </c>
      <c r="N95" s="256">
        <v>906819.92</v>
      </c>
      <c r="O95" s="256">
        <v>258949.58</v>
      </c>
      <c r="P95" s="267">
        <v>2591395.29</v>
      </c>
      <c r="Q95" s="256"/>
      <c r="R95" s="273"/>
      <c r="S95" s="257"/>
      <c r="T95" s="15"/>
      <c r="U95" s="15"/>
      <c r="V95" s="15"/>
      <c r="W95" s="15"/>
      <c r="X95" s="15"/>
      <c r="Y95" s="15"/>
      <c r="Z95" s="15"/>
    </row>
    <row r="96" spans="1:26" s="239" customFormat="1">
      <c r="A96" s="259"/>
      <c r="B96" s="253" t="s">
        <v>131</v>
      </c>
      <c r="C96" s="253">
        <v>42584</v>
      </c>
      <c r="D96" s="253">
        <v>0</v>
      </c>
      <c r="E96" s="253">
        <v>0</v>
      </c>
      <c r="F96" s="253">
        <v>219</v>
      </c>
      <c r="G96" s="253">
        <v>10168.469999999999</v>
      </c>
      <c r="H96" s="253">
        <v>21272</v>
      </c>
      <c r="I96" s="253">
        <v>0</v>
      </c>
      <c r="J96" s="253">
        <v>0</v>
      </c>
      <c r="K96" s="266">
        <v>74243.47</v>
      </c>
      <c r="L96" s="253">
        <v>0</v>
      </c>
      <c r="M96" s="253">
        <v>268536</v>
      </c>
      <c r="N96" s="253">
        <v>181773</v>
      </c>
      <c r="O96" s="253">
        <v>30293</v>
      </c>
      <c r="P96" s="266">
        <v>480602</v>
      </c>
      <c r="Q96" s="253">
        <v>0</v>
      </c>
      <c r="R96" s="272">
        <v>0</v>
      </c>
      <c r="S96" s="254">
        <v>0</v>
      </c>
      <c r="T96" s="15"/>
      <c r="U96" s="15"/>
      <c r="V96" s="15"/>
      <c r="W96" s="15"/>
      <c r="X96" s="15"/>
      <c r="Y96" s="15"/>
      <c r="Z96" s="15"/>
    </row>
    <row r="97" spans="1:26" s="239" customFormat="1">
      <c r="A97" s="259"/>
      <c r="B97" s="256" t="s">
        <v>135</v>
      </c>
      <c r="C97" s="256">
        <v>46156</v>
      </c>
      <c r="D97" s="256">
        <v>0</v>
      </c>
      <c r="E97" s="256">
        <v>4166</v>
      </c>
      <c r="F97" s="256">
        <v>620</v>
      </c>
      <c r="G97" s="256">
        <v>18486</v>
      </c>
      <c r="H97" s="256">
        <v>23966</v>
      </c>
      <c r="I97" s="256">
        <v>0</v>
      </c>
      <c r="J97" s="256">
        <v>0</v>
      </c>
      <c r="K97" s="267">
        <v>93394</v>
      </c>
      <c r="L97" s="256">
        <v>0</v>
      </c>
      <c r="M97" s="256">
        <v>263953</v>
      </c>
      <c r="N97" s="256">
        <v>181047</v>
      </c>
      <c r="O97" s="256">
        <v>25970</v>
      </c>
      <c r="P97" s="267">
        <v>470970</v>
      </c>
      <c r="Q97" s="256">
        <v>0</v>
      </c>
      <c r="R97" s="273">
        <v>0</v>
      </c>
      <c r="S97" s="257">
        <v>0</v>
      </c>
      <c r="T97" s="15"/>
      <c r="U97" s="15"/>
      <c r="V97" s="15"/>
      <c r="W97" s="15"/>
      <c r="X97" s="15"/>
      <c r="Y97" s="15"/>
      <c r="Z97" s="15"/>
    </row>
    <row r="98" spans="1:26" s="239" customFormat="1">
      <c r="A98" s="259"/>
      <c r="B98" s="253" t="s">
        <v>132</v>
      </c>
      <c r="C98" s="253">
        <v>190348</v>
      </c>
      <c r="D98" s="253"/>
      <c r="E98" s="253">
        <v>36387</v>
      </c>
      <c r="F98" s="253">
        <v>15502</v>
      </c>
      <c r="G98" s="253">
        <v>25034</v>
      </c>
      <c r="H98" s="253">
        <v>4397</v>
      </c>
      <c r="I98" s="253"/>
      <c r="J98" s="253"/>
      <c r="K98" s="266">
        <v>271668</v>
      </c>
      <c r="L98" s="253"/>
      <c r="M98" s="253">
        <v>0</v>
      </c>
      <c r="N98" s="253">
        <v>0</v>
      </c>
      <c r="O98" s="253">
        <v>0</v>
      </c>
      <c r="P98" s="266">
        <v>0</v>
      </c>
      <c r="Q98" s="253"/>
      <c r="R98" s="272"/>
      <c r="S98" s="254"/>
      <c r="T98" s="15"/>
      <c r="U98" s="15"/>
      <c r="V98" s="15"/>
      <c r="W98" s="15"/>
      <c r="X98" s="15"/>
      <c r="Y98" s="15"/>
      <c r="Z98" s="15"/>
    </row>
    <row r="99" spans="1:26" s="239" customFormat="1">
      <c r="A99" s="259"/>
      <c r="B99" s="256" t="s">
        <v>136</v>
      </c>
      <c r="C99" s="256">
        <v>195493</v>
      </c>
      <c r="D99" s="256"/>
      <c r="E99" s="256">
        <v>37636</v>
      </c>
      <c r="F99" s="256">
        <v>16062</v>
      </c>
      <c r="G99" s="256">
        <v>24729</v>
      </c>
      <c r="H99" s="256">
        <v>4253</v>
      </c>
      <c r="I99" s="256"/>
      <c r="J99" s="256"/>
      <c r="K99" s="267">
        <v>278173</v>
      </c>
      <c r="L99" s="256"/>
      <c r="M99" s="256">
        <v>0</v>
      </c>
      <c r="N99" s="256">
        <v>0</v>
      </c>
      <c r="O99" s="256">
        <v>0</v>
      </c>
      <c r="P99" s="267">
        <v>0</v>
      </c>
      <c r="Q99" s="256"/>
      <c r="R99" s="273"/>
      <c r="S99" s="257"/>
      <c r="T99" s="15"/>
      <c r="U99" s="15"/>
      <c r="V99" s="15"/>
      <c r="W99" s="15"/>
      <c r="X99" s="15"/>
      <c r="Y99" s="15"/>
      <c r="Z99" s="15"/>
    </row>
    <row r="100" spans="1:26" s="239" customFormat="1">
      <c r="A100" s="259"/>
      <c r="B100" s="253" t="s">
        <v>133</v>
      </c>
      <c r="C100" s="253">
        <v>37640</v>
      </c>
      <c r="D100" s="253">
        <v>0</v>
      </c>
      <c r="E100" s="253">
        <v>491</v>
      </c>
      <c r="F100" s="253">
        <v>237</v>
      </c>
      <c r="G100" s="253">
        <v>3057</v>
      </c>
      <c r="H100" s="253">
        <v>1458</v>
      </c>
      <c r="I100" s="253">
        <v>0</v>
      </c>
      <c r="J100" s="253">
        <v>0</v>
      </c>
      <c r="K100" s="266">
        <v>42883</v>
      </c>
      <c r="L100" s="253">
        <v>0</v>
      </c>
      <c r="M100" s="253">
        <v>0</v>
      </c>
      <c r="N100" s="253">
        <v>0</v>
      </c>
      <c r="O100" s="253">
        <v>0</v>
      </c>
      <c r="P100" s="266">
        <v>0</v>
      </c>
      <c r="Q100" s="253">
        <v>0</v>
      </c>
      <c r="R100" s="272">
        <v>0</v>
      </c>
      <c r="S100" s="254">
        <v>0</v>
      </c>
      <c r="T100" s="15"/>
      <c r="U100" s="15"/>
      <c r="V100" s="15"/>
      <c r="W100" s="15"/>
      <c r="X100" s="15"/>
      <c r="Y100" s="15"/>
      <c r="Z100" s="15"/>
    </row>
    <row r="101" spans="1:26" s="239" customFormat="1">
      <c r="A101" s="260"/>
      <c r="B101" s="256" t="s">
        <v>137</v>
      </c>
      <c r="C101" s="256">
        <v>38628</v>
      </c>
      <c r="D101" s="256">
        <v>0</v>
      </c>
      <c r="E101" s="256">
        <v>2569</v>
      </c>
      <c r="F101" s="256">
        <v>1530</v>
      </c>
      <c r="G101" s="256">
        <v>3836</v>
      </c>
      <c r="H101" s="256">
        <v>1212</v>
      </c>
      <c r="I101" s="256">
        <v>0</v>
      </c>
      <c r="J101" s="256">
        <v>0</v>
      </c>
      <c r="K101" s="267">
        <v>47775</v>
      </c>
      <c r="L101" s="256">
        <v>0</v>
      </c>
      <c r="M101" s="256">
        <v>0</v>
      </c>
      <c r="N101" s="256">
        <v>0</v>
      </c>
      <c r="O101" s="256">
        <v>0</v>
      </c>
      <c r="P101" s="267">
        <v>0</v>
      </c>
      <c r="Q101" s="256">
        <v>0</v>
      </c>
      <c r="R101" s="273">
        <v>0</v>
      </c>
      <c r="S101" s="257">
        <v>0</v>
      </c>
      <c r="T101" s="15"/>
      <c r="U101" s="15"/>
      <c r="V101" s="15"/>
      <c r="W101" s="15"/>
      <c r="X101" s="15"/>
      <c r="Y101" s="15"/>
      <c r="Z101" s="15"/>
    </row>
    <row r="102" spans="1:26" s="239" customFormat="1">
      <c r="A102" s="258" t="s">
        <v>51</v>
      </c>
      <c r="B102" s="253" t="s">
        <v>130</v>
      </c>
      <c r="C102" s="253">
        <v>990540</v>
      </c>
      <c r="D102" s="253">
        <v>182408</v>
      </c>
      <c r="E102" s="253">
        <v>1668369</v>
      </c>
      <c r="F102" s="253"/>
      <c r="G102" s="253">
        <v>189533</v>
      </c>
      <c r="H102" s="253"/>
      <c r="I102" s="253"/>
      <c r="J102" s="253"/>
      <c r="K102" s="266">
        <v>3030850</v>
      </c>
      <c r="L102" s="253"/>
      <c r="M102" s="253">
        <v>1083827</v>
      </c>
      <c r="N102" s="253">
        <v>902544</v>
      </c>
      <c r="O102" s="253"/>
      <c r="P102" s="266">
        <v>1986371</v>
      </c>
      <c r="Q102" s="253"/>
      <c r="R102" s="272">
        <v>0</v>
      </c>
      <c r="S102" s="254">
        <v>0</v>
      </c>
      <c r="T102" s="15"/>
      <c r="U102" s="15"/>
      <c r="V102" s="15"/>
      <c r="W102" s="15"/>
      <c r="X102" s="15"/>
      <c r="Y102" s="15"/>
      <c r="Z102" s="15"/>
    </row>
    <row r="103" spans="1:26" s="239" customFormat="1">
      <c r="A103" s="259"/>
      <c r="B103" s="256" t="s">
        <v>134</v>
      </c>
      <c r="C103" s="256">
        <v>1098614</v>
      </c>
      <c r="D103" s="256">
        <v>183269</v>
      </c>
      <c r="E103" s="256">
        <v>1645112.3</v>
      </c>
      <c r="F103" s="256"/>
      <c r="G103" s="256">
        <v>204980</v>
      </c>
      <c r="H103" s="256"/>
      <c r="I103" s="256"/>
      <c r="J103" s="256"/>
      <c r="K103" s="267">
        <v>3131975.3</v>
      </c>
      <c r="L103" s="256"/>
      <c r="M103" s="256">
        <v>1098901.5</v>
      </c>
      <c r="N103" s="256">
        <v>885936</v>
      </c>
      <c r="O103" s="256"/>
      <c r="P103" s="267">
        <v>1984837.5</v>
      </c>
      <c r="Q103" s="256"/>
      <c r="R103" s="273">
        <v>0</v>
      </c>
      <c r="S103" s="257">
        <v>0</v>
      </c>
      <c r="T103" s="15"/>
      <c r="U103" s="15"/>
      <c r="V103" s="15"/>
      <c r="W103" s="15"/>
      <c r="X103" s="15"/>
      <c r="Y103" s="15"/>
      <c r="Z103" s="15"/>
    </row>
    <row r="104" spans="1:26" s="239" customFormat="1">
      <c r="A104" s="259"/>
      <c r="B104" s="253" t="s">
        <v>131</v>
      </c>
      <c r="C104" s="253">
        <v>138967</v>
      </c>
      <c r="D104" s="253">
        <v>13379</v>
      </c>
      <c r="E104" s="253">
        <v>228266</v>
      </c>
      <c r="F104" s="253">
        <v>0</v>
      </c>
      <c r="G104" s="253">
        <v>11593</v>
      </c>
      <c r="H104" s="253">
        <v>0</v>
      </c>
      <c r="I104" s="253">
        <v>0</v>
      </c>
      <c r="J104" s="253">
        <v>0</v>
      </c>
      <c r="K104" s="266">
        <v>392205</v>
      </c>
      <c r="L104" s="253">
        <v>0</v>
      </c>
      <c r="M104" s="253">
        <v>237733</v>
      </c>
      <c r="N104" s="253">
        <v>220062</v>
      </c>
      <c r="O104" s="253">
        <v>0</v>
      </c>
      <c r="P104" s="266">
        <v>457795</v>
      </c>
      <c r="Q104" s="253">
        <v>0</v>
      </c>
      <c r="R104" s="272">
        <v>0</v>
      </c>
      <c r="S104" s="254">
        <v>0</v>
      </c>
      <c r="T104" s="15"/>
      <c r="U104" s="15"/>
      <c r="V104" s="15"/>
      <c r="W104" s="15"/>
      <c r="X104" s="15"/>
      <c r="Y104" s="15"/>
      <c r="Z104" s="15"/>
    </row>
    <row r="105" spans="1:26" s="239" customFormat="1">
      <c r="A105" s="259"/>
      <c r="B105" s="256" t="s">
        <v>135</v>
      </c>
      <c r="C105" s="256">
        <v>158212</v>
      </c>
      <c r="D105" s="256">
        <v>14647</v>
      </c>
      <c r="E105" s="256">
        <v>256333</v>
      </c>
      <c r="F105" s="256">
        <v>0</v>
      </c>
      <c r="G105" s="256">
        <v>15720</v>
      </c>
      <c r="H105" s="256">
        <v>0</v>
      </c>
      <c r="I105" s="256">
        <v>0</v>
      </c>
      <c r="J105" s="256">
        <v>0</v>
      </c>
      <c r="K105" s="267">
        <v>444912</v>
      </c>
      <c r="L105" s="256">
        <v>0</v>
      </c>
      <c r="M105" s="256">
        <v>245835</v>
      </c>
      <c r="N105" s="256">
        <v>220912</v>
      </c>
      <c r="O105" s="256">
        <v>0</v>
      </c>
      <c r="P105" s="267">
        <v>466747</v>
      </c>
      <c r="Q105" s="256">
        <v>0</v>
      </c>
      <c r="R105" s="273">
        <v>0</v>
      </c>
      <c r="S105" s="257">
        <v>0</v>
      </c>
      <c r="T105" s="15"/>
      <c r="U105" s="15"/>
      <c r="V105" s="15"/>
      <c r="W105" s="15"/>
      <c r="X105" s="15"/>
      <c r="Y105" s="15"/>
      <c r="Z105" s="15"/>
    </row>
    <row r="106" spans="1:26" s="239" customFormat="1">
      <c r="A106" s="259"/>
      <c r="B106" s="253" t="s">
        <v>132</v>
      </c>
      <c r="C106" s="253">
        <v>212880</v>
      </c>
      <c r="D106" s="253">
        <v>32856</v>
      </c>
      <c r="E106" s="253">
        <v>152156</v>
      </c>
      <c r="F106" s="253"/>
      <c r="G106" s="253">
        <v>6675</v>
      </c>
      <c r="H106" s="253"/>
      <c r="I106" s="253"/>
      <c r="J106" s="253"/>
      <c r="K106" s="266">
        <v>404567</v>
      </c>
      <c r="L106" s="253"/>
      <c r="M106" s="253">
        <v>0</v>
      </c>
      <c r="N106" s="253">
        <v>0</v>
      </c>
      <c r="O106" s="253"/>
      <c r="P106" s="266">
        <v>0</v>
      </c>
      <c r="Q106" s="253"/>
      <c r="R106" s="272">
        <v>0</v>
      </c>
      <c r="S106" s="254">
        <v>0</v>
      </c>
      <c r="T106" s="15"/>
      <c r="U106" s="15"/>
      <c r="V106" s="15"/>
      <c r="W106" s="15"/>
      <c r="X106" s="15"/>
      <c r="Y106" s="15"/>
      <c r="Z106" s="15"/>
    </row>
    <row r="107" spans="1:26" s="239" customFormat="1">
      <c r="A107" s="259"/>
      <c r="B107" s="256" t="s">
        <v>136</v>
      </c>
      <c r="C107" s="256">
        <v>168522.90000000002</v>
      </c>
      <c r="D107" s="256">
        <v>30967</v>
      </c>
      <c r="E107" s="256">
        <v>140021</v>
      </c>
      <c r="F107" s="256"/>
      <c r="G107" s="256">
        <v>7227</v>
      </c>
      <c r="H107" s="256"/>
      <c r="I107" s="256"/>
      <c r="J107" s="256"/>
      <c r="K107" s="267">
        <v>346737.9</v>
      </c>
      <c r="L107" s="256"/>
      <c r="M107" s="256">
        <v>0</v>
      </c>
      <c r="N107" s="256">
        <v>0</v>
      </c>
      <c r="O107" s="256"/>
      <c r="P107" s="267">
        <v>0</v>
      </c>
      <c r="Q107" s="256"/>
      <c r="R107" s="273">
        <v>0</v>
      </c>
      <c r="S107" s="257">
        <v>0</v>
      </c>
      <c r="T107" s="15"/>
      <c r="U107" s="15"/>
      <c r="V107" s="15"/>
      <c r="W107" s="15"/>
      <c r="X107" s="15"/>
      <c r="Y107" s="15"/>
      <c r="Z107" s="15"/>
    </row>
    <row r="108" spans="1:26" s="239" customFormat="1">
      <c r="A108" s="259"/>
      <c r="B108" s="253" t="s">
        <v>133</v>
      </c>
      <c r="C108" s="253">
        <v>30851</v>
      </c>
      <c r="D108" s="253">
        <v>1975</v>
      </c>
      <c r="E108" s="253">
        <v>33829</v>
      </c>
      <c r="F108" s="253">
        <v>0</v>
      </c>
      <c r="G108" s="253">
        <v>3896</v>
      </c>
      <c r="H108" s="253">
        <v>0</v>
      </c>
      <c r="I108" s="253">
        <v>0</v>
      </c>
      <c r="J108" s="253">
        <v>0</v>
      </c>
      <c r="K108" s="266">
        <v>70551</v>
      </c>
      <c r="L108" s="253">
        <v>0</v>
      </c>
      <c r="M108" s="253">
        <v>0</v>
      </c>
      <c r="N108" s="253">
        <v>0</v>
      </c>
      <c r="O108" s="253">
        <v>0</v>
      </c>
      <c r="P108" s="266">
        <v>0</v>
      </c>
      <c r="Q108" s="253">
        <v>0</v>
      </c>
      <c r="R108" s="272">
        <v>0</v>
      </c>
      <c r="S108" s="254">
        <v>0</v>
      </c>
      <c r="T108" s="15"/>
      <c r="U108" s="15"/>
      <c r="V108" s="15"/>
      <c r="W108" s="15"/>
      <c r="X108" s="15"/>
      <c r="Y108" s="15"/>
      <c r="Z108" s="15"/>
    </row>
    <row r="109" spans="1:26" s="239" customFormat="1">
      <c r="A109" s="260"/>
      <c r="B109" s="256" t="s">
        <v>137</v>
      </c>
      <c r="C109" s="256">
        <v>33483.300000000003</v>
      </c>
      <c r="D109" s="256">
        <v>5253</v>
      </c>
      <c r="E109" s="256">
        <v>46526</v>
      </c>
      <c r="F109" s="256">
        <v>0</v>
      </c>
      <c r="G109" s="256">
        <v>5048</v>
      </c>
      <c r="H109" s="256">
        <v>0</v>
      </c>
      <c r="I109" s="256">
        <v>0</v>
      </c>
      <c r="J109" s="256">
        <v>0</v>
      </c>
      <c r="K109" s="267">
        <v>90310.3</v>
      </c>
      <c r="L109" s="256">
        <v>0</v>
      </c>
      <c r="M109" s="256">
        <v>0</v>
      </c>
      <c r="N109" s="256">
        <v>0</v>
      </c>
      <c r="O109" s="256">
        <v>0</v>
      </c>
      <c r="P109" s="267">
        <v>0</v>
      </c>
      <c r="Q109" s="256">
        <v>0</v>
      </c>
      <c r="R109" s="273">
        <v>0</v>
      </c>
      <c r="S109" s="257">
        <v>0</v>
      </c>
      <c r="T109" s="15"/>
      <c r="U109" s="15"/>
      <c r="V109" s="15"/>
      <c r="W109" s="15"/>
      <c r="X109" s="15"/>
      <c r="Y109" s="15"/>
      <c r="Z109" s="15"/>
    </row>
    <row r="110" spans="1:26" s="239" customFormat="1">
      <c r="A110" s="258" t="s">
        <v>52</v>
      </c>
      <c r="B110" s="253" t="s">
        <v>130</v>
      </c>
      <c r="C110" s="253">
        <v>5122035</v>
      </c>
      <c r="D110" s="253">
        <v>1275570</v>
      </c>
      <c r="E110" s="253">
        <v>4170292</v>
      </c>
      <c r="F110" s="253">
        <v>76964</v>
      </c>
      <c r="G110" s="253">
        <v>281735</v>
      </c>
      <c r="H110" s="253">
        <v>49475</v>
      </c>
      <c r="I110" s="253"/>
      <c r="J110" s="253">
        <v>105771</v>
      </c>
      <c r="K110" s="266">
        <v>11081842</v>
      </c>
      <c r="L110" s="253">
        <v>748106</v>
      </c>
      <c r="M110" s="253">
        <v>11171131</v>
      </c>
      <c r="N110" s="253">
        <v>2441495</v>
      </c>
      <c r="O110" s="253">
        <v>411354</v>
      </c>
      <c r="P110" s="266">
        <v>14772086</v>
      </c>
      <c r="Q110" s="253"/>
      <c r="R110" s="272"/>
      <c r="S110" s="254"/>
      <c r="T110" s="15"/>
      <c r="U110" s="15"/>
      <c r="V110" s="15"/>
      <c r="W110" s="15"/>
      <c r="X110" s="15"/>
      <c r="Y110" s="15"/>
      <c r="Z110" s="15"/>
    </row>
    <row r="111" spans="1:26" s="239" customFormat="1">
      <c r="A111" s="259"/>
      <c r="B111" s="256" t="s">
        <v>134</v>
      </c>
      <c r="C111" s="256">
        <v>5276587</v>
      </c>
      <c r="D111" s="256">
        <v>1332619</v>
      </c>
      <c r="E111" s="256">
        <v>4280207</v>
      </c>
      <c r="F111" s="256">
        <v>91001</v>
      </c>
      <c r="G111" s="256">
        <v>284896</v>
      </c>
      <c r="H111" s="256">
        <v>54166</v>
      </c>
      <c r="I111" s="256"/>
      <c r="J111" s="256">
        <v>116692</v>
      </c>
      <c r="K111" s="267">
        <v>11436168</v>
      </c>
      <c r="L111" s="256">
        <v>767841</v>
      </c>
      <c r="M111" s="256">
        <v>11367099</v>
      </c>
      <c r="N111" s="256">
        <v>2412924</v>
      </c>
      <c r="O111" s="256">
        <v>416048</v>
      </c>
      <c r="P111" s="267">
        <v>14963912</v>
      </c>
      <c r="Q111" s="256"/>
      <c r="R111" s="273"/>
      <c r="S111" s="257"/>
      <c r="T111" s="15"/>
      <c r="U111" s="15"/>
      <c r="V111" s="15"/>
      <c r="W111" s="15"/>
      <c r="X111" s="15"/>
      <c r="Y111" s="15"/>
      <c r="Z111" s="15"/>
    </row>
    <row r="112" spans="1:26" s="239" customFormat="1">
      <c r="A112" s="259"/>
      <c r="B112" s="253" t="s">
        <v>131</v>
      </c>
      <c r="C112" s="253">
        <v>370133</v>
      </c>
      <c r="D112" s="253">
        <v>88967</v>
      </c>
      <c r="E112" s="253">
        <v>320146</v>
      </c>
      <c r="F112" s="253">
        <v>41925</v>
      </c>
      <c r="G112" s="253">
        <v>49229</v>
      </c>
      <c r="H112" s="253">
        <v>0</v>
      </c>
      <c r="I112" s="253">
        <v>0</v>
      </c>
      <c r="J112" s="253">
        <v>10340</v>
      </c>
      <c r="K112" s="266">
        <v>880740</v>
      </c>
      <c r="L112" s="253">
        <v>128838</v>
      </c>
      <c r="M112" s="253">
        <v>1907840</v>
      </c>
      <c r="N112" s="253">
        <v>471106</v>
      </c>
      <c r="O112" s="253">
        <v>97384</v>
      </c>
      <c r="P112" s="266">
        <v>2605168</v>
      </c>
      <c r="Q112" s="253">
        <v>0</v>
      </c>
      <c r="R112" s="272">
        <v>0</v>
      </c>
      <c r="S112" s="254">
        <v>0</v>
      </c>
      <c r="T112" s="15"/>
      <c r="U112" s="15"/>
      <c r="V112" s="15"/>
      <c r="W112" s="15"/>
      <c r="X112" s="15"/>
      <c r="Y112" s="15"/>
      <c r="Z112" s="15"/>
    </row>
    <row r="113" spans="1:26" s="239" customFormat="1">
      <c r="A113" s="259"/>
      <c r="B113" s="256" t="s">
        <v>135</v>
      </c>
      <c r="C113" s="256">
        <v>461559</v>
      </c>
      <c r="D113" s="256">
        <v>121592</v>
      </c>
      <c r="E113" s="256">
        <v>412976</v>
      </c>
      <c r="F113" s="256">
        <v>44071</v>
      </c>
      <c r="G113" s="256">
        <v>74644</v>
      </c>
      <c r="H113" s="256">
        <v>0</v>
      </c>
      <c r="I113" s="256">
        <v>0</v>
      </c>
      <c r="J113" s="256">
        <v>30430</v>
      </c>
      <c r="K113" s="267">
        <v>1145272</v>
      </c>
      <c r="L113" s="256">
        <v>148330</v>
      </c>
      <c r="M113" s="256">
        <v>1999366</v>
      </c>
      <c r="N113" s="256">
        <v>534262</v>
      </c>
      <c r="O113" s="256">
        <v>101626</v>
      </c>
      <c r="P113" s="267">
        <v>2783584</v>
      </c>
      <c r="Q113" s="256">
        <v>0</v>
      </c>
      <c r="R113" s="273">
        <v>0</v>
      </c>
      <c r="S113" s="257">
        <v>0</v>
      </c>
      <c r="T113" s="15"/>
      <c r="U113" s="15"/>
      <c r="V113" s="15"/>
      <c r="W113" s="15"/>
      <c r="X113" s="15"/>
      <c r="Y113" s="15"/>
      <c r="Z113" s="15"/>
    </row>
    <row r="114" spans="1:26" s="239" customFormat="1">
      <c r="A114" s="259"/>
      <c r="B114" s="253" t="s">
        <v>132</v>
      </c>
      <c r="C114" s="253">
        <v>1092468</v>
      </c>
      <c r="D114" s="253">
        <v>223134</v>
      </c>
      <c r="E114" s="253">
        <v>671808</v>
      </c>
      <c r="F114" s="253">
        <v>36907</v>
      </c>
      <c r="G114" s="253">
        <v>5625</v>
      </c>
      <c r="H114" s="253">
        <v>996</v>
      </c>
      <c r="I114" s="253"/>
      <c r="J114" s="253">
        <v>29317</v>
      </c>
      <c r="K114" s="266">
        <v>2060255</v>
      </c>
      <c r="L114" s="253">
        <v>0</v>
      </c>
      <c r="M114" s="253">
        <v>0</v>
      </c>
      <c r="N114" s="253">
        <v>0</v>
      </c>
      <c r="O114" s="253">
        <v>0</v>
      </c>
      <c r="P114" s="266">
        <v>0</v>
      </c>
      <c r="Q114" s="253"/>
      <c r="R114" s="272"/>
      <c r="S114" s="254"/>
      <c r="T114" s="15"/>
      <c r="U114" s="15"/>
      <c r="V114" s="15"/>
      <c r="W114" s="15"/>
      <c r="X114" s="15"/>
      <c r="Y114" s="15"/>
      <c r="Z114" s="15"/>
    </row>
    <row r="115" spans="1:26" s="239" customFormat="1">
      <c r="A115" s="259"/>
      <c r="B115" s="256" t="s">
        <v>136</v>
      </c>
      <c r="C115" s="256">
        <v>1116832</v>
      </c>
      <c r="D115" s="256">
        <v>231841</v>
      </c>
      <c r="E115" s="256">
        <v>665862</v>
      </c>
      <c r="F115" s="256">
        <v>34839</v>
      </c>
      <c r="G115" s="256">
        <v>5445</v>
      </c>
      <c r="H115" s="256">
        <v>1211</v>
      </c>
      <c r="I115" s="256"/>
      <c r="J115" s="256">
        <v>30219</v>
      </c>
      <c r="K115" s="267">
        <v>2086249</v>
      </c>
      <c r="L115" s="256">
        <v>0</v>
      </c>
      <c r="M115" s="256">
        <v>0</v>
      </c>
      <c r="N115" s="256">
        <v>0</v>
      </c>
      <c r="O115" s="256">
        <v>0</v>
      </c>
      <c r="P115" s="267">
        <v>0</v>
      </c>
      <c r="Q115" s="256"/>
      <c r="R115" s="273"/>
      <c r="S115" s="257"/>
      <c r="T115" s="15"/>
      <c r="U115" s="15"/>
      <c r="V115" s="15"/>
      <c r="W115" s="15"/>
      <c r="X115" s="15"/>
      <c r="Y115" s="15"/>
      <c r="Z115" s="15"/>
    </row>
    <row r="116" spans="1:26" s="239" customFormat="1">
      <c r="A116" s="259"/>
      <c r="B116" s="253" t="s">
        <v>133</v>
      </c>
      <c r="C116" s="253">
        <v>118870</v>
      </c>
      <c r="D116" s="253">
        <v>62151</v>
      </c>
      <c r="E116" s="253">
        <v>228591</v>
      </c>
      <c r="F116" s="253">
        <v>23394</v>
      </c>
      <c r="G116" s="253">
        <v>1632</v>
      </c>
      <c r="H116" s="253">
        <v>63</v>
      </c>
      <c r="I116" s="253">
        <v>0</v>
      </c>
      <c r="J116" s="253">
        <v>2227</v>
      </c>
      <c r="K116" s="266">
        <v>436928</v>
      </c>
      <c r="L116" s="253">
        <v>0</v>
      </c>
      <c r="M116" s="253">
        <v>0</v>
      </c>
      <c r="N116" s="253">
        <v>0</v>
      </c>
      <c r="O116" s="253">
        <v>0</v>
      </c>
      <c r="P116" s="266">
        <v>0</v>
      </c>
      <c r="Q116" s="253">
        <v>0</v>
      </c>
      <c r="R116" s="272">
        <v>0</v>
      </c>
      <c r="S116" s="254">
        <v>0</v>
      </c>
      <c r="T116" s="15"/>
      <c r="U116" s="15"/>
      <c r="V116" s="15"/>
      <c r="W116" s="15"/>
      <c r="X116" s="15"/>
      <c r="Y116" s="15"/>
      <c r="Z116" s="15"/>
    </row>
    <row r="117" spans="1:26" s="239" customFormat="1">
      <c r="A117" s="260"/>
      <c r="B117" s="256" t="s">
        <v>137</v>
      </c>
      <c r="C117" s="256">
        <v>138497</v>
      </c>
      <c r="D117" s="256">
        <v>68386</v>
      </c>
      <c r="E117" s="256">
        <v>240872</v>
      </c>
      <c r="F117" s="256">
        <v>23799</v>
      </c>
      <c r="G117" s="256">
        <v>1920</v>
      </c>
      <c r="H117" s="256">
        <v>97</v>
      </c>
      <c r="I117" s="256">
        <v>0</v>
      </c>
      <c r="J117" s="256">
        <v>12118</v>
      </c>
      <c r="K117" s="267">
        <v>485689</v>
      </c>
      <c r="L117" s="256">
        <v>0</v>
      </c>
      <c r="M117" s="256">
        <v>0</v>
      </c>
      <c r="N117" s="256">
        <v>0</v>
      </c>
      <c r="O117" s="256">
        <v>0</v>
      </c>
      <c r="P117" s="267">
        <v>0</v>
      </c>
      <c r="Q117" s="256">
        <v>0</v>
      </c>
      <c r="R117" s="273">
        <v>0</v>
      </c>
      <c r="S117" s="257">
        <v>0</v>
      </c>
      <c r="T117" s="15"/>
      <c r="U117" s="15"/>
      <c r="V117" s="15"/>
      <c r="W117" s="15"/>
      <c r="X117" s="15"/>
      <c r="Y117" s="15"/>
      <c r="Z117" s="15"/>
    </row>
    <row r="118" spans="1:26" s="239" customFormat="1">
      <c r="A118" s="258" t="s">
        <v>53</v>
      </c>
      <c r="B118" s="253" t="s">
        <v>130</v>
      </c>
      <c r="C118" s="253">
        <v>2239653.5</v>
      </c>
      <c r="D118" s="253">
        <v>817799</v>
      </c>
      <c r="E118" s="253">
        <v>667628</v>
      </c>
      <c r="F118" s="253">
        <v>512517</v>
      </c>
      <c r="G118" s="253">
        <v>264323</v>
      </c>
      <c r="H118" s="253">
        <v>50690.3</v>
      </c>
      <c r="I118" s="253"/>
      <c r="J118" s="253"/>
      <c r="K118" s="266">
        <v>4552610.8</v>
      </c>
      <c r="L118" s="253"/>
      <c r="M118" s="253">
        <v>2108344</v>
      </c>
      <c r="N118" s="253">
        <v>1381549</v>
      </c>
      <c r="O118" s="253">
        <v>292921</v>
      </c>
      <c r="P118" s="266">
        <v>3782814</v>
      </c>
      <c r="Q118" s="253"/>
      <c r="R118" s="272"/>
      <c r="S118" s="254"/>
      <c r="T118" s="15"/>
      <c r="U118" s="15"/>
      <c r="V118" s="15"/>
      <c r="W118" s="15"/>
      <c r="X118" s="15"/>
      <c r="Y118" s="15"/>
      <c r="Z118" s="15"/>
    </row>
    <row r="119" spans="1:26" s="239" customFormat="1">
      <c r="A119" s="259"/>
      <c r="B119" s="256" t="s">
        <v>134</v>
      </c>
      <c r="C119" s="256">
        <v>2289603</v>
      </c>
      <c r="D119" s="256">
        <v>825507.5</v>
      </c>
      <c r="E119" s="256">
        <v>694589</v>
      </c>
      <c r="F119" s="256">
        <v>542305</v>
      </c>
      <c r="G119" s="256">
        <v>253503</v>
      </c>
      <c r="H119" s="256">
        <v>51098</v>
      </c>
      <c r="I119" s="256"/>
      <c r="J119" s="256"/>
      <c r="K119" s="267">
        <v>4656605.5</v>
      </c>
      <c r="L119" s="256"/>
      <c r="M119" s="256">
        <v>2216538</v>
      </c>
      <c r="N119" s="256">
        <v>1313749</v>
      </c>
      <c r="O119" s="256">
        <v>378830</v>
      </c>
      <c r="P119" s="267">
        <v>3909117</v>
      </c>
      <c r="Q119" s="256"/>
      <c r="R119" s="273"/>
      <c r="S119" s="257"/>
      <c r="T119" s="15"/>
      <c r="U119" s="15"/>
      <c r="V119" s="15"/>
      <c r="W119" s="15"/>
      <c r="X119" s="15"/>
      <c r="Y119" s="15"/>
      <c r="Z119" s="15"/>
    </row>
    <row r="120" spans="1:26" s="239" customFormat="1">
      <c r="A120" s="259"/>
      <c r="B120" s="253" t="s">
        <v>131</v>
      </c>
      <c r="C120" s="253">
        <v>86712</v>
      </c>
      <c r="D120" s="253">
        <v>15580</v>
      </c>
      <c r="E120" s="253">
        <v>18759</v>
      </c>
      <c r="F120" s="253">
        <v>10325</v>
      </c>
      <c r="G120" s="253">
        <v>5733</v>
      </c>
      <c r="H120" s="253">
        <v>2020</v>
      </c>
      <c r="I120" s="253">
        <v>0</v>
      </c>
      <c r="J120" s="253">
        <v>0</v>
      </c>
      <c r="K120" s="266">
        <v>139129</v>
      </c>
      <c r="L120" s="253">
        <v>0</v>
      </c>
      <c r="M120" s="253">
        <v>475722</v>
      </c>
      <c r="N120" s="253">
        <v>330383</v>
      </c>
      <c r="O120" s="253">
        <v>87657</v>
      </c>
      <c r="P120" s="266">
        <v>893762</v>
      </c>
      <c r="Q120" s="253">
        <v>0</v>
      </c>
      <c r="R120" s="272">
        <v>0</v>
      </c>
      <c r="S120" s="254">
        <v>0</v>
      </c>
      <c r="T120" s="15"/>
      <c r="U120" s="15"/>
      <c r="V120" s="15"/>
      <c r="W120" s="15"/>
      <c r="X120" s="15"/>
      <c r="Y120" s="15"/>
      <c r="Z120" s="15"/>
    </row>
    <row r="121" spans="1:26" s="239" customFormat="1">
      <c r="A121" s="259"/>
      <c r="B121" s="256" t="s">
        <v>135</v>
      </c>
      <c r="C121" s="256">
        <v>99302</v>
      </c>
      <c r="D121" s="256">
        <v>24280</v>
      </c>
      <c r="E121" s="256">
        <v>39964</v>
      </c>
      <c r="F121" s="256">
        <v>2752</v>
      </c>
      <c r="G121" s="256">
        <v>12099</v>
      </c>
      <c r="H121" s="256">
        <v>1704</v>
      </c>
      <c r="I121" s="256">
        <v>0</v>
      </c>
      <c r="J121" s="256">
        <v>0</v>
      </c>
      <c r="K121" s="267">
        <v>180101</v>
      </c>
      <c r="L121" s="256">
        <v>0</v>
      </c>
      <c r="M121" s="256">
        <v>524476</v>
      </c>
      <c r="N121" s="256">
        <v>378686</v>
      </c>
      <c r="O121" s="256">
        <v>94911</v>
      </c>
      <c r="P121" s="267">
        <v>998073</v>
      </c>
      <c r="Q121" s="256">
        <v>0</v>
      </c>
      <c r="R121" s="273">
        <v>0</v>
      </c>
      <c r="S121" s="257">
        <v>0</v>
      </c>
      <c r="T121" s="15"/>
      <c r="U121" s="15"/>
      <c r="V121" s="15"/>
      <c r="W121" s="15"/>
      <c r="X121" s="15"/>
      <c r="Y121" s="15"/>
      <c r="Z121" s="15"/>
    </row>
    <row r="122" spans="1:26" s="239" customFormat="1">
      <c r="A122" s="259"/>
      <c r="B122" s="253" t="s">
        <v>132</v>
      </c>
      <c r="C122" s="253">
        <v>595754.89999999793</v>
      </c>
      <c r="D122" s="253">
        <v>200638.5</v>
      </c>
      <c r="E122" s="253">
        <v>45429</v>
      </c>
      <c r="F122" s="253">
        <v>37702</v>
      </c>
      <c r="G122" s="253">
        <v>15072</v>
      </c>
      <c r="H122" s="253">
        <v>0</v>
      </c>
      <c r="I122" s="253"/>
      <c r="J122" s="253"/>
      <c r="K122" s="266">
        <v>894596.39999999793</v>
      </c>
      <c r="L122" s="253"/>
      <c r="M122" s="253">
        <v>0</v>
      </c>
      <c r="N122" s="253">
        <v>0</v>
      </c>
      <c r="O122" s="253">
        <v>0</v>
      </c>
      <c r="P122" s="266">
        <v>0</v>
      </c>
      <c r="Q122" s="253"/>
      <c r="R122" s="272"/>
      <c r="S122" s="254"/>
      <c r="T122" s="15"/>
      <c r="U122" s="15"/>
      <c r="V122" s="15"/>
      <c r="W122" s="15"/>
      <c r="X122" s="15"/>
      <c r="Y122" s="15"/>
      <c r="Z122" s="15"/>
    </row>
    <row r="123" spans="1:26" s="239" customFormat="1">
      <c r="A123" s="259"/>
      <c r="B123" s="256" t="s">
        <v>136</v>
      </c>
      <c r="C123" s="256">
        <v>603432.5</v>
      </c>
      <c r="D123" s="256">
        <v>195551.5</v>
      </c>
      <c r="E123" s="256">
        <v>47901</v>
      </c>
      <c r="F123" s="256">
        <v>34168</v>
      </c>
      <c r="G123" s="256">
        <v>17478</v>
      </c>
      <c r="H123" s="256">
        <v>0</v>
      </c>
      <c r="I123" s="256"/>
      <c r="J123" s="256"/>
      <c r="K123" s="267">
        <v>898531</v>
      </c>
      <c r="L123" s="256"/>
      <c r="M123" s="256">
        <v>0</v>
      </c>
      <c r="N123" s="256">
        <v>0</v>
      </c>
      <c r="O123" s="256">
        <v>0</v>
      </c>
      <c r="P123" s="267">
        <v>0</v>
      </c>
      <c r="Q123" s="256"/>
      <c r="R123" s="273"/>
      <c r="S123" s="257"/>
      <c r="T123" s="15"/>
      <c r="U123" s="15"/>
      <c r="V123" s="15"/>
      <c r="W123" s="15"/>
      <c r="X123" s="15"/>
      <c r="Y123" s="15"/>
      <c r="Z123" s="15"/>
    </row>
    <row r="124" spans="1:26" s="239" customFormat="1">
      <c r="A124" s="259"/>
      <c r="B124" s="253" t="s">
        <v>133</v>
      </c>
      <c r="C124" s="253">
        <v>55509</v>
      </c>
      <c r="D124" s="253">
        <v>8050</v>
      </c>
      <c r="E124" s="253">
        <v>4189</v>
      </c>
      <c r="F124" s="253">
        <v>2398</v>
      </c>
      <c r="G124" s="253">
        <v>1687</v>
      </c>
      <c r="H124" s="253">
        <v>0</v>
      </c>
      <c r="I124" s="253">
        <v>0</v>
      </c>
      <c r="J124" s="253">
        <v>0</v>
      </c>
      <c r="K124" s="266">
        <v>71833</v>
      </c>
      <c r="L124" s="253">
        <v>0</v>
      </c>
      <c r="M124" s="253">
        <v>0</v>
      </c>
      <c r="N124" s="253">
        <v>0</v>
      </c>
      <c r="O124" s="253">
        <v>0</v>
      </c>
      <c r="P124" s="266">
        <v>0</v>
      </c>
      <c r="Q124" s="253">
        <v>0</v>
      </c>
      <c r="R124" s="272">
        <v>0</v>
      </c>
      <c r="S124" s="254">
        <v>0</v>
      </c>
      <c r="T124" s="15"/>
      <c r="U124" s="15"/>
      <c r="V124" s="15"/>
      <c r="W124" s="15"/>
      <c r="X124" s="15"/>
      <c r="Y124" s="15"/>
      <c r="Z124" s="15"/>
    </row>
    <row r="125" spans="1:26" s="239" customFormat="1">
      <c r="A125" s="260"/>
      <c r="B125" s="256" t="s">
        <v>137</v>
      </c>
      <c r="C125" s="256">
        <v>52604.5</v>
      </c>
      <c r="D125" s="256">
        <v>9871</v>
      </c>
      <c r="E125" s="256">
        <v>5795</v>
      </c>
      <c r="F125" s="256">
        <v>1733</v>
      </c>
      <c r="G125" s="256">
        <v>3379</v>
      </c>
      <c r="H125" s="256">
        <v>0</v>
      </c>
      <c r="I125" s="256">
        <v>0</v>
      </c>
      <c r="J125" s="256">
        <v>0</v>
      </c>
      <c r="K125" s="267">
        <v>73382.5</v>
      </c>
      <c r="L125" s="256">
        <v>0</v>
      </c>
      <c r="M125" s="256">
        <v>0</v>
      </c>
      <c r="N125" s="256">
        <v>0</v>
      </c>
      <c r="O125" s="256">
        <v>0</v>
      </c>
      <c r="P125" s="267">
        <v>0</v>
      </c>
      <c r="Q125" s="256">
        <v>0</v>
      </c>
      <c r="R125" s="273">
        <v>0</v>
      </c>
      <c r="S125" s="257">
        <v>0</v>
      </c>
      <c r="T125" s="15"/>
      <c r="U125" s="15"/>
      <c r="V125" s="15"/>
      <c r="W125" s="15"/>
      <c r="X125" s="15"/>
      <c r="Y125" s="15"/>
      <c r="Z125" s="15"/>
    </row>
    <row r="126" spans="1:26" s="239" customFormat="1">
      <c r="A126" s="258" t="s">
        <v>54</v>
      </c>
      <c r="B126" s="253" t="s">
        <v>130</v>
      </c>
      <c r="C126" s="253">
        <v>650374</v>
      </c>
      <c r="D126" s="253"/>
      <c r="E126" s="253">
        <v>268026</v>
      </c>
      <c r="F126" s="253"/>
      <c r="G126" s="253">
        <v>229207</v>
      </c>
      <c r="H126" s="253">
        <v>365992</v>
      </c>
      <c r="I126" s="253"/>
      <c r="J126" s="253"/>
      <c r="K126" s="266">
        <v>1513599</v>
      </c>
      <c r="L126" s="253">
        <v>149791</v>
      </c>
      <c r="M126" s="253"/>
      <c r="N126" s="253">
        <v>76666</v>
      </c>
      <c r="O126" s="253">
        <v>358666</v>
      </c>
      <c r="P126" s="266">
        <v>585123</v>
      </c>
      <c r="Q126" s="253"/>
      <c r="R126" s="272"/>
      <c r="S126" s="254"/>
      <c r="T126" s="15"/>
      <c r="U126" s="15"/>
      <c r="V126" s="15"/>
      <c r="W126" s="15"/>
      <c r="X126" s="15"/>
      <c r="Y126" s="15"/>
      <c r="Z126" s="15"/>
    </row>
    <row r="127" spans="1:26" s="239" customFormat="1">
      <c r="A127" s="259"/>
      <c r="B127" s="256" t="s">
        <v>134</v>
      </c>
      <c r="C127" s="256">
        <v>662072</v>
      </c>
      <c r="D127" s="256"/>
      <c r="E127" s="256">
        <v>274112</v>
      </c>
      <c r="F127" s="256"/>
      <c r="G127" s="256">
        <v>231167</v>
      </c>
      <c r="H127" s="256">
        <v>359710</v>
      </c>
      <c r="I127" s="256"/>
      <c r="J127" s="256"/>
      <c r="K127" s="267">
        <v>1527061</v>
      </c>
      <c r="L127" s="256">
        <v>148566</v>
      </c>
      <c r="M127" s="256"/>
      <c r="N127" s="256">
        <v>71666</v>
      </c>
      <c r="O127" s="256">
        <v>365478</v>
      </c>
      <c r="P127" s="267">
        <v>585710</v>
      </c>
      <c r="Q127" s="256"/>
      <c r="R127" s="273"/>
      <c r="S127" s="257"/>
      <c r="T127" s="15"/>
      <c r="U127" s="15"/>
      <c r="V127" s="15"/>
      <c r="W127" s="15"/>
      <c r="X127" s="15"/>
      <c r="Y127" s="15"/>
      <c r="Z127" s="15"/>
    </row>
    <row r="128" spans="1:26" s="239" customFormat="1">
      <c r="A128" s="259"/>
      <c r="B128" s="253" t="s">
        <v>131</v>
      </c>
      <c r="C128" s="253">
        <v>42506</v>
      </c>
      <c r="D128" s="253">
        <v>0</v>
      </c>
      <c r="E128" s="253">
        <v>34846</v>
      </c>
      <c r="F128" s="253">
        <v>0</v>
      </c>
      <c r="G128" s="253">
        <v>15796</v>
      </c>
      <c r="H128" s="253">
        <v>40016</v>
      </c>
      <c r="I128" s="253">
        <v>0</v>
      </c>
      <c r="J128" s="253">
        <v>0</v>
      </c>
      <c r="K128" s="266">
        <v>133164</v>
      </c>
      <c r="L128" s="253">
        <v>27169</v>
      </c>
      <c r="M128" s="253">
        <v>0</v>
      </c>
      <c r="N128" s="253">
        <v>12088</v>
      </c>
      <c r="O128" s="253">
        <v>62515</v>
      </c>
      <c r="P128" s="266">
        <v>101772</v>
      </c>
      <c r="Q128" s="253">
        <v>0</v>
      </c>
      <c r="R128" s="272">
        <v>0</v>
      </c>
      <c r="S128" s="254">
        <v>0</v>
      </c>
      <c r="T128" s="15"/>
      <c r="U128" s="15"/>
      <c r="V128" s="15"/>
      <c r="W128" s="15"/>
      <c r="X128" s="15"/>
      <c r="Y128" s="15"/>
      <c r="Z128" s="15"/>
    </row>
    <row r="129" spans="1:26" s="239" customFormat="1">
      <c r="A129" s="259"/>
      <c r="B129" s="256" t="s">
        <v>135</v>
      </c>
      <c r="C129" s="256">
        <v>47582</v>
      </c>
      <c r="D129" s="256">
        <v>0</v>
      </c>
      <c r="E129" s="256">
        <v>38858</v>
      </c>
      <c r="F129" s="256">
        <v>0</v>
      </c>
      <c r="G129" s="256">
        <v>15838</v>
      </c>
      <c r="H129" s="256">
        <v>48676</v>
      </c>
      <c r="I129" s="256">
        <v>0</v>
      </c>
      <c r="J129" s="256">
        <v>0</v>
      </c>
      <c r="K129" s="267">
        <v>150954</v>
      </c>
      <c r="L129" s="256">
        <v>31389</v>
      </c>
      <c r="M129" s="256">
        <v>0</v>
      </c>
      <c r="N129" s="256">
        <v>17410</v>
      </c>
      <c r="O129" s="256">
        <v>68137</v>
      </c>
      <c r="P129" s="267">
        <v>116936</v>
      </c>
      <c r="Q129" s="256">
        <v>0</v>
      </c>
      <c r="R129" s="273">
        <v>0</v>
      </c>
      <c r="S129" s="257">
        <v>0</v>
      </c>
      <c r="T129" s="15"/>
      <c r="U129" s="15"/>
      <c r="V129" s="15"/>
      <c r="W129" s="15"/>
      <c r="X129" s="15"/>
      <c r="Y129" s="15"/>
      <c r="Z129" s="15"/>
    </row>
    <row r="130" spans="1:26" s="239" customFormat="1">
      <c r="A130" s="259"/>
      <c r="B130" s="253" t="s">
        <v>132</v>
      </c>
      <c r="C130" s="253">
        <v>112337</v>
      </c>
      <c r="D130" s="253"/>
      <c r="E130" s="253">
        <v>55610</v>
      </c>
      <c r="F130" s="253"/>
      <c r="G130" s="253">
        <v>8573</v>
      </c>
      <c r="H130" s="253">
        <v>4777</v>
      </c>
      <c r="I130" s="253"/>
      <c r="J130" s="253"/>
      <c r="K130" s="266">
        <v>181297</v>
      </c>
      <c r="L130" s="253">
        <v>0</v>
      </c>
      <c r="M130" s="253"/>
      <c r="N130" s="253">
        <v>0</v>
      </c>
      <c r="O130" s="253">
        <v>0</v>
      </c>
      <c r="P130" s="266">
        <v>0</v>
      </c>
      <c r="Q130" s="253"/>
      <c r="R130" s="272"/>
      <c r="S130" s="254"/>
      <c r="T130" s="15"/>
      <c r="U130" s="15"/>
      <c r="V130" s="15"/>
      <c r="W130" s="15"/>
      <c r="X130" s="15"/>
      <c r="Y130" s="15"/>
      <c r="Z130" s="15"/>
    </row>
    <row r="131" spans="1:26" s="239" customFormat="1">
      <c r="A131" s="259"/>
      <c r="B131" s="256" t="s">
        <v>136</v>
      </c>
      <c r="C131" s="256">
        <v>111929</v>
      </c>
      <c r="D131" s="256"/>
      <c r="E131" s="256">
        <v>55072</v>
      </c>
      <c r="F131" s="256"/>
      <c r="G131" s="256">
        <v>9085</v>
      </c>
      <c r="H131" s="256">
        <v>6056</v>
      </c>
      <c r="I131" s="256"/>
      <c r="J131" s="256"/>
      <c r="K131" s="267">
        <v>182142</v>
      </c>
      <c r="L131" s="256">
        <v>0</v>
      </c>
      <c r="M131" s="256"/>
      <c r="N131" s="256">
        <v>0</v>
      </c>
      <c r="O131" s="256">
        <v>0</v>
      </c>
      <c r="P131" s="267">
        <v>0</v>
      </c>
      <c r="Q131" s="256"/>
      <c r="R131" s="273"/>
      <c r="S131" s="257"/>
      <c r="T131" s="15"/>
      <c r="U131" s="15"/>
      <c r="V131" s="15"/>
      <c r="W131" s="15"/>
      <c r="X131" s="15"/>
      <c r="Y131" s="15"/>
      <c r="Z131" s="15"/>
    </row>
    <row r="132" spans="1:26" s="239" customFormat="1">
      <c r="A132" s="259"/>
      <c r="B132" s="253" t="s">
        <v>133</v>
      </c>
      <c r="C132" s="253">
        <v>27334</v>
      </c>
      <c r="D132" s="253">
        <v>0</v>
      </c>
      <c r="E132" s="253">
        <v>12407</v>
      </c>
      <c r="F132" s="253">
        <v>0</v>
      </c>
      <c r="G132" s="253">
        <v>4160</v>
      </c>
      <c r="H132" s="253">
        <v>2391</v>
      </c>
      <c r="I132" s="253">
        <v>0</v>
      </c>
      <c r="J132" s="253">
        <v>0</v>
      </c>
      <c r="K132" s="266">
        <v>46292</v>
      </c>
      <c r="L132" s="253">
        <v>0</v>
      </c>
      <c r="M132" s="253">
        <v>0</v>
      </c>
      <c r="N132" s="253">
        <v>0</v>
      </c>
      <c r="O132" s="253">
        <v>0</v>
      </c>
      <c r="P132" s="266">
        <v>0</v>
      </c>
      <c r="Q132" s="253">
        <v>0</v>
      </c>
      <c r="R132" s="272">
        <v>0</v>
      </c>
      <c r="S132" s="254">
        <v>0</v>
      </c>
      <c r="T132" s="15"/>
      <c r="U132" s="15"/>
      <c r="V132" s="15"/>
      <c r="W132" s="15"/>
      <c r="X132" s="15"/>
      <c r="Y132" s="15"/>
      <c r="Z132" s="15"/>
    </row>
    <row r="133" spans="1:26" s="239" customFormat="1">
      <c r="A133" s="260"/>
      <c r="B133" s="256" t="s">
        <v>137</v>
      </c>
      <c r="C133" s="256">
        <v>28493</v>
      </c>
      <c r="D133" s="256">
        <v>0</v>
      </c>
      <c r="E133" s="256">
        <v>11127</v>
      </c>
      <c r="F133" s="256">
        <v>0</v>
      </c>
      <c r="G133" s="256">
        <v>4348</v>
      </c>
      <c r="H133" s="256">
        <v>3345</v>
      </c>
      <c r="I133" s="256">
        <v>0</v>
      </c>
      <c r="J133" s="256">
        <v>0</v>
      </c>
      <c r="K133" s="267">
        <v>47313</v>
      </c>
      <c r="L133" s="256">
        <v>0</v>
      </c>
      <c r="M133" s="256">
        <v>0</v>
      </c>
      <c r="N133" s="256">
        <v>0</v>
      </c>
      <c r="O133" s="256">
        <v>0</v>
      </c>
      <c r="P133" s="267">
        <v>0</v>
      </c>
      <c r="Q133" s="256">
        <v>0</v>
      </c>
      <c r="R133" s="273">
        <v>0</v>
      </c>
      <c r="S133" s="257">
        <v>0</v>
      </c>
      <c r="T133" s="15"/>
      <c r="U133" s="15"/>
      <c r="V133" s="15"/>
      <c r="W133" s="15"/>
      <c r="X133" s="15"/>
      <c r="Y133" s="15"/>
      <c r="Z133" s="15"/>
    </row>
    <row r="134" spans="1:26" s="239" customFormat="1">
      <c r="B134" s="241"/>
      <c r="P134" s="242"/>
      <c r="S134" s="240"/>
      <c r="T134" s="240"/>
      <c r="U134" s="240"/>
      <c r="V134" s="240"/>
    </row>
    <row r="135" spans="1:26" s="239" customFormat="1">
      <c r="S135" s="240"/>
      <c r="T135" s="240"/>
      <c r="U135" s="240"/>
      <c r="V135" s="240"/>
    </row>
    <row r="136" spans="1:26" s="239" customFormat="1">
      <c r="S136" s="240"/>
      <c r="T136" s="240"/>
      <c r="U136" s="240"/>
      <c r="V136" s="240"/>
    </row>
    <row r="137" spans="1:26" s="239" customFormat="1">
      <c r="B137" s="241"/>
      <c r="P137" s="242"/>
      <c r="S137" s="240"/>
      <c r="T137" s="240"/>
      <c r="U137" s="240"/>
      <c r="V137" s="240"/>
    </row>
    <row r="138" spans="1:26" s="239" customFormat="1">
      <c r="S138" s="240"/>
      <c r="T138" s="240"/>
      <c r="U138" s="240"/>
      <c r="V138" s="240"/>
    </row>
    <row r="139" spans="1:26" s="239" customFormat="1">
      <c r="S139" s="240"/>
      <c r="T139" s="240"/>
      <c r="U139" s="240"/>
      <c r="V139" s="240"/>
    </row>
    <row r="140" spans="1:26" s="239" customFormat="1">
      <c r="B140" s="241"/>
      <c r="P140" s="242"/>
      <c r="S140" s="240"/>
      <c r="T140" s="240"/>
      <c r="U140" s="240"/>
      <c r="V140" s="240"/>
    </row>
    <row r="141" spans="1:26" s="239" customFormat="1">
      <c r="S141" s="240"/>
      <c r="T141" s="240"/>
      <c r="U141" s="240"/>
      <c r="V141" s="240"/>
    </row>
    <row r="142" spans="1:26" s="239" customFormat="1">
      <c r="S142" s="240"/>
      <c r="T142" s="240"/>
      <c r="U142" s="240"/>
      <c r="V142" s="240"/>
    </row>
    <row r="143" spans="1:26" s="239" customFormat="1">
      <c r="B143" s="241"/>
      <c r="P143" s="242"/>
      <c r="S143" s="240"/>
      <c r="T143" s="240"/>
      <c r="U143" s="240"/>
      <c r="V143" s="240"/>
    </row>
    <row r="144" spans="1:26" s="239" customFormat="1">
      <c r="S144" s="240"/>
      <c r="T144" s="240"/>
      <c r="U144" s="240"/>
      <c r="V144" s="240"/>
    </row>
    <row r="145" spans="2:22" s="239" customFormat="1">
      <c r="S145" s="240"/>
      <c r="T145" s="240"/>
      <c r="U145" s="240"/>
      <c r="V145" s="240"/>
    </row>
    <row r="146" spans="2:22" s="239" customFormat="1">
      <c r="B146" s="241"/>
      <c r="P146" s="242"/>
      <c r="S146" s="240"/>
      <c r="T146" s="240"/>
      <c r="U146" s="240"/>
      <c r="V146" s="240"/>
    </row>
    <row r="147" spans="2:22" s="239" customFormat="1">
      <c r="S147" s="240"/>
      <c r="T147" s="240"/>
      <c r="U147" s="240"/>
      <c r="V147" s="240"/>
    </row>
    <row r="148" spans="2:22" s="239" customFormat="1">
      <c r="S148" s="240"/>
      <c r="T148" s="240"/>
      <c r="U148" s="240"/>
      <c r="V148" s="240"/>
    </row>
    <row r="149" spans="2:22" s="239" customFormat="1">
      <c r="B149" s="241"/>
      <c r="P149" s="242"/>
      <c r="S149" s="240"/>
      <c r="T149" s="240"/>
      <c r="U149" s="240"/>
      <c r="V149" s="240"/>
    </row>
    <row r="150" spans="2:22" s="239" customFormat="1">
      <c r="S150" s="240"/>
      <c r="T150" s="240"/>
      <c r="U150" s="240"/>
      <c r="V150" s="240"/>
    </row>
    <row r="151" spans="2:22" s="239" customFormat="1">
      <c r="S151" s="240"/>
      <c r="T151" s="240"/>
      <c r="U151" s="240"/>
      <c r="V151" s="240"/>
    </row>
    <row r="152" spans="2:22" s="239" customFormat="1">
      <c r="B152" s="241"/>
      <c r="P152" s="242"/>
      <c r="S152" s="240"/>
      <c r="T152" s="240"/>
      <c r="U152" s="240"/>
      <c r="V152" s="240"/>
    </row>
    <row r="153" spans="2:22" s="239" customFormat="1">
      <c r="S153" s="240"/>
      <c r="T153" s="240"/>
      <c r="U153" s="240"/>
      <c r="V153" s="240"/>
    </row>
    <row r="154" spans="2:22" s="239" customFormat="1">
      <c r="S154" s="240"/>
      <c r="T154" s="240"/>
      <c r="U154" s="240"/>
      <c r="V154" s="240"/>
    </row>
    <row r="155" spans="2:22" s="239" customFormat="1">
      <c r="B155" s="241"/>
      <c r="P155" s="242"/>
      <c r="S155" s="240"/>
      <c r="T155" s="240"/>
      <c r="U155" s="240"/>
      <c r="V155" s="240"/>
    </row>
    <row r="156" spans="2:22" s="239" customFormat="1">
      <c r="S156" s="240"/>
      <c r="T156" s="240"/>
      <c r="U156" s="240"/>
      <c r="V156" s="240"/>
    </row>
    <row r="157" spans="2:22" s="239" customFormat="1">
      <c r="S157" s="240"/>
      <c r="T157" s="240"/>
      <c r="U157" s="240"/>
      <c r="V157" s="240"/>
    </row>
    <row r="158" spans="2:22" s="239" customFormat="1">
      <c r="B158" s="241"/>
      <c r="P158" s="242"/>
      <c r="S158" s="240"/>
      <c r="T158" s="240"/>
      <c r="U158" s="240"/>
      <c r="V158" s="240"/>
    </row>
    <row r="159" spans="2:22" s="239" customFormat="1">
      <c r="S159" s="240"/>
      <c r="T159" s="240"/>
      <c r="U159" s="240"/>
      <c r="V159" s="240"/>
    </row>
    <row r="160" spans="2:22" s="239" customFormat="1">
      <c r="S160" s="240"/>
      <c r="T160" s="240"/>
      <c r="U160" s="240"/>
      <c r="V160" s="240"/>
    </row>
    <row r="161" spans="2:22" s="239" customFormat="1">
      <c r="B161" s="241"/>
      <c r="P161" s="242"/>
      <c r="S161" s="240"/>
      <c r="T161" s="240"/>
      <c r="U161" s="240"/>
      <c r="V161" s="240"/>
    </row>
    <row r="162" spans="2:22" s="239" customFormat="1">
      <c r="S162" s="240"/>
      <c r="T162" s="240"/>
      <c r="U162" s="240"/>
      <c r="V162" s="240"/>
    </row>
    <row r="163" spans="2:22" s="239" customFormat="1">
      <c r="S163" s="240"/>
      <c r="T163" s="240"/>
      <c r="U163" s="240"/>
      <c r="V163" s="240"/>
    </row>
    <row r="164" spans="2:22" s="239" customFormat="1">
      <c r="B164" s="241"/>
      <c r="P164" s="242"/>
      <c r="S164" s="240"/>
      <c r="T164" s="240"/>
      <c r="U164" s="240"/>
      <c r="V164" s="240"/>
    </row>
    <row r="165" spans="2:22" s="239" customFormat="1">
      <c r="S165" s="240"/>
      <c r="T165" s="240"/>
      <c r="U165" s="240"/>
      <c r="V165" s="240"/>
    </row>
    <row r="166" spans="2:22" s="239" customFormat="1">
      <c r="S166" s="240"/>
      <c r="T166" s="240"/>
      <c r="U166" s="240"/>
      <c r="V166" s="240"/>
    </row>
    <row r="167" spans="2:22" s="239" customFormat="1">
      <c r="B167" s="241"/>
      <c r="P167" s="242"/>
      <c r="S167" s="240"/>
      <c r="T167" s="240"/>
      <c r="U167" s="240"/>
      <c r="V167" s="240"/>
    </row>
    <row r="168" spans="2:22" s="239" customFormat="1">
      <c r="S168" s="240"/>
      <c r="T168" s="240"/>
      <c r="U168" s="240"/>
      <c r="V168" s="240"/>
    </row>
    <row r="169" spans="2:22" s="239" customFormat="1">
      <c r="S169" s="240"/>
      <c r="T169" s="240"/>
      <c r="U169" s="240"/>
      <c r="V169" s="240"/>
    </row>
    <row r="170" spans="2:22" s="239" customFormat="1">
      <c r="B170" s="241"/>
      <c r="P170" s="242"/>
      <c r="S170" s="240"/>
      <c r="T170" s="240"/>
      <c r="U170" s="240"/>
      <c r="V170" s="240"/>
    </row>
    <row r="171" spans="2:22" s="239" customFormat="1">
      <c r="S171" s="240"/>
      <c r="T171" s="240"/>
      <c r="U171" s="240"/>
      <c r="V171" s="240"/>
    </row>
    <row r="172" spans="2:22" s="239" customFormat="1">
      <c r="S172" s="240"/>
      <c r="T172" s="240"/>
      <c r="U172" s="240"/>
      <c r="V172" s="240"/>
    </row>
    <row r="173" spans="2:22" s="239" customFormat="1">
      <c r="B173" s="241"/>
      <c r="P173" s="242"/>
      <c r="S173" s="240"/>
      <c r="T173" s="240"/>
      <c r="U173" s="240"/>
      <c r="V173" s="240"/>
    </row>
    <row r="174" spans="2:22" s="239" customFormat="1">
      <c r="S174" s="240"/>
      <c r="T174" s="240"/>
      <c r="U174" s="240"/>
      <c r="V174" s="240"/>
    </row>
    <row r="175" spans="2:22" s="239" customFormat="1">
      <c r="S175" s="240"/>
      <c r="T175" s="240"/>
      <c r="U175" s="240"/>
      <c r="V175" s="240"/>
    </row>
    <row r="176" spans="2:22" s="239" customFormat="1">
      <c r="B176" s="241"/>
      <c r="P176" s="242"/>
      <c r="S176" s="240"/>
      <c r="T176" s="240"/>
      <c r="U176" s="240"/>
      <c r="V176" s="240"/>
    </row>
    <row r="177" spans="2:22" s="239" customFormat="1">
      <c r="S177" s="240"/>
      <c r="T177" s="240"/>
      <c r="U177" s="240"/>
      <c r="V177" s="240"/>
    </row>
    <row r="178" spans="2:22" s="239" customFormat="1">
      <c r="S178" s="240"/>
      <c r="T178" s="240"/>
      <c r="U178" s="240"/>
      <c r="V178" s="240"/>
    </row>
    <row r="179" spans="2:22" s="239" customFormat="1">
      <c r="B179" s="241"/>
      <c r="P179" s="242"/>
      <c r="S179" s="240"/>
      <c r="T179" s="240"/>
      <c r="U179" s="240"/>
      <c r="V179" s="240"/>
    </row>
    <row r="180" spans="2:22" s="239" customFormat="1">
      <c r="S180" s="240"/>
      <c r="T180" s="240"/>
      <c r="U180" s="240"/>
      <c r="V180" s="240"/>
    </row>
    <row r="181" spans="2:22" s="239" customFormat="1">
      <c r="S181" s="240"/>
      <c r="T181" s="240"/>
      <c r="U181" s="240"/>
      <c r="V181" s="240"/>
    </row>
    <row r="182" spans="2:22" s="239" customFormat="1">
      <c r="B182" s="241"/>
      <c r="P182" s="242"/>
      <c r="S182" s="240"/>
      <c r="T182" s="240"/>
      <c r="U182" s="240"/>
      <c r="V182" s="240"/>
    </row>
    <row r="183" spans="2:22" s="239" customFormat="1">
      <c r="S183" s="240"/>
      <c r="T183" s="240"/>
      <c r="U183" s="240"/>
      <c r="V183" s="240"/>
    </row>
    <row r="184" spans="2:22" s="239" customFormat="1">
      <c r="S184" s="240"/>
      <c r="T184" s="240"/>
      <c r="U184" s="240"/>
      <c r="V184" s="240"/>
    </row>
    <row r="185" spans="2:22" s="239" customFormat="1">
      <c r="B185" s="241"/>
      <c r="P185" s="242"/>
      <c r="S185" s="240"/>
      <c r="T185" s="240"/>
      <c r="U185" s="240"/>
      <c r="V185" s="240"/>
    </row>
    <row r="186" spans="2:22" s="239" customFormat="1">
      <c r="S186" s="240"/>
      <c r="T186" s="240"/>
      <c r="U186" s="240"/>
      <c r="V186" s="240"/>
    </row>
    <row r="187" spans="2:22" s="239" customFormat="1">
      <c r="S187" s="240"/>
      <c r="T187" s="240"/>
      <c r="U187" s="240"/>
      <c r="V187" s="240"/>
    </row>
    <row r="188" spans="2:22" s="239" customFormat="1">
      <c r="B188" s="241"/>
      <c r="P188" s="242"/>
      <c r="S188" s="240"/>
      <c r="T188" s="240"/>
      <c r="U188" s="240"/>
      <c r="V188" s="240"/>
    </row>
    <row r="189" spans="2:22" s="239" customFormat="1">
      <c r="S189" s="240"/>
      <c r="T189" s="240"/>
      <c r="U189" s="240"/>
      <c r="V189" s="240"/>
    </row>
    <row r="190" spans="2:22" s="239" customFormat="1">
      <c r="S190" s="240"/>
      <c r="T190" s="240"/>
      <c r="U190" s="240"/>
      <c r="V190" s="240"/>
    </row>
    <row r="191" spans="2:22" s="239" customFormat="1">
      <c r="B191" s="241"/>
      <c r="P191" s="242"/>
      <c r="S191" s="240"/>
      <c r="T191" s="240"/>
      <c r="U191" s="240"/>
      <c r="V191" s="240"/>
    </row>
    <row r="192" spans="2:22" s="239" customFormat="1">
      <c r="S192" s="240"/>
      <c r="T192" s="240"/>
      <c r="U192" s="240"/>
      <c r="V192" s="240"/>
    </row>
    <row r="193" spans="2:22" s="239" customFormat="1">
      <c r="S193" s="240"/>
      <c r="T193" s="240"/>
      <c r="U193" s="240"/>
      <c r="V193" s="240"/>
    </row>
    <row r="194" spans="2:22" s="239" customFormat="1">
      <c r="B194" s="241"/>
      <c r="P194" s="242"/>
      <c r="S194" s="240"/>
      <c r="T194" s="240"/>
      <c r="U194" s="240"/>
      <c r="V194" s="240"/>
    </row>
    <row r="195" spans="2:22" s="239" customFormat="1">
      <c r="S195" s="240"/>
      <c r="T195" s="240"/>
      <c r="U195" s="240"/>
      <c r="V195" s="240"/>
    </row>
    <row r="196" spans="2:22" s="239" customFormat="1">
      <c r="S196" s="240"/>
      <c r="T196" s="240"/>
      <c r="U196" s="240"/>
      <c r="V196" s="240"/>
    </row>
    <row r="197" spans="2:22" s="239" customFormat="1">
      <c r="B197" s="241"/>
      <c r="P197" s="242"/>
      <c r="S197" s="240"/>
      <c r="T197" s="240"/>
      <c r="U197" s="240"/>
      <c r="V197" s="240"/>
    </row>
    <row r="198" spans="2:22" s="239" customFormat="1">
      <c r="S198" s="240"/>
      <c r="T198" s="240"/>
      <c r="U198" s="240"/>
      <c r="V198" s="240"/>
    </row>
    <row r="199" spans="2:22" s="239" customFormat="1">
      <c r="S199" s="240"/>
      <c r="T199" s="240"/>
      <c r="U199" s="240"/>
      <c r="V199" s="240"/>
    </row>
    <row r="200" spans="2:22" s="239" customFormat="1">
      <c r="B200" s="241"/>
      <c r="P200" s="242"/>
      <c r="S200" s="240"/>
      <c r="T200" s="240"/>
      <c r="U200" s="240"/>
      <c r="V200" s="240"/>
    </row>
    <row r="201" spans="2:22" s="239" customFormat="1">
      <c r="S201" s="240"/>
      <c r="T201" s="240"/>
      <c r="U201" s="240"/>
      <c r="V201" s="240"/>
    </row>
    <row r="202" spans="2:22" s="239" customFormat="1">
      <c r="S202" s="240"/>
      <c r="T202" s="240"/>
      <c r="U202" s="240"/>
      <c r="V202" s="240"/>
    </row>
    <row r="203" spans="2:22" s="239" customFormat="1">
      <c r="B203" s="241"/>
      <c r="P203" s="242"/>
      <c r="S203" s="240"/>
      <c r="T203" s="240"/>
      <c r="U203" s="240"/>
      <c r="V203" s="240"/>
    </row>
    <row r="204" spans="2:22" s="239" customFormat="1">
      <c r="S204" s="240"/>
      <c r="T204" s="240"/>
      <c r="U204" s="240"/>
      <c r="V204" s="240"/>
    </row>
    <row r="205" spans="2:22" s="239" customFormat="1">
      <c r="S205" s="240"/>
      <c r="T205" s="240"/>
      <c r="U205" s="240"/>
      <c r="V205" s="240"/>
    </row>
    <row r="206" spans="2:22" s="239" customFormat="1">
      <c r="B206" s="241"/>
      <c r="P206" s="242"/>
      <c r="S206" s="240"/>
      <c r="T206" s="240"/>
      <c r="U206" s="240"/>
      <c r="V206" s="240"/>
    </row>
    <row r="207" spans="2:22" s="239" customFormat="1">
      <c r="S207" s="240"/>
      <c r="T207" s="240"/>
      <c r="U207" s="240"/>
      <c r="V207" s="240"/>
    </row>
    <row r="208" spans="2:22" s="239" customFormat="1">
      <c r="S208" s="240"/>
      <c r="T208" s="240"/>
      <c r="U208" s="240"/>
      <c r="V208" s="240"/>
    </row>
    <row r="209" spans="2:22" s="239" customFormat="1">
      <c r="B209" s="241"/>
      <c r="P209" s="242"/>
      <c r="S209" s="240"/>
      <c r="T209" s="240"/>
      <c r="U209" s="240"/>
      <c r="V209" s="240"/>
    </row>
    <row r="210" spans="2:22" s="239" customFormat="1">
      <c r="S210" s="240"/>
      <c r="T210" s="240"/>
      <c r="U210" s="240"/>
      <c r="V210" s="240"/>
    </row>
    <row r="211" spans="2:22" s="239" customFormat="1">
      <c r="S211" s="240"/>
      <c r="T211" s="240"/>
      <c r="U211" s="240"/>
      <c r="V211" s="240"/>
    </row>
    <row r="212" spans="2:22" s="239" customFormat="1">
      <c r="B212" s="241"/>
      <c r="P212" s="242"/>
      <c r="S212" s="240"/>
      <c r="T212" s="240"/>
      <c r="U212" s="240"/>
      <c r="V212" s="240"/>
    </row>
    <row r="213" spans="2:22" s="239" customFormat="1">
      <c r="S213" s="240"/>
      <c r="T213" s="240"/>
      <c r="U213" s="240"/>
      <c r="V213" s="240"/>
    </row>
    <row r="214" spans="2:22" s="239" customFormat="1">
      <c r="S214" s="240"/>
      <c r="T214" s="240"/>
      <c r="U214" s="240"/>
      <c r="V214" s="240"/>
    </row>
    <row r="215" spans="2:22" s="239" customFormat="1">
      <c r="B215" s="241"/>
      <c r="P215" s="242"/>
      <c r="S215" s="240"/>
      <c r="T215" s="240"/>
      <c r="U215" s="240"/>
      <c r="V215" s="240"/>
    </row>
    <row r="216" spans="2:22" s="239" customFormat="1">
      <c r="S216" s="240"/>
      <c r="T216" s="240"/>
      <c r="U216" s="240"/>
      <c r="V216" s="240"/>
    </row>
    <row r="217" spans="2:22" s="239" customFormat="1">
      <c r="S217" s="240"/>
      <c r="T217" s="240"/>
      <c r="U217" s="240"/>
      <c r="V217" s="240"/>
    </row>
    <row r="218" spans="2:22" s="239" customFormat="1">
      <c r="B218" s="241"/>
      <c r="P218" s="242"/>
      <c r="S218" s="240"/>
      <c r="T218" s="240"/>
      <c r="U218" s="240"/>
      <c r="V218" s="240"/>
    </row>
    <row r="219" spans="2:22" s="239" customFormat="1">
      <c r="S219" s="240"/>
      <c r="T219" s="240"/>
      <c r="U219" s="240"/>
      <c r="V219" s="240"/>
    </row>
    <row r="220" spans="2:22" s="239" customFormat="1">
      <c r="S220" s="240"/>
      <c r="T220" s="240"/>
      <c r="U220" s="240"/>
      <c r="V220" s="240"/>
    </row>
    <row r="221" spans="2:22" s="239" customFormat="1">
      <c r="B221" s="241"/>
      <c r="P221" s="242"/>
      <c r="S221" s="240"/>
      <c r="T221" s="240"/>
      <c r="U221" s="240"/>
      <c r="V221" s="240"/>
    </row>
    <row r="222" spans="2:22" s="239" customFormat="1">
      <c r="S222" s="240"/>
      <c r="T222" s="240"/>
      <c r="U222" s="240"/>
      <c r="V222" s="240"/>
    </row>
    <row r="223" spans="2:22" s="239" customFormat="1">
      <c r="S223" s="240"/>
      <c r="T223" s="240"/>
      <c r="U223" s="240"/>
      <c r="V223" s="240"/>
    </row>
    <row r="224" spans="2:22" s="239" customFormat="1">
      <c r="B224" s="241"/>
      <c r="P224" s="242"/>
      <c r="S224" s="240"/>
      <c r="T224" s="240"/>
      <c r="U224" s="240"/>
      <c r="V224" s="240"/>
    </row>
    <row r="225" spans="2:22" s="239" customFormat="1">
      <c r="S225" s="240"/>
      <c r="T225" s="240"/>
      <c r="U225" s="240"/>
      <c r="V225" s="240"/>
    </row>
    <row r="226" spans="2:22" s="239" customFormat="1">
      <c r="S226" s="240"/>
      <c r="T226" s="240"/>
      <c r="U226" s="240"/>
      <c r="V226" s="240"/>
    </row>
    <row r="227" spans="2:22" s="239" customFormat="1">
      <c r="B227" s="241"/>
      <c r="P227" s="242"/>
      <c r="S227" s="240"/>
      <c r="T227" s="240"/>
      <c r="U227" s="240"/>
      <c r="V227" s="240"/>
    </row>
    <row r="228" spans="2:22" s="239" customFormat="1">
      <c r="S228" s="240"/>
      <c r="T228" s="240"/>
      <c r="U228" s="240"/>
      <c r="V228" s="240"/>
    </row>
    <row r="229" spans="2:22" s="239" customFormat="1">
      <c r="S229" s="240"/>
      <c r="T229" s="240"/>
      <c r="U229" s="240"/>
      <c r="V229" s="240"/>
    </row>
    <row r="230" spans="2:22" s="239" customFormat="1">
      <c r="B230" s="241"/>
      <c r="P230" s="242"/>
      <c r="S230" s="240"/>
      <c r="T230" s="240"/>
      <c r="U230" s="240"/>
      <c r="V230" s="240"/>
    </row>
    <row r="231" spans="2:22" s="239" customFormat="1">
      <c r="S231" s="240"/>
      <c r="T231" s="240"/>
      <c r="U231" s="240"/>
      <c r="V231" s="240"/>
    </row>
    <row r="232" spans="2:22" s="239" customFormat="1">
      <c r="S232" s="240"/>
      <c r="T232" s="240"/>
      <c r="U232" s="240"/>
      <c r="V232" s="240"/>
    </row>
    <row r="233" spans="2:22" s="239" customFormat="1">
      <c r="B233" s="241"/>
      <c r="P233" s="242"/>
      <c r="S233" s="240"/>
      <c r="T233" s="240"/>
      <c r="U233" s="240"/>
      <c r="V233" s="240"/>
    </row>
    <row r="234" spans="2:22" s="239" customFormat="1">
      <c r="S234" s="240"/>
      <c r="T234" s="240"/>
      <c r="U234" s="240"/>
      <c r="V234" s="240"/>
    </row>
    <row r="235" spans="2:22" s="239" customFormat="1">
      <c r="S235" s="240"/>
      <c r="T235" s="240"/>
      <c r="U235" s="240"/>
      <c r="V235" s="240"/>
    </row>
    <row r="236" spans="2:22" s="239" customFormat="1">
      <c r="B236" s="241"/>
      <c r="P236" s="242"/>
      <c r="S236" s="240"/>
      <c r="T236" s="240"/>
      <c r="U236" s="240"/>
      <c r="V236" s="240"/>
    </row>
    <row r="237" spans="2:22" s="239" customFormat="1">
      <c r="S237" s="240"/>
      <c r="T237" s="240"/>
      <c r="U237" s="240"/>
      <c r="V237" s="240"/>
    </row>
    <row r="238" spans="2:22" s="239" customFormat="1">
      <c r="S238" s="240"/>
      <c r="T238" s="240"/>
      <c r="U238" s="240"/>
      <c r="V238" s="240"/>
    </row>
    <row r="239" spans="2:22" s="239" customFormat="1">
      <c r="B239" s="241"/>
      <c r="P239" s="242"/>
      <c r="S239" s="240"/>
      <c r="T239" s="240"/>
      <c r="U239" s="240"/>
      <c r="V239" s="240"/>
    </row>
    <row r="240" spans="2:22" s="239" customFormat="1">
      <c r="S240" s="240"/>
      <c r="T240" s="240"/>
      <c r="U240" s="240"/>
      <c r="V240" s="240"/>
    </row>
    <row r="241" spans="2:22" s="239" customFormat="1">
      <c r="S241" s="240"/>
      <c r="T241" s="240"/>
      <c r="U241" s="240"/>
      <c r="V241" s="240"/>
    </row>
    <row r="242" spans="2:22" s="239" customFormat="1">
      <c r="B242" s="241"/>
      <c r="P242" s="242"/>
      <c r="S242" s="240"/>
      <c r="T242" s="240"/>
      <c r="U242" s="240"/>
      <c r="V242" s="240"/>
    </row>
    <row r="243" spans="2:22" s="239" customFormat="1">
      <c r="S243" s="240"/>
      <c r="T243" s="240"/>
      <c r="U243" s="240"/>
      <c r="V243" s="240"/>
    </row>
    <row r="244" spans="2:22" s="239" customFormat="1">
      <c r="S244" s="240"/>
      <c r="T244" s="240"/>
      <c r="U244" s="240"/>
      <c r="V244" s="240"/>
    </row>
    <row r="245" spans="2:22" s="239" customFormat="1">
      <c r="B245" s="241"/>
      <c r="P245" s="242"/>
      <c r="S245" s="240"/>
      <c r="T245" s="240"/>
      <c r="U245" s="240"/>
      <c r="V245" s="240"/>
    </row>
    <row r="246" spans="2:22" s="239" customFormat="1">
      <c r="S246" s="240"/>
      <c r="T246" s="240"/>
      <c r="U246" s="240"/>
      <c r="V246" s="240"/>
    </row>
    <row r="247" spans="2:22" s="239" customFormat="1">
      <c r="S247" s="240"/>
      <c r="T247" s="240"/>
      <c r="U247" s="240"/>
      <c r="V247" s="240"/>
    </row>
    <row r="248" spans="2:22" s="239" customFormat="1">
      <c r="B248" s="241"/>
      <c r="P248" s="242"/>
      <c r="S248" s="240"/>
      <c r="T248" s="240"/>
      <c r="U248" s="240"/>
      <c r="V248" s="240"/>
    </row>
    <row r="249" spans="2:22" s="239" customFormat="1">
      <c r="S249" s="240"/>
      <c r="T249" s="240"/>
      <c r="U249" s="240"/>
      <c r="V249" s="240"/>
    </row>
    <row r="250" spans="2:22" s="239" customFormat="1">
      <c r="S250" s="240"/>
      <c r="T250" s="240"/>
      <c r="U250" s="240"/>
      <c r="V250" s="240"/>
    </row>
    <row r="251" spans="2:22" s="239" customFormat="1">
      <c r="B251" s="241"/>
      <c r="P251" s="242"/>
      <c r="S251" s="240"/>
      <c r="T251" s="240"/>
      <c r="U251" s="240"/>
      <c r="V251" s="240"/>
    </row>
    <row r="252" spans="2:22" s="239" customFormat="1">
      <c r="S252" s="240"/>
      <c r="T252" s="240"/>
      <c r="U252" s="240"/>
      <c r="V252" s="240"/>
    </row>
    <row r="253" spans="2:22" s="239" customFormat="1">
      <c r="S253" s="240"/>
      <c r="T253" s="240"/>
      <c r="U253" s="240"/>
      <c r="V253" s="240"/>
    </row>
    <row r="254" spans="2:22" s="239" customFormat="1">
      <c r="B254" s="241"/>
      <c r="P254" s="242"/>
      <c r="S254" s="240"/>
      <c r="T254" s="240"/>
      <c r="U254" s="240"/>
      <c r="V254" s="240"/>
    </row>
    <row r="255" spans="2:22" s="239" customFormat="1">
      <c r="S255" s="240"/>
      <c r="T255" s="240"/>
      <c r="U255" s="240"/>
      <c r="V255" s="240"/>
    </row>
    <row r="256" spans="2:22" s="239" customFormat="1">
      <c r="S256" s="240"/>
      <c r="T256" s="240"/>
      <c r="U256" s="240"/>
      <c r="V256" s="240"/>
    </row>
    <row r="257" spans="2:22" s="239" customFormat="1">
      <c r="B257" s="241"/>
      <c r="P257" s="242"/>
      <c r="S257" s="240"/>
      <c r="T257" s="240"/>
      <c r="U257" s="240"/>
      <c r="V257" s="240"/>
    </row>
    <row r="258" spans="2:22" s="239" customFormat="1">
      <c r="S258" s="240"/>
      <c r="T258" s="240"/>
      <c r="U258" s="240"/>
      <c r="V258" s="240"/>
    </row>
    <row r="259" spans="2:22" s="239" customFormat="1">
      <c r="S259" s="240"/>
      <c r="T259" s="240"/>
      <c r="U259" s="240"/>
      <c r="V259" s="240"/>
    </row>
    <row r="260" spans="2:22" s="239" customFormat="1">
      <c r="B260" s="241"/>
      <c r="P260" s="242"/>
      <c r="S260" s="240"/>
      <c r="T260" s="240"/>
      <c r="U260" s="240"/>
      <c r="V260" s="240"/>
    </row>
    <row r="261" spans="2:22" s="239" customFormat="1">
      <c r="S261" s="240"/>
      <c r="T261" s="240"/>
      <c r="U261" s="240"/>
      <c r="V261" s="240"/>
    </row>
    <row r="262" spans="2:22" s="239" customFormat="1">
      <c r="S262" s="240"/>
      <c r="T262" s="240"/>
      <c r="U262" s="240"/>
      <c r="V262" s="240"/>
    </row>
    <row r="263" spans="2:22" s="239" customFormat="1">
      <c r="B263" s="241"/>
      <c r="P263" s="242"/>
      <c r="S263" s="240"/>
      <c r="T263" s="240"/>
      <c r="U263" s="240"/>
      <c r="V263" s="240"/>
    </row>
    <row r="264" spans="2:22" s="239" customFormat="1">
      <c r="S264" s="240"/>
      <c r="T264" s="240"/>
      <c r="U264" s="240"/>
      <c r="V264" s="240"/>
    </row>
    <row r="265" spans="2:22" s="239" customFormat="1">
      <c r="S265" s="240"/>
      <c r="T265" s="240"/>
      <c r="U265" s="240"/>
      <c r="V265" s="240"/>
    </row>
    <row r="266" spans="2:22" s="239" customFormat="1">
      <c r="B266" s="241"/>
      <c r="P266" s="242"/>
      <c r="S266" s="240"/>
      <c r="T266" s="240"/>
      <c r="U266" s="240"/>
      <c r="V266" s="240"/>
    </row>
    <row r="267" spans="2:22" s="239" customFormat="1">
      <c r="S267" s="240"/>
      <c r="T267" s="240"/>
      <c r="U267" s="240"/>
      <c r="V267" s="240"/>
    </row>
    <row r="268" spans="2:22" s="239" customFormat="1">
      <c r="S268" s="240"/>
      <c r="T268" s="240"/>
      <c r="U268" s="240"/>
      <c r="V268" s="240"/>
    </row>
    <row r="269" spans="2:22" s="239" customFormat="1">
      <c r="B269" s="241"/>
      <c r="P269" s="242"/>
      <c r="S269" s="240"/>
      <c r="T269" s="240"/>
      <c r="U269" s="240"/>
      <c r="V269" s="240"/>
    </row>
    <row r="270" spans="2:22" s="239" customFormat="1">
      <c r="S270" s="240"/>
      <c r="T270" s="240"/>
      <c r="U270" s="240"/>
      <c r="V270" s="240"/>
    </row>
    <row r="271" spans="2:22" s="239" customFormat="1">
      <c r="S271" s="240"/>
      <c r="T271" s="240"/>
      <c r="U271" s="240"/>
      <c r="V271" s="240"/>
    </row>
    <row r="272" spans="2:22" s="239" customFormat="1">
      <c r="B272" s="241"/>
      <c r="P272" s="242"/>
      <c r="S272" s="240"/>
      <c r="T272" s="240"/>
      <c r="U272" s="240"/>
      <c r="V272" s="240"/>
    </row>
    <row r="273" spans="2:22" s="239" customFormat="1">
      <c r="S273" s="240"/>
      <c r="T273" s="240"/>
      <c r="U273" s="240"/>
      <c r="V273" s="240"/>
    </row>
    <row r="274" spans="2:22" s="239" customFormat="1">
      <c r="S274" s="240"/>
      <c r="T274" s="240"/>
      <c r="U274" s="240"/>
      <c r="V274" s="240"/>
    </row>
    <row r="275" spans="2:22" s="239" customFormat="1">
      <c r="B275" s="241"/>
      <c r="P275" s="242"/>
      <c r="S275" s="240"/>
      <c r="T275" s="240"/>
      <c r="U275" s="240"/>
      <c r="V275" s="240"/>
    </row>
    <row r="276" spans="2:22" s="239" customFormat="1">
      <c r="S276" s="240"/>
      <c r="T276" s="240"/>
      <c r="U276" s="240"/>
      <c r="V276" s="240"/>
    </row>
    <row r="277" spans="2:22" s="239" customFormat="1">
      <c r="S277" s="240"/>
      <c r="T277" s="240"/>
      <c r="U277" s="240"/>
      <c r="V277" s="240"/>
    </row>
    <row r="278" spans="2:22" s="239" customFormat="1">
      <c r="B278" s="241"/>
      <c r="P278" s="242"/>
      <c r="S278" s="243"/>
      <c r="T278" s="240"/>
      <c r="U278" s="240"/>
      <c r="V278" s="240"/>
    </row>
    <row r="279" spans="2:22" s="239" customFormat="1">
      <c r="S279" s="240"/>
      <c r="T279" s="240"/>
      <c r="U279" s="240"/>
      <c r="V279" s="240"/>
    </row>
    <row r="280" spans="2:22" s="239" customFormat="1">
      <c r="S280" s="240"/>
      <c r="T280" s="240"/>
      <c r="U280" s="240"/>
      <c r="V280" s="240"/>
    </row>
    <row r="281" spans="2:22" s="239" customFormat="1">
      <c r="B281" s="241"/>
      <c r="P281" s="242"/>
      <c r="S281" s="240"/>
      <c r="T281" s="240"/>
      <c r="U281" s="240"/>
      <c r="V281" s="240"/>
    </row>
    <row r="282" spans="2:22" s="239" customFormat="1">
      <c r="S282" s="240"/>
      <c r="T282" s="240"/>
      <c r="U282" s="240"/>
      <c r="V282" s="240"/>
    </row>
    <row r="283" spans="2:22" s="239" customFormat="1">
      <c r="S283" s="240"/>
      <c r="T283" s="240"/>
      <c r="U283" s="240"/>
      <c r="V283" s="240"/>
    </row>
    <row r="284" spans="2:22" s="239" customFormat="1">
      <c r="B284" s="241"/>
      <c r="P284" s="242"/>
      <c r="S284" s="240"/>
      <c r="T284" s="240"/>
      <c r="U284" s="240"/>
      <c r="V284" s="240"/>
    </row>
    <row r="285" spans="2:22" s="239" customFormat="1">
      <c r="S285" s="240"/>
      <c r="T285" s="240"/>
      <c r="U285" s="240"/>
      <c r="V285" s="240"/>
    </row>
    <row r="286" spans="2:22" s="239" customFormat="1">
      <c r="S286" s="240"/>
      <c r="T286" s="240"/>
      <c r="U286" s="240"/>
      <c r="V286" s="240"/>
    </row>
    <row r="287" spans="2:22" s="239" customFormat="1">
      <c r="B287" s="241"/>
      <c r="P287" s="242"/>
      <c r="S287" s="240"/>
      <c r="T287" s="240"/>
      <c r="U287" s="240"/>
      <c r="V287" s="240"/>
    </row>
    <row r="288" spans="2:22" s="239" customFormat="1">
      <c r="S288" s="240"/>
      <c r="T288" s="240"/>
      <c r="U288" s="240"/>
      <c r="V288" s="240"/>
    </row>
    <row r="289" spans="2:22" s="239" customFormat="1">
      <c r="S289" s="240"/>
      <c r="T289" s="240"/>
      <c r="U289" s="240"/>
      <c r="V289" s="240"/>
    </row>
    <row r="290" spans="2:22" s="239" customFormat="1">
      <c r="B290" s="241"/>
      <c r="P290" s="242"/>
      <c r="S290" s="240"/>
      <c r="T290" s="240"/>
      <c r="U290" s="240"/>
      <c r="V290" s="240"/>
    </row>
    <row r="291" spans="2:22" s="239" customFormat="1">
      <c r="S291" s="240"/>
      <c r="T291" s="240"/>
      <c r="U291" s="240"/>
      <c r="V291" s="240"/>
    </row>
    <row r="292" spans="2:22" s="239" customFormat="1">
      <c r="S292" s="240"/>
      <c r="T292" s="240"/>
      <c r="U292" s="240"/>
      <c r="V292" s="240"/>
    </row>
    <row r="293" spans="2:22" s="239" customFormat="1">
      <c r="B293" s="241"/>
      <c r="P293" s="242"/>
      <c r="S293" s="240"/>
      <c r="T293" s="240"/>
      <c r="U293" s="240"/>
      <c r="V293" s="240"/>
    </row>
    <row r="294" spans="2:22" s="239" customFormat="1">
      <c r="S294" s="240"/>
      <c r="T294" s="240"/>
      <c r="U294" s="240"/>
      <c r="V294" s="240"/>
    </row>
    <row r="295" spans="2:22" s="239" customFormat="1">
      <c r="S295" s="240"/>
      <c r="T295" s="240"/>
      <c r="U295" s="240"/>
      <c r="V295" s="240"/>
    </row>
    <row r="296" spans="2:22" s="239" customFormat="1">
      <c r="B296" s="241"/>
      <c r="P296" s="242"/>
      <c r="S296" s="243"/>
      <c r="T296" s="240"/>
      <c r="U296" s="240"/>
      <c r="V296" s="240"/>
    </row>
    <row r="297" spans="2:22" s="239" customFormat="1">
      <c r="S297" s="240"/>
      <c r="T297" s="240"/>
      <c r="U297" s="240"/>
      <c r="V297" s="240"/>
    </row>
    <row r="298" spans="2:22" s="239" customFormat="1">
      <c r="S298" s="240"/>
      <c r="T298" s="240"/>
      <c r="U298" s="240"/>
      <c r="V298" s="240"/>
    </row>
    <row r="299" spans="2:22" s="239" customFormat="1">
      <c r="B299" s="241"/>
      <c r="P299" s="242"/>
      <c r="S299" s="240"/>
      <c r="T299" s="240"/>
      <c r="U299" s="240"/>
      <c r="V299" s="240"/>
    </row>
    <row r="300" spans="2:22" s="239" customFormat="1">
      <c r="S300" s="240"/>
      <c r="T300" s="240"/>
      <c r="U300" s="240"/>
      <c r="V300" s="240"/>
    </row>
    <row r="301" spans="2:22" s="239" customFormat="1">
      <c r="S301" s="240"/>
      <c r="T301" s="240"/>
      <c r="U301" s="240"/>
      <c r="V301" s="240"/>
    </row>
    <row r="302" spans="2:22" s="239" customFormat="1">
      <c r="B302" s="241"/>
      <c r="P302" s="242"/>
      <c r="S302" s="240"/>
      <c r="T302" s="240"/>
      <c r="U302" s="240"/>
      <c r="V302" s="240"/>
    </row>
    <row r="303" spans="2:22" s="239" customFormat="1">
      <c r="S303" s="240"/>
      <c r="T303" s="240"/>
      <c r="U303" s="240"/>
      <c r="V303" s="240"/>
    </row>
    <row r="304" spans="2:22" s="239" customFormat="1">
      <c r="S304" s="240"/>
      <c r="T304" s="240"/>
      <c r="U304" s="240"/>
      <c r="V304" s="240"/>
    </row>
    <row r="305" spans="2:22" s="239" customFormat="1">
      <c r="B305" s="241"/>
      <c r="P305" s="242"/>
      <c r="S305" s="240"/>
      <c r="T305" s="240"/>
      <c r="U305" s="240"/>
      <c r="V305" s="240"/>
    </row>
    <row r="306" spans="2:22" s="239" customFormat="1">
      <c r="S306" s="240"/>
      <c r="T306" s="240"/>
      <c r="U306" s="240"/>
      <c r="V306" s="240"/>
    </row>
    <row r="307" spans="2:22" s="239" customFormat="1">
      <c r="S307" s="240"/>
      <c r="T307" s="240"/>
      <c r="U307" s="240"/>
      <c r="V307" s="240"/>
    </row>
    <row r="308" spans="2:22" s="239" customFormat="1">
      <c r="B308" s="241"/>
      <c r="P308" s="242"/>
      <c r="S308" s="240"/>
      <c r="T308" s="240"/>
      <c r="U308" s="240"/>
      <c r="V308" s="240"/>
    </row>
    <row r="309" spans="2:22" s="239" customFormat="1">
      <c r="S309" s="240"/>
      <c r="T309" s="240"/>
      <c r="U309" s="240"/>
      <c r="V309" s="240"/>
    </row>
    <row r="310" spans="2:22" s="239" customFormat="1">
      <c r="S310" s="240"/>
      <c r="T310" s="240"/>
      <c r="U310" s="240"/>
      <c r="V310" s="240"/>
    </row>
    <row r="311" spans="2:22" s="239" customFormat="1">
      <c r="B311" s="241"/>
      <c r="P311" s="242"/>
      <c r="S311" s="240"/>
      <c r="T311" s="240"/>
      <c r="U311" s="240"/>
      <c r="V311" s="240"/>
    </row>
    <row r="312" spans="2:22" s="239" customFormat="1">
      <c r="S312" s="240"/>
      <c r="T312" s="240"/>
      <c r="U312" s="240"/>
      <c r="V312" s="240"/>
    </row>
    <row r="313" spans="2:22" s="239" customFormat="1">
      <c r="S313" s="240"/>
      <c r="T313" s="240"/>
      <c r="U313" s="240"/>
      <c r="V313" s="240"/>
    </row>
    <row r="314" spans="2:22" s="239" customFormat="1">
      <c r="B314" s="241"/>
      <c r="P314" s="242"/>
      <c r="S314" s="240"/>
      <c r="T314" s="240"/>
      <c r="U314" s="240"/>
      <c r="V314" s="240"/>
    </row>
    <row r="315" spans="2:22" s="239" customFormat="1">
      <c r="S315" s="240"/>
      <c r="T315" s="240"/>
      <c r="U315" s="240"/>
      <c r="V315" s="240"/>
    </row>
    <row r="316" spans="2:22" s="239" customFormat="1">
      <c r="S316" s="240"/>
      <c r="T316" s="240"/>
      <c r="U316" s="240"/>
      <c r="V316" s="240"/>
    </row>
    <row r="317" spans="2:22" s="239" customFormat="1">
      <c r="B317" s="241"/>
      <c r="P317" s="242"/>
      <c r="S317" s="240"/>
      <c r="T317" s="240"/>
      <c r="U317" s="240"/>
      <c r="V317" s="240"/>
    </row>
    <row r="318" spans="2:22" s="239" customFormat="1">
      <c r="S318" s="240"/>
      <c r="T318" s="240"/>
      <c r="U318" s="240"/>
      <c r="V318" s="240"/>
    </row>
    <row r="319" spans="2:22" s="239" customFormat="1">
      <c r="S319" s="240"/>
      <c r="T319" s="240"/>
      <c r="U319" s="240"/>
      <c r="V319" s="240"/>
    </row>
    <row r="320" spans="2:22" s="239" customFormat="1">
      <c r="B320" s="241"/>
      <c r="P320" s="242"/>
      <c r="S320" s="240"/>
      <c r="T320" s="240"/>
      <c r="U320" s="240"/>
      <c r="V320" s="240"/>
    </row>
    <row r="321" spans="2:22" s="239" customFormat="1">
      <c r="S321" s="240"/>
      <c r="T321" s="240"/>
      <c r="U321" s="240"/>
      <c r="V321" s="240"/>
    </row>
    <row r="322" spans="2:22" s="239" customFormat="1">
      <c r="S322" s="240"/>
      <c r="T322" s="240"/>
      <c r="U322" s="240"/>
      <c r="V322" s="240"/>
    </row>
    <row r="323" spans="2:22" s="239" customFormat="1">
      <c r="B323" s="241"/>
      <c r="P323" s="242"/>
      <c r="S323" s="240"/>
      <c r="T323" s="240"/>
      <c r="U323" s="240"/>
      <c r="V323" s="240"/>
    </row>
    <row r="324" spans="2:22" s="239" customFormat="1">
      <c r="S324" s="240"/>
      <c r="T324" s="240"/>
      <c r="U324" s="240"/>
      <c r="V324" s="240"/>
    </row>
    <row r="325" spans="2:22" s="239" customFormat="1">
      <c r="S325" s="240"/>
      <c r="T325" s="240"/>
      <c r="U325" s="240"/>
      <c r="V325" s="240"/>
    </row>
    <row r="326" spans="2:22" s="239" customFormat="1">
      <c r="B326" s="241"/>
      <c r="P326" s="242"/>
      <c r="S326" s="240"/>
      <c r="T326" s="240"/>
      <c r="U326" s="240"/>
      <c r="V326" s="240"/>
    </row>
    <row r="327" spans="2:22" s="239" customFormat="1">
      <c r="S327" s="240"/>
      <c r="T327" s="240"/>
      <c r="U327" s="240"/>
      <c r="V327" s="240"/>
    </row>
    <row r="328" spans="2:22" s="239" customFormat="1">
      <c r="S328" s="240"/>
      <c r="T328" s="240"/>
      <c r="U328" s="240"/>
      <c r="V328" s="240"/>
    </row>
    <row r="329" spans="2:22" s="239" customFormat="1">
      <c r="B329" s="241"/>
      <c r="P329" s="242"/>
      <c r="S329" s="240"/>
      <c r="T329" s="240"/>
      <c r="U329" s="240"/>
      <c r="V329" s="240"/>
    </row>
    <row r="330" spans="2:22" s="239" customFormat="1">
      <c r="S330" s="240"/>
      <c r="T330" s="240"/>
      <c r="U330" s="240"/>
      <c r="V330" s="240"/>
    </row>
    <row r="331" spans="2:22" s="239" customFormat="1">
      <c r="S331" s="240"/>
      <c r="T331" s="240"/>
      <c r="U331" s="240"/>
      <c r="V331" s="240"/>
    </row>
    <row r="332" spans="2:22" s="239" customFormat="1">
      <c r="B332" s="241"/>
      <c r="P332" s="242"/>
      <c r="S332" s="240"/>
      <c r="T332" s="240"/>
      <c r="U332" s="240"/>
      <c r="V332" s="240"/>
    </row>
    <row r="333" spans="2:22" s="239" customFormat="1">
      <c r="S333" s="240"/>
      <c r="T333" s="240"/>
      <c r="U333" s="240"/>
      <c r="V333" s="240"/>
    </row>
    <row r="334" spans="2:22" s="239" customFormat="1">
      <c r="S334" s="240"/>
      <c r="T334" s="240"/>
      <c r="U334" s="240"/>
      <c r="V334" s="240"/>
    </row>
    <row r="335" spans="2:22" s="239" customFormat="1">
      <c r="B335" s="241"/>
      <c r="P335" s="242"/>
      <c r="S335" s="240"/>
      <c r="T335" s="240"/>
      <c r="U335" s="240"/>
      <c r="V335" s="240"/>
    </row>
    <row r="336" spans="2:22" s="239" customFormat="1">
      <c r="S336" s="240"/>
      <c r="T336" s="240"/>
      <c r="U336" s="240"/>
      <c r="V336" s="240"/>
    </row>
    <row r="337" spans="2:22" s="239" customFormat="1">
      <c r="S337" s="240"/>
      <c r="T337" s="240"/>
      <c r="U337" s="240"/>
      <c r="V337" s="240"/>
    </row>
    <row r="338" spans="2:22" s="239" customFormat="1">
      <c r="B338" s="241"/>
      <c r="P338" s="242"/>
      <c r="S338" s="240"/>
      <c r="T338" s="240"/>
      <c r="U338" s="240"/>
      <c r="V338" s="240"/>
    </row>
    <row r="339" spans="2:22" s="239" customFormat="1">
      <c r="S339" s="240"/>
      <c r="T339" s="240"/>
      <c r="U339" s="240"/>
      <c r="V339" s="240"/>
    </row>
    <row r="340" spans="2:22" s="239" customFormat="1">
      <c r="S340" s="240"/>
      <c r="T340" s="240"/>
      <c r="U340" s="240"/>
      <c r="V340" s="240"/>
    </row>
    <row r="341" spans="2:22" s="239" customFormat="1">
      <c r="B341" s="241"/>
      <c r="P341" s="242"/>
      <c r="S341" s="240"/>
      <c r="T341" s="240"/>
      <c r="U341" s="240"/>
      <c r="V341" s="240"/>
    </row>
    <row r="342" spans="2:22" s="239" customFormat="1">
      <c r="S342" s="240"/>
      <c r="T342" s="240"/>
      <c r="U342" s="240"/>
      <c r="V342" s="240"/>
    </row>
    <row r="343" spans="2:22" s="239" customFormat="1">
      <c r="S343" s="240"/>
      <c r="T343" s="240"/>
      <c r="U343" s="240"/>
      <c r="V343" s="240"/>
    </row>
    <row r="344" spans="2:22" s="239" customFormat="1">
      <c r="B344" s="241"/>
      <c r="P344" s="242"/>
      <c r="S344" s="240"/>
      <c r="T344" s="240"/>
      <c r="U344" s="240"/>
      <c r="V344" s="240"/>
    </row>
    <row r="345" spans="2:22" s="239" customFormat="1">
      <c r="S345" s="240"/>
      <c r="T345" s="240"/>
      <c r="U345" s="240"/>
      <c r="V345" s="240"/>
    </row>
    <row r="346" spans="2:22" s="239" customFormat="1">
      <c r="S346" s="240"/>
      <c r="T346" s="240"/>
      <c r="U346" s="240"/>
      <c r="V346" s="240"/>
    </row>
    <row r="347" spans="2:22" s="239" customFormat="1">
      <c r="B347" s="241"/>
      <c r="P347" s="242"/>
      <c r="S347" s="240"/>
      <c r="T347" s="240"/>
      <c r="U347" s="240"/>
      <c r="V347" s="240"/>
    </row>
    <row r="348" spans="2:22" s="239" customFormat="1">
      <c r="S348" s="240"/>
      <c r="T348" s="240"/>
      <c r="U348" s="240"/>
      <c r="V348" s="240"/>
    </row>
    <row r="349" spans="2:22" s="239" customFormat="1">
      <c r="S349" s="240"/>
      <c r="T349" s="240"/>
      <c r="U349" s="240"/>
      <c r="V349" s="240"/>
    </row>
    <row r="350" spans="2:22" s="239" customFormat="1">
      <c r="B350" s="241"/>
      <c r="P350" s="242"/>
      <c r="S350" s="240"/>
      <c r="T350" s="240"/>
      <c r="U350" s="240"/>
      <c r="V350" s="240"/>
    </row>
    <row r="351" spans="2:22" s="239" customFormat="1">
      <c r="S351" s="240"/>
      <c r="T351" s="240"/>
      <c r="U351" s="240"/>
      <c r="V351" s="240"/>
    </row>
    <row r="352" spans="2:22" s="239" customFormat="1">
      <c r="S352" s="240"/>
      <c r="T352" s="240"/>
      <c r="U352" s="240"/>
      <c r="V352" s="240"/>
    </row>
    <row r="353" spans="2:22" s="239" customFormat="1">
      <c r="B353" s="241"/>
      <c r="P353" s="242"/>
      <c r="S353" s="240"/>
      <c r="T353" s="240"/>
      <c r="U353" s="240"/>
      <c r="V353" s="240"/>
    </row>
    <row r="354" spans="2:22" s="239" customFormat="1">
      <c r="S354" s="240"/>
      <c r="T354" s="240"/>
      <c r="U354" s="240"/>
      <c r="V354" s="240"/>
    </row>
    <row r="355" spans="2:22" s="239" customFormat="1">
      <c r="S355" s="240"/>
      <c r="T355" s="240"/>
      <c r="U355" s="240"/>
      <c r="V355" s="240"/>
    </row>
    <row r="356" spans="2:22" s="239" customFormat="1">
      <c r="B356" s="241"/>
      <c r="P356" s="242"/>
      <c r="S356" s="240"/>
      <c r="T356" s="240"/>
      <c r="U356" s="240"/>
      <c r="V356" s="240"/>
    </row>
    <row r="357" spans="2:22" s="239" customFormat="1">
      <c r="S357" s="240"/>
      <c r="T357" s="240"/>
      <c r="U357" s="240"/>
      <c r="V357" s="240"/>
    </row>
    <row r="358" spans="2:22" s="239" customFormat="1">
      <c r="S358" s="240"/>
      <c r="T358" s="240"/>
      <c r="U358" s="240"/>
      <c r="V358" s="240"/>
    </row>
    <row r="359" spans="2:22" s="239" customFormat="1">
      <c r="B359" s="241"/>
      <c r="P359" s="242"/>
      <c r="S359" s="240"/>
      <c r="T359" s="240"/>
      <c r="U359" s="240"/>
      <c r="V359" s="240"/>
    </row>
    <row r="360" spans="2:22" s="239" customFormat="1">
      <c r="S360" s="240"/>
      <c r="T360" s="240"/>
      <c r="U360" s="240"/>
      <c r="V360" s="240"/>
    </row>
    <row r="361" spans="2:22" s="239" customFormat="1">
      <c r="S361" s="240"/>
      <c r="T361" s="240"/>
      <c r="U361" s="240"/>
      <c r="V361" s="240"/>
    </row>
    <row r="362" spans="2:22" s="239" customFormat="1">
      <c r="B362" s="241"/>
      <c r="P362" s="242"/>
      <c r="S362" s="240"/>
      <c r="T362" s="240"/>
      <c r="U362" s="240"/>
      <c r="V362" s="240"/>
    </row>
    <row r="363" spans="2:22" s="239" customFormat="1">
      <c r="S363" s="240"/>
      <c r="T363" s="240"/>
      <c r="U363" s="240"/>
      <c r="V363" s="240"/>
    </row>
    <row r="364" spans="2:22" s="239" customFormat="1">
      <c r="S364" s="240"/>
      <c r="T364" s="240"/>
      <c r="U364" s="240"/>
      <c r="V364" s="240"/>
    </row>
    <row r="365" spans="2:22" s="239" customFormat="1">
      <c r="B365" s="241"/>
      <c r="P365" s="242"/>
      <c r="S365" s="240"/>
      <c r="T365" s="240"/>
      <c r="U365" s="240"/>
      <c r="V365" s="240"/>
    </row>
    <row r="366" spans="2:22" s="239" customFormat="1">
      <c r="S366" s="240"/>
      <c r="T366" s="240"/>
      <c r="U366" s="240"/>
      <c r="V366" s="240"/>
    </row>
    <row r="367" spans="2:22" s="239" customFormat="1">
      <c r="S367" s="240"/>
      <c r="T367" s="240"/>
      <c r="U367" s="240"/>
      <c r="V367" s="240"/>
    </row>
    <row r="368" spans="2:22" s="239" customFormat="1">
      <c r="B368" s="241"/>
      <c r="P368" s="242"/>
      <c r="S368" s="240"/>
      <c r="T368" s="240"/>
      <c r="U368" s="240"/>
      <c r="V368" s="240"/>
    </row>
    <row r="369" spans="2:22" s="239" customFormat="1">
      <c r="S369" s="240"/>
      <c r="T369" s="240"/>
      <c r="U369" s="240"/>
      <c r="V369" s="240"/>
    </row>
    <row r="370" spans="2:22" s="239" customFormat="1">
      <c r="S370" s="240"/>
      <c r="T370" s="240"/>
      <c r="U370" s="240"/>
      <c r="V370" s="240"/>
    </row>
    <row r="371" spans="2:22" s="239" customFormat="1">
      <c r="B371" s="241"/>
      <c r="P371" s="242"/>
      <c r="S371" s="240"/>
      <c r="T371" s="240"/>
      <c r="U371" s="240"/>
      <c r="V371" s="240"/>
    </row>
    <row r="372" spans="2:22" s="239" customFormat="1">
      <c r="S372" s="240"/>
      <c r="T372" s="240"/>
      <c r="U372" s="240"/>
      <c r="V372" s="240"/>
    </row>
    <row r="373" spans="2:22" s="239" customFormat="1">
      <c r="S373" s="240"/>
      <c r="T373" s="240"/>
      <c r="U373" s="240"/>
      <c r="V373" s="240"/>
    </row>
    <row r="374" spans="2:22" s="239" customFormat="1">
      <c r="B374" s="241"/>
      <c r="P374" s="242"/>
      <c r="S374" s="240"/>
      <c r="T374" s="240"/>
      <c r="U374" s="240"/>
      <c r="V374" s="240"/>
    </row>
    <row r="375" spans="2:22" s="239" customFormat="1">
      <c r="S375" s="240"/>
      <c r="T375" s="240"/>
      <c r="U375" s="240"/>
      <c r="V375" s="240"/>
    </row>
    <row r="376" spans="2:22" s="239" customFormat="1">
      <c r="S376" s="240"/>
      <c r="T376" s="240"/>
      <c r="U376" s="240"/>
      <c r="V376" s="240"/>
    </row>
    <row r="377" spans="2:22" s="239" customFormat="1">
      <c r="B377" s="241"/>
      <c r="P377" s="242"/>
      <c r="S377" s="240"/>
      <c r="T377" s="240"/>
      <c r="U377" s="240"/>
      <c r="V377" s="240"/>
    </row>
    <row r="378" spans="2:22" s="239" customFormat="1">
      <c r="S378" s="240"/>
      <c r="T378" s="240"/>
      <c r="U378" s="240"/>
      <c r="V378" s="240"/>
    </row>
    <row r="379" spans="2:22" s="239" customFormat="1">
      <c r="S379" s="240"/>
      <c r="T379" s="240"/>
      <c r="U379" s="240"/>
      <c r="V379" s="240"/>
    </row>
    <row r="380" spans="2:22" s="239" customFormat="1">
      <c r="B380" s="241"/>
      <c r="P380" s="242"/>
      <c r="S380" s="240"/>
      <c r="T380" s="240"/>
      <c r="U380" s="240"/>
      <c r="V380" s="240"/>
    </row>
    <row r="381" spans="2:22" s="239" customFormat="1">
      <c r="S381" s="240"/>
      <c r="T381" s="240"/>
      <c r="U381" s="240"/>
      <c r="V381" s="240"/>
    </row>
    <row r="382" spans="2:22" s="239" customFormat="1">
      <c r="S382" s="240"/>
      <c r="T382" s="240"/>
      <c r="U382" s="240"/>
      <c r="V382" s="240"/>
    </row>
    <row r="383" spans="2:22" s="239" customFormat="1">
      <c r="B383" s="241"/>
      <c r="P383" s="242"/>
      <c r="S383" s="240"/>
      <c r="T383" s="240"/>
      <c r="U383" s="240"/>
      <c r="V383" s="240"/>
    </row>
    <row r="384" spans="2:22" s="239" customFormat="1">
      <c r="S384" s="240"/>
      <c r="T384" s="240"/>
      <c r="U384" s="240"/>
      <c r="V384" s="240"/>
    </row>
    <row r="385" spans="2:22" s="239" customFormat="1">
      <c r="S385" s="240"/>
      <c r="T385" s="240"/>
      <c r="U385" s="240"/>
      <c r="V385" s="240"/>
    </row>
    <row r="386" spans="2:22" s="239" customFormat="1">
      <c r="B386" s="241"/>
      <c r="P386" s="242"/>
      <c r="S386" s="240"/>
      <c r="T386" s="240"/>
      <c r="U386" s="240"/>
      <c r="V386" s="240"/>
    </row>
    <row r="387" spans="2:22" s="239" customFormat="1">
      <c r="S387" s="240"/>
      <c r="T387" s="240"/>
      <c r="U387" s="240"/>
      <c r="V387" s="240"/>
    </row>
    <row r="388" spans="2:22" s="239" customFormat="1">
      <c r="S388" s="240"/>
      <c r="T388" s="240"/>
      <c r="U388" s="240"/>
      <c r="V388" s="240"/>
    </row>
    <row r="389" spans="2:22" s="239" customFormat="1">
      <c r="B389" s="241"/>
      <c r="P389" s="242"/>
      <c r="S389" s="240"/>
      <c r="T389" s="240"/>
      <c r="U389" s="240"/>
      <c r="V389" s="240"/>
    </row>
    <row r="390" spans="2:22" s="239" customFormat="1">
      <c r="S390" s="240"/>
      <c r="T390" s="240"/>
      <c r="U390" s="240"/>
      <c r="V390" s="240"/>
    </row>
    <row r="391" spans="2:22" s="239" customFormat="1">
      <c r="S391" s="240"/>
      <c r="T391" s="240"/>
      <c r="U391" s="240"/>
      <c r="V391" s="240"/>
    </row>
    <row r="392" spans="2:22" s="239" customFormat="1">
      <c r="B392" s="241"/>
      <c r="P392" s="242"/>
      <c r="S392" s="240"/>
      <c r="T392" s="240"/>
      <c r="U392" s="240"/>
      <c r="V392" s="240"/>
    </row>
    <row r="393" spans="2:22" s="239" customFormat="1">
      <c r="S393" s="240"/>
      <c r="T393" s="240"/>
      <c r="U393" s="240"/>
      <c r="V393" s="240"/>
    </row>
    <row r="394" spans="2:22" s="239" customFormat="1">
      <c r="S394" s="240"/>
      <c r="T394" s="240"/>
      <c r="U394" s="240"/>
      <c r="V394" s="240"/>
    </row>
    <row r="395" spans="2:22" s="239" customFormat="1">
      <c r="B395" s="241"/>
      <c r="P395" s="242"/>
      <c r="S395" s="240"/>
      <c r="T395" s="240"/>
      <c r="U395" s="240"/>
      <c r="V395" s="240"/>
    </row>
    <row r="396" spans="2:22" s="239" customFormat="1">
      <c r="S396" s="240"/>
      <c r="T396" s="240"/>
      <c r="U396" s="240"/>
      <c r="V396" s="240"/>
    </row>
    <row r="397" spans="2:22" s="239" customFormat="1">
      <c r="S397" s="240"/>
      <c r="T397" s="240"/>
      <c r="U397" s="240"/>
      <c r="V397" s="240"/>
    </row>
    <row r="398" spans="2:22" s="239" customFormat="1">
      <c r="B398" s="241"/>
      <c r="P398" s="242"/>
      <c r="S398" s="240"/>
      <c r="T398" s="240"/>
      <c r="U398" s="240"/>
      <c r="V398" s="240"/>
    </row>
    <row r="399" spans="2:22" s="239" customFormat="1">
      <c r="S399" s="240"/>
      <c r="T399" s="240"/>
      <c r="U399" s="240"/>
      <c r="V399" s="240"/>
    </row>
    <row r="400" spans="2:22" s="239" customFormat="1">
      <c r="S400" s="240"/>
      <c r="T400" s="240"/>
      <c r="U400" s="240"/>
      <c r="V400" s="240"/>
    </row>
    <row r="401" spans="2:22" s="239" customFormat="1">
      <c r="B401" s="241"/>
      <c r="P401" s="242"/>
      <c r="S401" s="240"/>
      <c r="T401" s="240"/>
      <c r="U401" s="240"/>
      <c r="V401" s="240"/>
    </row>
    <row r="402" spans="2:22" s="239" customFormat="1">
      <c r="S402" s="240"/>
      <c r="T402" s="240"/>
      <c r="U402" s="240"/>
      <c r="V402" s="240"/>
    </row>
    <row r="403" spans="2:22" s="239" customFormat="1">
      <c r="S403" s="240"/>
      <c r="T403" s="240"/>
      <c r="U403" s="240"/>
      <c r="V403" s="240"/>
    </row>
    <row r="404" spans="2:22" s="239" customFormat="1">
      <c r="B404" s="241"/>
      <c r="P404" s="242"/>
      <c r="S404" s="240"/>
      <c r="T404" s="240"/>
      <c r="U404" s="240"/>
      <c r="V404" s="240"/>
    </row>
    <row r="405" spans="2:22" s="239" customFormat="1">
      <c r="S405" s="240"/>
      <c r="T405" s="240"/>
      <c r="U405" s="240"/>
      <c r="V405" s="240"/>
    </row>
    <row r="406" spans="2:22" s="239" customFormat="1">
      <c r="S406" s="240"/>
      <c r="T406" s="240"/>
      <c r="U406" s="240"/>
      <c r="V406" s="240"/>
    </row>
    <row r="407" spans="2:22" s="239" customFormat="1">
      <c r="B407" s="241"/>
      <c r="P407" s="242"/>
      <c r="S407" s="240"/>
      <c r="T407" s="240"/>
      <c r="U407" s="240"/>
      <c r="V407" s="240"/>
    </row>
    <row r="408" spans="2:22" s="239" customFormat="1">
      <c r="S408" s="240"/>
      <c r="T408" s="240"/>
      <c r="U408" s="240"/>
      <c r="V408" s="240"/>
    </row>
    <row r="409" spans="2:22" s="239" customFormat="1">
      <c r="S409" s="240"/>
      <c r="T409" s="240"/>
      <c r="U409" s="240"/>
      <c r="V409" s="240"/>
    </row>
    <row r="410" spans="2:22" s="239" customFormat="1">
      <c r="B410" s="241"/>
      <c r="P410" s="242"/>
      <c r="S410" s="240"/>
      <c r="T410" s="240"/>
      <c r="U410" s="240"/>
      <c r="V410" s="240"/>
    </row>
    <row r="411" spans="2:22" s="239" customFormat="1">
      <c r="S411" s="240"/>
      <c r="T411" s="240"/>
      <c r="U411" s="240"/>
      <c r="V411" s="240"/>
    </row>
    <row r="412" spans="2:22" s="239" customFormat="1">
      <c r="S412" s="240"/>
      <c r="T412" s="240"/>
      <c r="U412" s="240"/>
      <c r="V412" s="240"/>
    </row>
    <row r="413" spans="2:22" s="239" customFormat="1">
      <c r="B413" s="241"/>
      <c r="P413" s="242"/>
      <c r="S413" s="240"/>
      <c r="T413" s="240"/>
      <c r="U413" s="240"/>
      <c r="V413" s="240"/>
    </row>
    <row r="414" spans="2:22" s="239" customFormat="1">
      <c r="S414" s="240"/>
      <c r="T414" s="240"/>
      <c r="U414" s="240"/>
      <c r="V414" s="240"/>
    </row>
    <row r="415" spans="2:22" s="239" customFormat="1">
      <c r="S415" s="240"/>
      <c r="T415" s="240"/>
      <c r="U415" s="240"/>
      <c r="V415" s="240"/>
    </row>
    <row r="416" spans="2:22" s="239" customFormat="1">
      <c r="B416" s="241"/>
      <c r="P416" s="242"/>
      <c r="S416" s="240"/>
      <c r="T416" s="240"/>
      <c r="U416" s="240"/>
      <c r="V416" s="240"/>
    </row>
    <row r="417" spans="2:22" s="239" customFormat="1">
      <c r="S417" s="240"/>
      <c r="T417" s="240"/>
      <c r="U417" s="240"/>
      <c r="V417" s="240"/>
    </row>
    <row r="418" spans="2:22" s="239" customFormat="1">
      <c r="S418" s="240"/>
      <c r="T418" s="240"/>
      <c r="U418" s="240"/>
      <c r="V418" s="240"/>
    </row>
    <row r="419" spans="2:22" s="239" customFormat="1">
      <c r="B419" s="241"/>
      <c r="P419" s="242"/>
      <c r="S419" s="240"/>
      <c r="T419" s="240"/>
      <c r="U419" s="240"/>
      <c r="V419" s="240"/>
    </row>
    <row r="420" spans="2:22" s="239" customFormat="1">
      <c r="S420" s="240"/>
      <c r="T420" s="240"/>
      <c r="U420" s="240"/>
      <c r="V420" s="240"/>
    </row>
    <row r="421" spans="2:22" s="239" customFormat="1">
      <c r="S421" s="240"/>
      <c r="T421" s="240"/>
      <c r="U421" s="240"/>
      <c r="V421" s="240"/>
    </row>
    <row r="422" spans="2:22" s="239" customFormat="1">
      <c r="B422" s="241"/>
      <c r="P422" s="242"/>
      <c r="S422" s="240"/>
      <c r="T422" s="240"/>
      <c r="U422" s="240"/>
      <c r="V422" s="240"/>
    </row>
    <row r="423" spans="2:22" s="239" customFormat="1">
      <c r="S423" s="240"/>
      <c r="T423" s="240"/>
      <c r="U423" s="240"/>
      <c r="V423" s="240"/>
    </row>
    <row r="424" spans="2:22" s="239" customFormat="1">
      <c r="S424" s="240"/>
      <c r="T424" s="240"/>
      <c r="U424" s="240"/>
      <c r="V424" s="240"/>
    </row>
    <row r="425" spans="2:22" s="239" customFormat="1">
      <c r="B425" s="241"/>
      <c r="P425" s="242"/>
      <c r="S425" s="240"/>
      <c r="T425" s="240"/>
      <c r="U425" s="240"/>
      <c r="V425" s="240"/>
    </row>
    <row r="426" spans="2:22" s="239" customFormat="1">
      <c r="S426" s="240"/>
      <c r="T426" s="240"/>
      <c r="U426" s="240"/>
      <c r="V426" s="240"/>
    </row>
    <row r="427" spans="2:22" s="239" customFormat="1">
      <c r="S427" s="240"/>
      <c r="T427" s="240"/>
      <c r="U427" s="240"/>
      <c r="V427" s="240"/>
    </row>
    <row r="428" spans="2:22" s="239" customFormat="1">
      <c r="B428" s="241"/>
      <c r="P428" s="242"/>
      <c r="S428" s="240"/>
      <c r="T428" s="240"/>
      <c r="U428" s="240"/>
      <c r="V428" s="240"/>
    </row>
    <row r="429" spans="2:22" s="239" customFormat="1">
      <c r="S429" s="240"/>
      <c r="T429" s="240"/>
      <c r="U429" s="240"/>
      <c r="V429" s="240"/>
    </row>
    <row r="430" spans="2:22" s="239" customFormat="1">
      <c r="S430" s="240"/>
      <c r="T430" s="240"/>
      <c r="U430" s="240"/>
      <c r="V430" s="240"/>
    </row>
    <row r="431" spans="2:22" s="239" customFormat="1">
      <c r="B431" s="241"/>
      <c r="P431" s="242"/>
      <c r="S431" s="240"/>
      <c r="T431" s="240"/>
      <c r="U431" s="240"/>
      <c r="V431" s="240"/>
    </row>
    <row r="432" spans="2:22" s="239" customFormat="1">
      <c r="S432" s="240"/>
      <c r="T432" s="240"/>
      <c r="U432" s="240"/>
      <c r="V432" s="240"/>
    </row>
    <row r="433" spans="2:22" s="239" customFormat="1">
      <c r="S433" s="240"/>
      <c r="T433" s="240"/>
      <c r="U433" s="240"/>
      <c r="V433" s="240"/>
    </row>
    <row r="434" spans="2:22" s="239" customFormat="1">
      <c r="B434" s="241"/>
      <c r="P434" s="242"/>
      <c r="S434" s="240"/>
      <c r="T434" s="240"/>
      <c r="U434" s="240"/>
      <c r="V434" s="240"/>
    </row>
    <row r="435" spans="2:22" s="239" customFormat="1">
      <c r="S435" s="240"/>
      <c r="T435" s="240"/>
      <c r="U435" s="240"/>
      <c r="V435" s="240"/>
    </row>
    <row r="436" spans="2:22" s="239" customFormat="1">
      <c r="S436" s="240"/>
      <c r="T436" s="240"/>
      <c r="U436" s="240"/>
      <c r="V436" s="240"/>
    </row>
    <row r="437" spans="2:22" s="239" customFormat="1">
      <c r="B437" s="241"/>
      <c r="P437" s="242"/>
      <c r="S437" s="240"/>
      <c r="T437" s="240"/>
      <c r="U437" s="240"/>
      <c r="V437" s="240"/>
    </row>
    <row r="438" spans="2:22" s="239" customFormat="1">
      <c r="S438" s="240"/>
      <c r="T438" s="240"/>
      <c r="U438" s="240"/>
      <c r="V438" s="240"/>
    </row>
    <row r="439" spans="2:22" s="239" customFormat="1">
      <c r="S439" s="240"/>
      <c r="T439" s="240"/>
      <c r="U439" s="240"/>
      <c r="V439" s="240"/>
    </row>
    <row r="440" spans="2:22" s="239" customFormat="1">
      <c r="B440" s="241"/>
      <c r="P440" s="242"/>
      <c r="S440" s="240"/>
      <c r="T440" s="240"/>
      <c r="U440" s="240"/>
      <c r="V440" s="240"/>
    </row>
    <row r="441" spans="2:22" s="239" customFormat="1">
      <c r="S441" s="240"/>
      <c r="T441" s="240"/>
      <c r="U441" s="240"/>
      <c r="V441" s="240"/>
    </row>
    <row r="442" spans="2:22" s="239" customFormat="1">
      <c r="S442" s="240"/>
      <c r="T442" s="240"/>
      <c r="U442" s="240"/>
      <c r="V442" s="240"/>
    </row>
    <row r="443" spans="2:22" s="239" customFormat="1">
      <c r="B443" s="241"/>
      <c r="P443" s="242"/>
      <c r="S443" s="240"/>
      <c r="T443" s="240"/>
      <c r="U443" s="240"/>
      <c r="V443" s="240"/>
    </row>
    <row r="444" spans="2:22" s="239" customFormat="1">
      <c r="S444" s="240"/>
      <c r="T444" s="240"/>
      <c r="U444" s="240"/>
      <c r="V444" s="240"/>
    </row>
    <row r="445" spans="2:22" s="239" customFormat="1">
      <c r="S445" s="240"/>
      <c r="T445" s="240"/>
      <c r="U445" s="240"/>
      <c r="V445" s="240"/>
    </row>
    <row r="446" spans="2:22" s="239" customFormat="1">
      <c r="B446" s="241"/>
      <c r="P446" s="242"/>
      <c r="S446" s="240"/>
      <c r="T446" s="240"/>
      <c r="U446" s="240"/>
      <c r="V446" s="240"/>
    </row>
    <row r="447" spans="2:22" s="239" customFormat="1">
      <c r="S447" s="240"/>
      <c r="T447" s="240"/>
      <c r="U447" s="240"/>
      <c r="V447" s="240"/>
    </row>
    <row r="448" spans="2:22" s="239" customFormat="1">
      <c r="S448" s="240"/>
      <c r="T448" s="240"/>
      <c r="U448" s="240"/>
      <c r="V448" s="240"/>
    </row>
    <row r="449" spans="2:22" s="239" customFormat="1">
      <c r="B449" s="241"/>
      <c r="P449" s="242"/>
      <c r="S449" s="240"/>
      <c r="T449" s="240"/>
      <c r="U449" s="240"/>
      <c r="V449" s="240"/>
    </row>
    <row r="450" spans="2:22" s="239" customFormat="1">
      <c r="S450" s="240"/>
      <c r="T450" s="240"/>
      <c r="U450" s="240"/>
      <c r="V450" s="240"/>
    </row>
    <row r="451" spans="2:22" s="239" customFormat="1">
      <c r="S451" s="240"/>
      <c r="T451" s="240"/>
      <c r="U451" s="240"/>
      <c r="V451" s="240"/>
    </row>
    <row r="452" spans="2:22" s="239" customFormat="1">
      <c r="B452" s="241"/>
      <c r="P452" s="242"/>
      <c r="S452" s="240"/>
      <c r="T452" s="240"/>
      <c r="U452" s="240"/>
      <c r="V452" s="240"/>
    </row>
    <row r="453" spans="2:22" s="239" customFormat="1">
      <c r="S453" s="240"/>
      <c r="T453" s="240"/>
      <c r="U453" s="240"/>
      <c r="V453" s="240"/>
    </row>
    <row r="454" spans="2:22" s="239" customFormat="1">
      <c r="S454" s="240"/>
      <c r="T454" s="240"/>
      <c r="U454" s="240"/>
      <c r="V454" s="240"/>
    </row>
    <row r="455" spans="2:22" s="239" customFormat="1">
      <c r="B455" s="241"/>
      <c r="P455" s="242"/>
      <c r="S455" s="240"/>
      <c r="T455" s="240"/>
      <c r="U455" s="240"/>
      <c r="V455" s="240"/>
    </row>
    <row r="456" spans="2:22" s="239" customFormat="1">
      <c r="S456" s="240"/>
      <c r="T456" s="240"/>
      <c r="U456" s="240"/>
      <c r="V456" s="240"/>
    </row>
    <row r="457" spans="2:22" s="239" customFormat="1">
      <c r="S457" s="240"/>
      <c r="T457" s="240"/>
      <c r="U457" s="240"/>
      <c r="V457" s="240"/>
    </row>
    <row r="458" spans="2:22" s="239" customFormat="1">
      <c r="B458" s="241"/>
      <c r="P458" s="242"/>
      <c r="S458" s="240"/>
      <c r="T458" s="240"/>
      <c r="U458" s="240"/>
      <c r="V458" s="240"/>
    </row>
    <row r="459" spans="2:22" s="239" customFormat="1">
      <c r="S459" s="240"/>
      <c r="T459" s="240"/>
      <c r="U459" s="240"/>
      <c r="V459" s="240"/>
    </row>
    <row r="460" spans="2:22" s="239" customFormat="1">
      <c r="S460" s="240"/>
      <c r="T460" s="240"/>
      <c r="U460" s="240"/>
      <c r="V460" s="240"/>
    </row>
    <row r="461" spans="2:22" s="239" customFormat="1">
      <c r="B461" s="241"/>
      <c r="P461" s="242"/>
      <c r="S461" s="240"/>
      <c r="T461" s="240"/>
      <c r="U461" s="240"/>
      <c r="V461" s="240"/>
    </row>
    <row r="462" spans="2:22" s="239" customFormat="1">
      <c r="S462" s="240"/>
      <c r="T462" s="240"/>
      <c r="U462" s="240"/>
      <c r="V462" s="240"/>
    </row>
    <row r="463" spans="2:22" s="239" customFormat="1">
      <c r="S463" s="240"/>
      <c r="T463" s="240"/>
      <c r="U463" s="240"/>
      <c r="V463" s="240"/>
    </row>
    <row r="464" spans="2:22" s="239" customFormat="1">
      <c r="B464" s="241"/>
      <c r="P464" s="242"/>
      <c r="S464" s="240"/>
      <c r="T464" s="240"/>
      <c r="U464" s="240"/>
      <c r="V464" s="240"/>
    </row>
    <row r="465" spans="2:22" s="239" customFormat="1">
      <c r="S465" s="240"/>
      <c r="T465" s="240"/>
      <c r="U465" s="240"/>
      <c r="V465" s="240"/>
    </row>
    <row r="466" spans="2:22" s="239" customFormat="1">
      <c r="S466" s="240"/>
      <c r="T466" s="240"/>
      <c r="U466" s="240"/>
      <c r="V466" s="240"/>
    </row>
    <row r="467" spans="2:22" s="239" customFormat="1">
      <c r="B467" s="241"/>
      <c r="P467" s="242"/>
      <c r="S467" s="240"/>
      <c r="T467" s="240"/>
      <c r="U467" s="240"/>
      <c r="V467" s="240"/>
    </row>
    <row r="468" spans="2:22" s="239" customFormat="1">
      <c r="S468" s="240"/>
      <c r="T468" s="240"/>
      <c r="U468" s="240"/>
      <c r="V468" s="240"/>
    </row>
    <row r="469" spans="2:22" s="239" customFormat="1">
      <c r="S469" s="240"/>
      <c r="T469" s="240"/>
      <c r="U469" s="240"/>
      <c r="V469" s="240"/>
    </row>
    <row r="470" spans="2:22" s="239" customFormat="1">
      <c r="B470" s="241"/>
      <c r="P470" s="242"/>
      <c r="S470" s="240"/>
      <c r="T470" s="240"/>
      <c r="U470" s="240"/>
      <c r="V470" s="240"/>
    </row>
    <row r="471" spans="2:22" s="239" customFormat="1">
      <c r="S471" s="240"/>
      <c r="T471" s="240"/>
      <c r="U471" s="240"/>
      <c r="V471" s="240"/>
    </row>
    <row r="472" spans="2:22" s="239" customFormat="1">
      <c r="S472" s="240"/>
      <c r="T472" s="240"/>
      <c r="U472" s="240"/>
      <c r="V472" s="240"/>
    </row>
    <row r="473" spans="2:22" s="239" customFormat="1">
      <c r="B473" s="241"/>
      <c r="P473" s="242"/>
      <c r="S473" s="240"/>
      <c r="T473" s="240"/>
      <c r="U473" s="240"/>
      <c r="V473" s="240"/>
    </row>
    <row r="474" spans="2:22" s="239" customFormat="1">
      <c r="S474" s="240"/>
      <c r="T474" s="240"/>
      <c r="U474" s="240"/>
      <c r="V474" s="240"/>
    </row>
    <row r="475" spans="2:22" s="239" customFormat="1">
      <c r="S475" s="240"/>
      <c r="T475" s="240"/>
      <c r="U475" s="240"/>
      <c r="V475" s="240"/>
    </row>
    <row r="476" spans="2:22" s="239" customFormat="1">
      <c r="B476" s="241"/>
      <c r="P476" s="242"/>
      <c r="S476" s="240"/>
      <c r="T476" s="240"/>
      <c r="U476" s="240"/>
      <c r="V476" s="240"/>
    </row>
    <row r="477" spans="2:22" s="239" customFormat="1">
      <c r="S477" s="240"/>
      <c r="T477" s="240"/>
      <c r="U477" s="240"/>
      <c r="V477" s="240"/>
    </row>
    <row r="478" spans="2:22" s="239" customFormat="1">
      <c r="S478" s="240"/>
      <c r="T478" s="240"/>
      <c r="U478" s="240"/>
      <c r="V478" s="240"/>
    </row>
    <row r="479" spans="2:22" s="239" customFormat="1">
      <c r="B479" s="241"/>
      <c r="P479" s="242"/>
      <c r="S479" s="240"/>
      <c r="T479" s="240"/>
      <c r="U479" s="240"/>
      <c r="V479" s="240"/>
    </row>
    <row r="480" spans="2:22" s="239" customFormat="1">
      <c r="S480" s="240"/>
      <c r="T480" s="240"/>
      <c r="U480" s="240"/>
      <c r="V480" s="240"/>
    </row>
    <row r="481" spans="2:22" s="239" customFormat="1">
      <c r="S481" s="240"/>
      <c r="T481" s="240"/>
      <c r="U481" s="240"/>
      <c r="V481" s="240"/>
    </row>
    <row r="482" spans="2:22" s="239" customFormat="1">
      <c r="B482" s="241"/>
      <c r="P482" s="242"/>
      <c r="S482" s="240"/>
      <c r="T482" s="240"/>
      <c r="U482" s="240"/>
      <c r="V482" s="240"/>
    </row>
    <row r="483" spans="2:22" s="239" customFormat="1">
      <c r="S483" s="240"/>
      <c r="T483" s="240"/>
      <c r="U483" s="240"/>
      <c r="V483" s="240"/>
    </row>
    <row r="484" spans="2:22" s="239" customFormat="1">
      <c r="S484" s="240"/>
      <c r="T484" s="240"/>
      <c r="U484" s="240"/>
      <c r="V484" s="240"/>
    </row>
    <row r="485" spans="2:22" s="239" customFormat="1">
      <c r="B485" s="241"/>
      <c r="P485" s="242"/>
      <c r="S485" s="240"/>
      <c r="T485" s="240"/>
      <c r="U485" s="240"/>
      <c r="V485" s="240"/>
    </row>
    <row r="486" spans="2:22" s="239" customFormat="1">
      <c r="S486" s="240"/>
      <c r="T486" s="240"/>
      <c r="U486" s="240"/>
      <c r="V486" s="240"/>
    </row>
    <row r="487" spans="2:22" s="239" customFormat="1">
      <c r="S487" s="240"/>
      <c r="T487" s="240"/>
      <c r="U487" s="240"/>
      <c r="V487" s="240"/>
    </row>
    <row r="488" spans="2:22" s="239" customFormat="1">
      <c r="B488" s="241"/>
      <c r="P488" s="242"/>
      <c r="S488" s="240"/>
      <c r="T488" s="240"/>
      <c r="U488" s="240"/>
      <c r="V488" s="240"/>
    </row>
    <row r="489" spans="2:22" s="239" customFormat="1">
      <c r="S489" s="240"/>
      <c r="T489" s="240"/>
      <c r="U489" s="240"/>
      <c r="V489" s="240"/>
    </row>
    <row r="490" spans="2:22" s="239" customFormat="1">
      <c r="S490" s="240"/>
      <c r="T490" s="240"/>
      <c r="U490" s="240"/>
      <c r="V490" s="240"/>
    </row>
    <row r="491" spans="2:22" s="239" customFormat="1">
      <c r="B491" s="241"/>
      <c r="P491" s="242"/>
      <c r="S491" s="240"/>
      <c r="T491" s="240"/>
      <c r="U491" s="240"/>
      <c r="V491" s="240"/>
    </row>
    <row r="492" spans="2:22" s="239" customFormat="1">
      <c r="S492" s="240"/>
      <c r="T492" s="240"/>
      <c r="U492" s="240"/>
      <c r="V492" s="240"/>
    </row>
    <row r="493" spans="2:22" s="239" customFormat="1">
      <c r="S493" s="240"/>
      <c r="T493" s="240"/>
      <c r="U493" s="240"/>
      <c r="V493" s="240"/>
    </row>
    <row r="494" spans="2:22" s="239" customFormat="1">
      <c r="B494" s="241"/>
      <c r="P494" s="242"/>
      <c r="S494" s="240"/>
      <c r="T494" s="240"/>
      <c r="U494" s="240"/>
      <c r="V494" s="240"/>
    </row>
    <row r="495" spans="2:22" s="239" customFormat="1">
      <c r="S495" s="240"/>
      <c r="T495" s="240"/>
      <c r="U495" s="240"/>
      <c r="V495" s="240"/>
    </row>
    <row r="496" spans="2:22" s="239" customFormat="1">
      <c r="S496" s="240"/>
      <c r="T496" s="240"/>
      <c r="U496" s="240"/>
      <c r="V496" s="240"/>
    </row>
    <row r="497" spans="2:22" s="239" customFormat="1">
      <c r="B497" s="241"/>
      <c r="P497" s="242"/>
      <c r="S497" s="240"/>
      <c r="T497" s="240"/>
      <c r="U497" s="240"/>
      <c r="V497" s="240"/>
    </row>
    <row r="498" spans="2:22" s="239" customFormat="1">
      <c r="S498" s="240"/>
      <c r="T498" s="240"/>
      <c r="U498" s="240"/>
      <c r="V498" s="240"/>
    </row>
    <row r="499" spans="2:22" s="239" customFormat="1">
      <c r="S499" s="240"/>
      <c r="T499" s="240"/>
      <c r="U499" s="240"/>
      <c r="V499" s="240"/>
    </row>
    <row r="500" spans="2:22" s="239" customFormat="1">
      <c r="B500" s="241"/>
      <c r="P500" s="242"/>
      <c r="S500" s="240"/>
      <c r="T500" s="240"/>
      <c r="U500" s="240"/>
      <c r="V500" s="240"/>
    </row>
    <row r="501" spans="2:22" s="239" customFormat="1">
      <c r="S501" s="240"/>
      <c r="T501" s="240"/>
      <c r="U501" s="240"/>
      <c r="V501" s="240"/>
    </row>
    <row r="502" spans="2:22" s="239" customFormat="1">
      <c r="S502" s="240"/>
      <c r="T502" s="240"/>
      <c r="U502" s="240"/>
      <c r="V502" s="240"/>
    </row>
    <row r="503" spans="2:22" s="239" customFormat="1">
      <c r="B503" s="241"/>
      <c r="P503" s="242"/>
      <c r="S503" s="240"/>
      <c r="T503" s="240"/>
      <c r="U503" s="240"/>
      <c r="V503" s="240"/>
    </row>
    <row r="504" spans="2:22" s="239" customFormat="1">
      <c r="S504" s="240"/>
      <c r="T504" s="240"/>
      <c r="U504" s="240"/>
      <c r="V504" s="240"/>
    </row>
    <row r="505" spans="2:22" s="239" customFormat="1">
      <c r="S505" s="240"/>
      <c r="T505" s="240"/>
      <c r="U505" s="240"/>
      <c r="V505" s="240"/>
    </row>
    <row r="506" spans="2:22" s="239" customFormat="1">
      <c r="B506" s="241"/>
      <c r="P506" s="242"/>
      <c r="S506" s="240"/>
      <c r="T506" s="240"/>
      <c r="U506" s="240"/>
      <c r="V506" s="240"/>
    </row>
    <row r="507" spans="2:22" s="239" customFormat="1">
      <c r="S507" s="240"/>
      <c r="T507" s="240"/>
      <c r="U507" s="240"/>
      <c r="V507" s="240"/>
    </row>
    <row r="508" spans="2:22" s="239" customFormat="1">
      <c r="S508" s="240"/>
      <c r="T508" s="240"/>
      <c r="U508" s="240"/>
      <c r="V508" s="240"/>
    </row>
    <row r="509" spans="2:22" s="239" customFormat="1">
      <c r="B509" s="241"/>
      <c r="P509" s="242"/>
      <c r="S509" s="240"/>
      <c r="T509" s="240"/>
      <c r="U509" s="240"/>
      <c r="V509" s="240"/>
    </row>
    <row r="510" spans="2:22" s="239" customFormat="1">
      <c r="S510" s="240"/>
      <c r="T510" s="240"/>
      <c r="U510" s="240"/>
      <c r="V510" s="240"/>
    </row>
    <row r="511" spans="2:22" s="239" customFormat="1">
      <c r="S511" s="240"/>
      <c r="T511" s="240"/>
      <c r="U511" s="240"/>
      <c r="V511" s="240"/>
    </row>
    <row r="512" spans="2:22" s="239" customFormat="1">
      <c r="B512" s="241"/>
      <c r="P512" s="242"/>
      <c r="S512" s="240"/>
      <c r="T512" s="240"/>
      <c r="U512" s="240"/>
      <c r="V512" s="240"/>
    </row>
    <row r="513" spans="2:22" s="239" customFormat="1">
      <c r="S513" s="240"/>
      <c r="T513" s="240"/>
      <c r="U513" s="240"/>
      <c r="V513" s="240"/>
    </row>
    <row r="514" spans="2:22" s="239" customFormat="1">
      <c r="S514" s="240"/>
      <c r="T514" s="240"/>
      <c r="U514" s="240"/>
      <c r="V514" s="240"/>
    </row>
    <row r="515" spans="2:22" s="239" customFormat="1">
      <c r="B515" s="241"/>
      <c r="P515" s="242"/>
      <c r="S515" s="240"/>
      <c r="T515" s="240"/>
      <c r="U515" s="240"/>
      <c r="V515" s="240"/>
    </row>
    <row r="516" spans="2:22" s="239" customFormat="1">
      <c r="S516" s="240"/>
      <c r="T516" s="240"/>
      <c r="U516" s="240"/>
      <c r="V516" s="240"/>
    </row>
    <row r="517" spans="2:22" s="239" customFormat="1">
      <c r="S517" s="240"/>
      <c r="T517" s="240"/>
      <c r="U517" s="240"/>
      <c r="V517" s="240"/>
    </row>
    <row r="518" spans="2:22" s="239" customFormat="1">
      <c r="B518" s="241"/>
      <c r="P518" s="242"/>
      <c r="S518" s="240"/>
      <c r="T518" s="240"/>
      <c r="U518" s="240"/>
      <c r="V518" s="240"/>
    </row>
    <row r="519" spans="2:22" s="239" customFormat="1">
      <c r="S519" s="240"/>
      <c r="T519" s="240"/>
      <c r="U519" s="240"/>
      <c r="V519" s="240"/>
    </row>
    <row r="520" spans="2:22" s="239" customFormat="1">
      <c r="S520" s="240"/>
      <c r="T520" s="240"/>
      <c r="U520" s="240"/>
      <c r="V520" s="240"/>
    </row>
    <row r="521" spans="2:22" s="239" customFormat="1">
      <c r="B521" s="241"/>
      <c r="P521" s="242"/>
      <c r="S521" s="240"/>
      <c r="T521" s="240"/>
      <c r="U521" s="240"/>
      <c r="V521" s="240"/>
    </row>
    <row r="522" spans="2:22" s="239" customFormat="1">
      <c r="S522" s="240"/>
      <c r="T522" s="240"/>
      <c r="U522" s="240"/>
      <c r="V522" s="240"/>
    </row>
    <row r="523" spans="2:22" s="239" customFormat="1">
      <c r="S523" s="240"/>
      <c r="T523" s="240"/>
      <c r="U523" s="240"/>
      <c r="V523" s="240"/>
    </row>
    <row r="524" spans="2:22" s="239" customFormat="1">
      <c r="B524" s="241"/>
      <c r="P524" s="242"/>
      <c r="S524" s="240"/>
      <c r="T524" s="240"/>
      <c r="U524" s="240"/>
      <c r="V524" s="240"/>
    </row>
    <row r="525" spans="2:22" s="239" customFormat="1">
      <c r="S525" s="240"/>
      <c r="T525" s="240"/>
      <c r="U525" s="240"/>
      <c r="V525" s="240"/>
    </row>
    <row r="526" spans="2:22" s="239" customFormat="1">
      <c r="S526" s="240"/>
      <c r="T526" s="240"/>
      <c r="U526" s="240"/>
      <c r="V526" s="240"/>
    </row>
    <row r="527" spans="2:22" s="239" customFormat="1">
      <c r="B527" s="241"/>
      <c r="P527" s="242"/>
      <c r="S527" s="240"/>
      <c r="T527" s="240"/>
      <c r="U527" s="240"/>
      <c r="V527" s="240"/>
    </row>
    <row r="528" spans="2:22" s="239" customFormat="1">
      <c r="S528" s="240"/>
      <c r="T528" s="240"/>
      <c r="U528" s="240"/>
      <c r="V528" s="240"/>
    </row>
    <row r="529" spans="2:22" s="239" customFormat="1">
      <c r="S529" s="240"/>
      <c r="T529" s="240"/>
      <c r="U529" s="240"/>
      <c r="V529" s="240"/>
    </row>
    <row r="530" spans="2:22" s="239" customFormat="1">
      <c r="B530" s="241"/>
      <c r="P530" s="242"/>
      <c r="S530" s="240"/>
      <c r="T530" s="240"/>
      <c r="U530" s="240"/>
      <c r="V530" s="240"/>
    </row>
    <row r="531" spans="2:22" s="239" customFormat="1">
      <c r="S531" s="240"/>
      <c r="T531" s="240"/>
      <c r="U531" s="240"/>
      <c r="V531" s="240"/>
    </row>
    <row r="532" spans="2:22" s="239" customFormat="1">
      <c r="S532" s="240"/>
      <c r="T532" s="240"/>
      <c r="U532" s="240"/>
      <c r="V532" s="240"/>
    </row>
    <row r="533" spans="2:22" s="239" customFormat="1">
      <c r="B533" s="241"/>
      <c r="P533" s="242"/>
      <c r="S533" s="240"/>
      <c r="T533" s="240"/>
      <c r="U533" s="240"/>
      <c r="V533" s="240"/>
    </row>
    <row r="534" spans="2:22" s="239" customFormat="1">
      <c r="S534" s="240"/>
      <c r="T534" s="240"/>
      <c r="U534" s="240"/>
      <c r="V534" s="240"/>
    </row>
    <row r="535" spans="2:22" s="239" customFormat="1">
      <c r="S535" s="240"/>
      <c r="T535" s="240"/>
      <c r="U535" s="240"/>
      <c r="V535" s="240"/>
    </row>
    <row r="536" spans="2:22" s="239" customFormat="1">
      <c r="B536" s="241"/>
      <c r="P536" s="242"/>
      <c r="S536" s="240"/>
      <c r="T536" s="240"/>
      <c r="U536" s="240"/>
      <c r="V536" s="240"/>
    </row>
    <row r="537" spans="2:22" s="239" customFormat="1">
      <c r="S537" s="240"/>
      <c r="T537" s="240"/>
      <c r="U537" s="240"/>
      <c r="V537" s="240"/>
    </row>
    <row r="538" spans="2:22" s="239" customFormat="1">
      <c r="S538" s="240"/>
      <c r="T538" s="240"/>
      <c r="U538" s="240"/>
      <c r="V538" s="240"/>
    </row>
    <row r="539" spans="2:22" s="239" customFormat="1">
      <c r="B539" s="241"/>
      <c r="P539" s="242"/>
      <c r="S539" s="240"/>
      <c r="T539" s="240"/>
      <c r="U539" s="240"/>
      <c r="V539" s="240"/>
    </row>
    <row r="540" spans="2:22" s="239" customFormat="1">
      <c r="S540" s="240"/>
      <c r="T540" s="240"/>
      <c r="U540" s="240"/>
      <c r="V540" s="240"/>
    </row>
    <row r="541" spans="2:22" s="239" customFormat="1">
      <c r="S541" s="240"/>
      <c r="T541" s="240"/>
      <c r="U541" s="240"/>
      <c r="V541" s="240"/>
    </row>
    <row r="542" spans="2:22" s="239" customFormat="1">
      <c r="B542" s="241"/>
      <c r="P542" s="242"/>
      <c r="S542" s="240"/>
      <c r="T542" s="240"/>
      <c r="U542" s="240"/>
      <c r="V542" s="240"/>
    </row>
    <row r="543" spans="2:22" s="239" customFormat="1">
      <c r="S543" s="240"/>
      <c r="T543" s="240"/>
      <c r="U543" s="240"/>
      <c r="V543" s="240"/>
    </row>
    <row r="544" spans="2:22" s="239" customFormat="1">
      <c r="S544" s="240"/>
      <c r="T544" s="240"/>
      <c r="U544" s="240"/>
      <c r="V544" s="240"/>
    </row>
    <row r="545" spans="2:22" s="239" customFormat="1">
      <c r="B545" s="241"/>
      <c r="P545" s="242"/>
      <c r="S545" s="240"/>
      <c r="T545" s="240"/>
      <c r="U545" s="240"/>
      <c r="V545" s="240"/>
    </row>
    <row r="546" spans="2:22" s="239" customFormat="1">
      <c r="S546" s="240"/>
      <c r="T546" s="240"/>
      <c r="U546" s="240"/>
      <c r="V546" s="240"/>
    </row>
    <row r="547" spans="2:22" s="239" customFormat="1">
      <c r="S547" s="240"/>
      <c r="T547" s="240"/>
      <c r="U547" s="240"/>
      <c r="V547" s="240"/>
    </row>
    <row r="548" spans="2:22" s="239" customFormat="1">
      <c r="B548" s="241"/>
      <c r="P548" s="242"/>
      <c r="S548" s="240"/>
      <c r="T548" s="240"/>
      <c r="U548" s="240"/>
      <c r="V548" s="240"/>
    </row>
    <row r="549" spans="2:22" s="239" customFormat="1">
      <c r="S549" s="240"/>
      <c r="T549" s="240"/>
      <c r="U549" s="240"/>
      <c r="V549" s="240"/>
    </row>
    <row r="550" spans="2:22" s="239" customFormat="1">
      <c r="S550" s="240"/>
      <c r="T550" s="240"/>
      <c r="U550" s="240"/>
      <c r="V550" s="240"/>
    </row>
    <row r="551" spans="2:22" s="239" customFormat="1">
      <c r="B551" s="241"/>
      <c r="P551" s="242"/>
      <c r="S551" s="240"/>
      <c r="T551" s="240"/>
      <c r="U551" s="240"/>
      <c r="V551" s="240"/>
    </row>
    <row r="552" spans="2:22" s="239" customFormat="1">
      <c r="S552" s="240"/>
      <c r="T552" s="240"/>
      <c r="U552" s="240"/>
      <c r="V552" s="240"/>
    </row>
    <row r="553" spans="2:22" s="239" customFormat="1">
      <c r="S553" s="240"/>
      <c r="T553" s="240"/>
      <c r="U553" s="240"/>
      <c r="V553" s="240"/>
    </row>
    <row r="554" spans="2:22" s="239" customFormat="1">
      <c r="B554" s="241"/>
      <c r="P554" s="242"/>
      <c r="S554" s="240"/>
      <c r="T554" s="240"/>
      <c r="U554" s="240"/>
      <c r="V554" s="240"/>
    </row>
    <row r="555" spans="2:22" s="239" customFormat="1">
      <c r="S555" s="240"/>
      <c r="T555" s="240"/>
      <c r="U555" s="240"/>
      <c r="V555" s="240"/>
    </row>
    <row r="556" spans="2:22" s="239" customFormat="1">
      <c r="S556" s="240"/>
      <c r="T556" s="240"/>
      <c r="U556" s="240"/>
      <c r="V556" s="240"/>
    </row>
    <row r="557" spans="2:22" s="239" customFormat="1">
      <c r="B557" s="241"/>
      <c r="P557" s="242"/>
      <c r="S557" s="240"/>
      <c r="T557" s="240"/>
      <c r="U557" s="240"/>
      <c r="V557" s="240"/>
    </row>
    <row r="558" spans="2:22" s="239" customFormat="1">
      <c r="S558" s="240"/>
      <c r="T558" s="240"/>
      <c r="U558" s="240"/>
      <c r="V558" s="240"/>
    </row>
    <row r="559" spans="2:22" s="239" customFormat="1">
      <c r="S559" s="240"/>
      <c r="T559" s="240"/>
      <c r="U559" s="240"/>
      <c r="V559" s="240"/>
    </row>
    <row r="560" spans="2:22" s="239" customFormat="1">
      <c r="B560" s="241"/>
      <c r="P560" s="242"/>
      <c r="S560" s="240"/>
      <c r="T560" s="240"/>
      <c r="U560" s="240"/>
      <c r="V560" s="240"/>
    </row>
    <row r="561" spans="2:22" s="239" customFormat="1">
      <c r="S561" s="240"/>
      <c r="T561" s="240"/>
      <c r="U561" s="240"/>
      <c r="V561" s="240"/>
    </row>
    <row r="562" spans="2:22" s="239" customFormat="1">
      <c r="S562" s="240"/>
      <c r="T562" s="240"/>
      <c r="U562" s="240"/>
      <c r="V562" s="240"/>
    </row>
    <row r="563" spans="2:22" s="239" customFormat="1">
      <c r="B563" s="241"/>
      <c r="P563" s="242"/>
      <c r="S563" s="240"/>
      <c r="T563" s="240"/>
      <c r="U563" s="240"/>
      <c r="V563" s="240"/>
    </row>
    <row r="564" spans="2:22" s="239" customFormat="1">
      <c r="S564" s="240"/>
      <c r="T564" s="240"/>
      <c r="U564" s="240"/>
      <c r="V564" s="240"/>
    </row>
    <row r="565" spans="2:22" s="239" customFormat="1">
      <c r="S565" s="240"/>
      <c r="T565" s="240"/>
      <c r="U565" s="240"/>
      <c r="V565" s="240"/>
    </row>
    <row r="566" spans="2:22" s="239" customFormat="1">
      <c r="B566" s="241"/>
      <c r="P566" s="242"/>
      <c r="S566" s="240"/>
      <c r="T566" s="240"/>
      <c r="U566" s="240"/>
      <c r="V566" s="240"/>
    </row>
    <row r="567" spans="2:22" s="239" customFormat="1">
      <c r="S567" s="240"/>
      <c r="T567" s="240"/>
      <c r="U567" s="240"/>
      <c r="V567" s="240"/>
    </row>
    <row r="568" spans="2:22" s="239" customFormat="1">
      <c r="S568" s="240"/>
      <c r="T568" s="240"/>
      <c r="U568" s="240"/>
      <c r="V568" s="240"/>
    </row>
    <row r="569" spans="2:22" s="239" customFormat="1">
      <c r="B569" s="241"/>
      <c r="P569" s="242"/>
      <c r="S569" s="240"/>
      <c r="T569" s="240"/>
      <c r="U569" s="240"/>
      <c r="V569" s="240"/>
    </row>
    <row r="570" spans="2:22" s="239" customFormat="1">
      <c r="S570" s="240"/>
      <c r="T570" s="240"/>
      <c r="U570" s="240"/>
      <c r="V570" s="240"/>
    </row>
    <row r="571" spans="2:22" s="239" customFormat="1">
      <c r="S571" s="240"/>
      <c r="T571" s="240"/>
      <c r="U571" s="240"/>
      <c r="V571" s="240"/>
    </row>
    <row r="572" spans="2:22" s="239" customFormat="1">
      <c r="B572" s="241"/>
      <c r="P572" s="242"/>
      <c r="S572" s="240"/>
      <c r="T572" s="240"/>
      <c r="U572" s="240"/>
      <c r="V572" s="240"/>
    </row>
    <row r="573" spans="2:22" s="239" customFormat="1">
      <c r="S573" s="240"/>
      <c r="T573" s="240"/>
      <c r="U573" s="240"/>
      <c r="V573" s="240"/>
    </row>
    <row r="574" spans="2:22" s="239" customFormat="1">
      <c r="S574" s="240"/>
      <c r="T574" s="240"/>
      <c r="U574" s="240"/>
      <c r="V574" s="240"/>
    </row>
    <row r="575" spans="2:22" s="239" customFormat="1">
      <c r="B575" s="241"/>
      <c r="P575" s="242"/>
      <c r="S575" s="240"/>
      <c r="T575" s="240"/>
      <c r="U575" s="240"/>
      <c r="V575" s="240"/>
    </row>
    <row r="576" spans="2:22" s="239" customFormat="1">
      <c r="S576" s="240"/>
      <c r="T576" s="240"/>
      <c r="U576" s="240"/>
      <c r="V576" s="240"/>
    </row>
    <row r="577" spans="2:22" s="239" customFormat="1">
      <c r="S577" s="240"/>
      <c r="T577" s="240"/>
      <c r="U577" s="240"/>
      <c r="V577" s="240"/>
    </row>
    <row r="578" spans="2:22" s="239" customFormat="1">
      <c r="B578" s="241"/>
      <c r="P578" s="242"/>
      <c r="S578" s="240"/>
      <c r="T578" s="240"/>
      <c r="U578" s="240"/>
      <c r="V578" s="240"/>
    </row>
    <row r="579" spans="2:22" s="239" customFormat="1">
      <c r="S579" s="240"/>
      <c r="T579" s="240"/>
      <c r="U579" s="240"/>
      <c r="V579" s="240"/>
    </row>
    <row r="580" spans="2:22" s="239" customFormat="1">
      <c r="S580" s="240"/>
      <c r="T580" s="240"/>
      <c r="U580" s="240"/>
      <c r="V580" s="240"/>
    </row>
    <row r="581" spans="2:22" s="239" customFormat="1">
      <c r="B581" s="241"/>
      <c r="P581" s="242"/>
      <c r="S581" s="240"/>
      <c r="T581" s="240"/>
      <c r="U581" s="240"/>
      <c r="V581" s="240"/>
    </row>
    <row r="582" spans="2:22" s="239" customFormat="1">
      <c r="S582" s="240"/>
      <c r="T582" s="240"/>
      <c r="U582" s="240"/>
      <c r="V582" s="240"/>
    </row>
    <row r="583" spans="2:22" s="239" customFormat="1">
      <c r="S583" s="240"/>
      <c r="T583" s="240"/>
      <c r="U583" s="240"/>
      <c r="V583" s="240"/>
    </row>
    <row r="584" spans="2:22" s="239" customFormat="1">
      <c r="B584" s="241"/>
      <c r="P584" s="242"/>
      <c r="S584" s="240"/>
      <c r="T584" s="240"/>
      <c r="U584" s="240"/>
      <c r="V584" s="240"/>
    </row>
    <row r="585" spans="2:22" s="239" customFormat="1">
      <c r="S585" s="240"/>
      <c r="T585" s="240"/>
      <c r="U585" s="240"/>
      <c r="V585" s="240"/>
    </row>
    <row r="586" spans="2:22" s="239" customFormat="1">
      <c r="S586" s="240"/>
      <c r="T586" s="240"/>
      <c r="U586" s="240"/>
      <c r="V586" s="240"/>
    </row>
    <row r="587" spans="2:22" s="239" customFormat="1">
      <c r="B587" s="241"/>
      <c r="P587" s="242"/>
      <c r="S587" s="240"/>
      <c r="T587" s="240"/>
      <c r="U587" s="240"/>
      <c r="V587" s="240"/>
    </row>
    <row r="588" spans="2:22" s="239" customFormat="1">
      <c r="S588" s="240"/>
      <c r="T588" s="240"/>
      <c r="U588" s="240"/>
      <c r="V588" s="240"/>
    </row>
    <row r="589" spans="2:22" s="239" customFormat="1">
      <c r="S589" s="240"/>
      <c r="T589" s="240"/>
      <c r="U589" s="240"/>
      <c r="V589" s="240"/>
    </row>
    <row r="590" spans="2:22" s="239" customFormat="1">
      <c r="B590" s="241"/>
      <c r="P590" s="242"/>
      <c r="S590" s="240"/>
      <c r="T590" s="240"/>
      <c r="U590" s="240"/>
      <c r="V590" s="240"/>
    </row>
    <row r="591" spans="2:22" s="239" customFormat="1">
      <c r="S591" s="240"/>
      <c r="T591" s="240"/>
      <c r="U591" s="240"/>
      <c r="V591" s="240"/>
    </row>
    <row r="592" spans="2:22" s="239" customFormat="1">
      <c r="S592" s="240"/>
      <c r="T592" s="240"/>
      <c r="U592" s="240"/>
      <c r="V592" s="240"/>
    </row>
    <row r="593" spans="2:22" s="239" customFormat="1">
      <c r="B593" s="241"/>
      <c r="P593" s="242"/>
      <c r="S593" s="240"/>
      <c r="T593" s="240"/>
      <c r="U593" s="240"/>
      <c r="V593" s="240"/>
    </row>
    <row r="594" spans="2:22" s="239" customFormat="1">
      <c r="S594" s="240"/>
      <c r="T594" s="240"/>
      <c r="U594" s="240"/>
      <c r="V594" s="240"/>
    </row>
    <row r="595" spans="2:22" s="239" customFormat="1">
      <c r="S595" s="240"/>
      <c r="T595" s="240"/>
      <c r="U595" s="240"/>
      <c r="V595" s="240"/>
    </row>
    <row r="596" spans="2:22" s="239" customFormat="1">
      <c r="B596" s="241"/>
      <c r="P596" s="242"/>
      <c r="S596" s="240"/>
      <c r="T596" s="240"/>
      <c r="U596" s="240"/>
      <c r="V596" s="240"/>
    </row>
    <row r="597" spans="2:22" s="239" customFormat="1">
      <c r="S597" s="240"/>
      <c r="T597" s="240"/>
      <c r="U597" s="240"/>
      <c r="V597" s="240"/>
    </row>
    <row r="598" spans="2:22" s="239" customFormat="1">
      <c r="S598" s="240"/>
      <c r="T598" s="240"/>
      <c r="U598" s="240"/>
      <c r="V598" s="240"/>
    </row>
    <row r="599" spans="2:22" s="239" customFormat="1">
      <c r="B599" s="241"/>
      <c r="P599" s="242"/>
      <c r="S599" s="240"/>
      <c r="T599" s="240"/>
      <c r="U599" s="240"/>
      <c r="V599" s="240"/>
    </row>
    <row r="600" spans="2:22" s="239" customFormat="1">
      <c r="S600" s="240"/>
      <c r="T600" s="240"/>
      <c r="U600" s="240"/>
      <c r="V600" s="240"/>
    </row>
    <row r="601" spans="2:22" s="239" customFormat="1">
      <c r="S601" s="240"/>
      <c r="T601" s="240"/>
      <c r="U601" s="240"/>
      <c r="V601" s="240"/>
    </row>
    <row r="602" spans="2:22" s="239" customFormat="1">
      <c r="B602" s="241"/>
      <c r="P602" s="242"/>
      <c r="S602" s="240"/>
      <c r="T602" s="240"/>
      <c r="U602" s="240"/>
      <c r="V602" s="240"/>
    </row>
    <row r="603" spans="2:22" s="239" customFormat="1">
      <c r="S603" s="240"/>
      <c r="T603" s="240"/>
      <c r="U603" s="240"/>
      <c r="V603" s="240"/>
    </row>
    <row r="604" spans="2:22" s="239" customFormat="1">
      <c r="S604" s="240"/>
      <c r="T604" s="240"/>
      <c r="U604" s="240"/>
      <c r="V604" s="240"/>
    </row>
    <row r="605" spans="2:22" s="239" customFormat="1">
      <c r="B605" s="241"/>
      <c r="P605" s="242"/>
      <c r="S605" s="240"/>
      <c r="T605" s="240"/>
      <c r="U605" s="240"/>
      <c r="V605" s="240"/>
    </row>
    <row r="606" spans="2:22" s="239" customFormat="1">
      <c r="S606" s="240"/>
      <c r="T606" s="240"/>
      <c r="U606" s="240"/>
      <c r="V606" s="240"/>
    </row>
    <row r="607" spans="2:22" s="239" customFormat="1">
      <c r="S607" s="240"/>
      <c r="T607" s="240"/>
      <c r="U607" s="240"/>
      <c r="V607" s="240"/>
    </row>
    <row r="608" spans="2:22" s="239" customFormat="1">
      <c r="B608" s="241"/>
      <c r="P608" s="242"/>
      <c r="S608" s="240"/>
      <c r="T608" s="240"/>
      <c r="U608" s="240"/>
      <c r="V608" s="240"/>
    </row>
    <row r="609" spans="2:22" s="239" customFormat="1">
      <c r="S609" s="240"/>
      <c r="T609" s="240"/>
      <c r="U609" s="240"/>
      <c r="V609" s="240"/>
    </row>
    <row r="610" spans="2:22" s="239" customFormat="1">
      <c r="S610" s="240"/>
      <c r="T610" s="240"/>
      <c r="U610" s="240"/>
      <c r="V610" s="240"/>
    </row>
    <row r="611" spans="2:22" s="239" customFormat="1">
      <c r="B611" s="241"/>
      <c r="P611" s="242"/>
      <c r="S611" s="240"/>
      <c r="T611" s="240"/>
      <c r="U611" s="240"/>
      <c r="V611" s="240"/>
    </row>
    <row r="612" spans="2:22" s="239" customFormat="1">
      <c r="S612" s="240"/>
      <c r="T612" s="240"/>
      <c r="U612" s="240"/>
      <c r="V612" s="240"/>
    </row>
    <row r="613" spans="2:22" s="239" customFormat="1">
      <c r="S613" s="240"/>
      <c r="T613" s="240"/>
      <c r="U613" s="240"/>
      <c r="V613" s="240"/>
    </row>
    <row r="614" spans="2:22" s="239" customFormat="1">
      <c r="B614" s="241"/>
      <c r="P614" s="242"/>
      <c r="S614" s="240"/>
      <c r="T614" s="240"/>
      <c r="U614" s="240"/>
      <c r="V614" s="240"/>
    </row>
    <row r="615" spans="2:22" s="239" customFormat="1">
      <c r="S615" s="240"/>
      <c r="T615" s="240"/>
      <c r="U615" s="240"/>
      <c r="V615" s="240"/>
    </row>
    <row r="616" spans="2:22" s="239" customFormat="1">
      <c r="S616" s="240"/>
      <c r="T616" s="240"/>
      <c r="U616" s="240"/>
      <c r="V616" s="240"/>
    </row>
    <row r="617" spans="2:22" s="239" customFormat="1">
      <c r="B617" s="241"/>
      <c r="P617" s="242"/>
      <c r="S617" s="240"/>
      <c r="T617" s="240"/>
      <c r="U617" s="240"/>
      <c r="V617" s="240"/>
    </row>
    <row r="618" spans="2:22" s="239" customFormat="1"/>
    <row r="619" spans="2:22" s="239" customFormat="1"/>
    <row r="620" spans="2:22" s="239" customFormat="1"/>
    <row r="621" spans="2:22" s="239" customFormat="1"/>
    <row r="622" spans="2:22" s="239" customFormat="1"/>
    <row r="623" spans="2:22" s="239" customFormat="1"/>
    <row r="624" spans="2:22" s="239" customFormat="1"/>
    <row r="625" s="239" customFormat="1"/>
    <row r="626" s="239" customFormat="1"/>
    <row r="627" s="239" customFormat="1"/>
    <row r="628" s="239" customFormat="1"/>
    <row r="629" s="239" customFormat="1"/>
    <row r="630" s="239" customFormat="1"/>
    <row r="631" s="239" customFormat="1"/>
    <row r="632" s="239" customFormat="1"/>
    <row r="633" s="239" customFormat="1"/>
    <row r="634" s="239" customFormat="1"/>
    <row r="635" s="239" customFormat="1"/>
    <row r="636" s="239" customFormat="1"/>
    <row r="637" s="239" customFormat="1"/>
    <row r="638" s="239" customFormat="1"/>
    <row r="639" s="239" customFormat="1"/>
    <row r="640" s="239" customFormat="1"/>
    <row r="641" s="239" customFormat="1"/>
    <row r="642" s="239" customFormat="1"/>
    <row r="643" s="239" customFormat="1"/>
    <row r="644" s="239" customFormat="1"/>
    <row r="645" s="239" customFormat="1"/>
    <row r="646" s="239" customFormat="1"/>
    <row r="647" s="239" customFormat="1"/>
    <row r="648" s="239" customFormat="1"/>
    <row r="649" s="239" customFormat="1"/>
    <row r="650" s="239" customFormat="1"/>
    <row r="651" s="239" customFormat="1"/>
    <row r="652" s="239" customFormat="1"/>
    <row r="653" s="239" customFormat="1"/>
    <row r="654" s="239" customFormat="1"/>
    <row r="655" s="239" customFormat="1"/>
    <row r="656" s="239" customFormat="1"/>
    <row r="657" s="239" customFormat="1"/>
    <row r="658" s="239" customFormat="1"/>
    <row r="659" s="239" customFormat="1"/>
    <row r="660" s="239" customFormat="1"/>
    <row r="661" s="239" customFormat="1"/>
    <row r="662" s="239" customFormat="1"/>
    <row r="663" s="239" customFormat="1"/>
    <row r="664" s="239" customFormat="1"/>
    <row r="665" s="239" customFormat="1"/>
    <row r="666" s="239" customFormat="1"/>
    <row r="667" s="239" customFormat="1"/>
    <row r="668" s="239" customFormat="1"/>
    <row r="669" s="239" customFormat="1"/>
    <row r="670" s="239" customFormat="1"/>
    <row r="671" s="239" customFormat="1"/>
    <row r="672" s="239" customFormat="1"/>
    <row r="673" s="239" customFormat="1"/>
    <row r="674" s="239" customFormat="1"/>
    <row r="675" s="239" customFormat="1"/>
    <row r="676" s="239" customFormat="1"/>
    <row r="677" s="239" customFormat="1"/>
    <row r="678" s="239" customFormat="1"/>
    <row r="679" s="239" customFormat="1"/>
    <row r="680" s="239" customFormat="1"/>
    <row r="681" s="239" customFormat="1"/>
    <row r="682" s="239" customFormat="1"/>
    <row r="683" s="239" customFormat="1"/>
    <row r="684" s="239" customFormat="1"/>
    <row r="685" s="239" customFormat="1"/>
    <row r="686" s="239" customFormat="1"/>
    <row r="687" s="239" customFormat="1"/>
    <row r="688" s="239" customFormat="1"/>
    <row r="689" s="239" customFormat="1"/>
    <row r="690" s="239" customFormat="1"/>
    <row r="691" s="239" customFormat="1"/>
    <row r="692" s="239" customFormat="1"/>
    <row r="693" s="239" customFormat="1"/>
    <row r="694" s="239" customFormat="1"/>
    <row r="695" s="239" customFormat="1"/>
    <row r="696" s="239" customFormat="1"/>
    <row r="697" s="239" customFormat="1"/>
    <row r="698" s="239" customFormat="1"/>
    <row r="699" s="239" customFormat="1"/>
    <row r="700" s="239" customFormat="1"/>
    <row r="701" s="239" customFormat="1"/>
    <row r="702" s="239" customFormat="1"/>
    <row r="703" s="239" customFormat="1"/>
    <row r="704" s="239" customFormat="1"/>
    <row r="705" s="239" customFormat="1"/>
    <row r="706" s="239" customFormat="1"/>
    <row r="707" s="239" customFormat="1"/>
    <row r="708" s="239" customFormat="1"/>
    <row r="709" s="239" customFormat="1"/>
    <row r="710" s="239" customFormat="1"/>
    <row r="711" s="239" customFormat="1"/>
    <row r="712" s="239" customFormat="1"/>
    <row r="713" s="239" customFormat="1"/>
    <row r="714" s="239" customFormat="1"/>
    <row r="715" s="239" customFormat="1"/>
    <row r="716" s="239" customFormat="1"/>
    <row r="717" s="239" customFormat="1"/>
    <row r="718" s="239" customFormat="1"/>
    <row r="719" s="239" customFormat="1"/>
    <row r="720" s="239" customFormat="1"/>
    <row r="721" s="239" customFormat="1"/>
    <row r="722" s="239" customFormat="1"/>
    <row r="723" s="239" customFormat="1"/>
    <row r="724" s="239" customFormat="1"/>
    <row r="725" s="239" customFormat="1"/>
    <row r="726" s="239" customFormat="1"/>
    <row r="727" s="239" customFormat="1"/>
    <row r="728" s="239" customFormat="1"/>
    <row r="729" s="239" customFormat="1"/>
    <row r="730" s="239" customFormat="1"/>
    <row r="731" s="239" customFormat="1"/>
    <row r="732" s="239" customFormat="1"/>
    <row r="733" s="239" customFormat="1"/>
    <row r="734" s="239" customFormat="1"/>
    <row r="735" s="239" customFormat="1"/>
    <row r="736" s="239" customFormat="1"/>
    <row r="737" s="239" customFormat="1"/>
    <row r="738" s="239" customFormat="1"/>
    <row r="739" s="239" customFormat="1"/>
    <row r="740" s="239" customFormat="1"/>
    <row r="741" s="239" customFormat="1"/>
    <row r="742" s="239" customFormat="1"/>
    <row r="743" s="239" customFormat="1"/>
    <row r="744" s="239" customFormat="1"/>
    <row r="745" s="239" customFormat="1"/>
    <row r="746" s="239" customFormat="1"/>
    <row r="747" s="239" customFormat="1"/>
    <row r="748" s="239" customFormat="1"/>
    <row r="749" s="239" customFormat="1"/>
    <row r="750" s="239" customFormat="1"/>
    <row r="751" s="239" customFormat="1"/>
    <row r="752" s="239" customFormat="1"/>
    <row r="753" s="239" customFormat="1"/>
    <row r="754" s="239" customFormat="1"/>
    <row r="755" s="239" customFormat="1"/>
    <row r="756" s="239" customFormat="1"/>
    <row r="757" s="239" customFormat="1"/>
    <row r="758" s="239" customFormat="1"/>
    <row r="759" s="239" customFormat="1"/>
    <row r="760" s="239" customFormat="1"/>
    <row r="761" s="239" customFormat="1"/>
    <row r="762" s="239" customFormat="1"/>
    <row r="763" s="239" customFormat="1"/>
    <row r="764" s="239" customFormat="1"/>
    <row r="765" s="239" customFormat="1"/>
    <row r="766" s="239" customFormat="1"/>
    <row r="767" s="239" customFormat="1"/>
    <row r="768" s="239" customFormat="1"/>
    <row r="769" s="239" customFormat="1"/>
    <row r="770" s="239" customFormat="1"/>
    <row r="771" s="239" customFormat="1"/>
    <row r="772" s="239" customFormat="1"/>
    <row r="773" s="239" customFormat="1"/>
    <row r="774" s="239" customFormat="1"/>
    <row r="775" s="239" customFormat="1"/>
    <row r="776" s="239" customFormat="1"/>
    <row r="777" s="239" customFormat="1"/>
    <row r="778" s="239" customFormat="1"/>
    <row r="779" s="239" customFormat="1"/>
    <row r="780" s="239" customFormat="1"/>
    <row r="781" s="239" customFormat="1"/>
    <row r="782" s="239" customFormat="1"/>
    <row r="783" s="239" customFormat="1"/>
    <row r="784" s="239" customFormat="1"/>
    <row r="785" s="239" customFormat="1"/>
    <row r="786" s="239" customFormat="1"/>
    <row r="787" s="239" customFormat="1"/>
    <row r="788" s="239" customFormat="1"/>
    <row r="789" s="239" customFormat="1"/>
    <row r="790" s="239" customFormat="1"/>
    <row r="791" s="239" customFormat="1"/>
    <row r="792" s="239" customFormat="1"/>
    <row r="793" s="239" customFormat="1"/>
    <row r="794" s="239" customFormat="1"/>
    <row r="795" s="239" customFormat="1"/>
    <row r="796" s="239" customFormat="1"/>
    <row r="797" s="239" customFormat="1"/>
    <row r="798" s="239" customFormat="1"/>
    <row r="799" s="239" customFormat="1"/>
    <row r="800" s="239" customFormat="1"/>
    <row r="801" s="239" customFormat="1"/>
    <row r="802" s="239" customFormat="1"/>
    <row r="803" s="239" customFormat="1"/>
    <row r="804" s="239" customFormat="1"/>
    <row r="805" s="239" customFormat="1"/>
    <row r="806" s="239" customFormat="1"/>
    <row r="807" s="239" customFormat="1"/>
    <row r="808" s="239" customFormat="1"/>
    <row r="809" s="239" customFormat="1"/>
    <row r="810" s="239" customFormat="1"/>
    <row r="811" s="239" customFormat="1"/>
    <row r="812" s="239" customFormat="1"/>
    <row r="813" s="239" customFormat="1"/>
    <row r="814" s="239" customFormat="1"/>
    <row r="815" s="239" customFormat="1"/>
    <row r="816" s="239" customFormat="1"/>
    <row r="817" s="239" customFormat="1"/>
    <row r="818" s="239" customFormat="1"/>
    <row r="819" s="239" customFormat="1"/>
    <row r="820" s="239" customFormat="1"/>
    <row r="821" s="239" customFormat="1"/>
    <row r="822" s="239" customFormat="1"/>
    <row r="823" s="239" customFormat="1"/>
    <row r="824" s="239" customFormat="1"/>
    <row r="825" s="239" customFormat="1"/>
    <row r="826" s="239" customFormat="1"/>
    <row r="827" s="239" customFormat="1"/>
    <row r="828" s="239" customFormat="1"/>
    <row r="829" s="239" customFormat="1"/>
    <row r="830" s="239" customFormat="1"/>
    <row r="831" s="239" customFormat="1"/>
    <row r="832" s="239" customFormat="1"/>
    <row r="833" s="239" customFormat="1"/>
    <row r="834" s="239" customFormat="1"/>
    <row r="835" s="239" customFormat="1"/>
    <row r="836" s="239" customFormat="1"/>
    <row r="837" s="239" customFormat="1"/>
    <row r="838" s="239" customFormat="1"/>
    <row r="839" s="239" customFormat="1"/>
    <row r="840" s="239" customFormat="1"/>
    <row r="841" s="239" customFormat="1"/>
    <row r="842" s="239" customFormat="1"/>
    <row r="843" s="239" customFormat="1"/>
    <row r="844" s="239" customFormat="1"/>
    <row r="845" s="239" customFormat="1"/>
    <row r="846" s="239" customFormat="1"/>
    <row r="847" s="239" customFormat="1"/>
    <row r="848" s="239" customFormat="1"/>
    <row r="849" s="239" customFormat="1"/>
    <row r="850" s="239" customFormat="1"/>
    <row r="851" s="239" customFormat="1"/>
    <row r="852" s="239" customFormat="1"/>
    <row r="853" s="239" customFormat="1"/>
    <row r="854" s="239" customFormat="1"/>
    <row r="855" s="239" customFormat="1"/>
    <row r="856" s="239" customFormat="1"/>
    <row r="857" s="239" customFormat="1"/>
    <row r="858" s="239" customFormat="1"/>
    <row r="859" s="239" customFormat="1"/>
    <row r="860" s="239" customFormat="1"/>
    <row r="861" s="239" customFormat="1"/>
    <row r="862" s="239" customFormat="1"/>
    <row r="863" s="239" customFormat="1"/>
    <row r="864" s="239" customFormat="1"/>
    <row r="865" s="239" customFormat="1"/>
    <row r="866" s="239" customFormat="1"/>
    <row r="867" s="239" customFormat="1"/>
    <row r="868" s="239" customFormat="1"/>
    <row r="869" s="239" customFormat="1"/>
    <row r="870" s="239" customFormat="1"/>
    <row r="871" s="239" customFormat="1"/>
    <row r="872" s="239" customFormat="1"/>
    <row r="873" s="239" customFormat="1"/>
    <row r="874" s="239" customFormat="1"/>
    <row r="875" s="239" customFormat="1"/>
    <row r="876" s="239" customFormat="1"/>
    <row r="877" s="239" customFormat="1"/>
    <row r="878" s="239" customFormat="1"/>
    <row r="879" s="239" customFormat="1"/>
    <row r="880" s="239" customFormat="1"/>
    <row r="881" s="239" customFormat="1"/>
    <row r="882" s="239" customFormat="1"/>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Z882"/>
  <sheetViews>
    <sheetView workbookViewId="0"/>
  </sheetViews>
  <sheetFormatPr defaultColWidth="11.42578125" defaultRowHeight="15"/>
  <cols>
    <col min="1" max="1" width="7" style="236" customWidth="1"/>
    <col min="2" max="2" width="26.85546875" style="236" customWidth="1"/>
    <col min="3" max="3" width="9.28515625" style="236" customWidth="1"/>
    <col min="4" max="10" width="9.28515625" style="237" customWidth="1"/>
    <col min="11" max="11" width="10.140625" style="237" customWidth="1"/>
    <col min="12" max="15" width="11.140625" style="237" customWidth="1"/>
    <col min="16" max="16" width="10.140625" style="237" customWidth="1"/>
    <col min="17" max="18" width="11.140625" style="237" customWidth="1"/>
    <col min="19" max="19" width="10.140625" style="237" customWidth="1"/>
    <col min="20" max="22" width="11.140625" style="236" customWidth="1"/>
    <col min="23" max="23" width="10.140625" style="236" customWidth="1"/>
    <col min="24" max="25" width="11.140625" style="236" customWidth="1"/>
    <col min="26" max="26" width="10.140625" style="236" customWidth="1"/>
    <col min="27" max="16384" width="11.42578125" style="236"/>
  </cols>
  <sheetData>
    <row r="2" spans="1:26">
      <c r="S2" s="238"/>
      <c r="T2" s="238"/>
    </row>
    <row r="3" spans="1:26">
      <c r="A3" s="244"/>
      <c r="B3" s="245"/>
      <c r="C3" s="246"/>
      <c r="D3" s="247"/>
      <c r="E3" s="247"/>
      <c r="F3" s="247"/>
      <c r="G3" s="247"/>
      <c r="H3" s="247"/>
      <c r="I3" s="247"/>
      <c r="J3" s="271"/>
      <c r="K3" s="247"/>
      <c r="L3" s="247"/>
      <c r="M3" s="247"/>
      <c r="N3" s="247"/>
      <c r="O3" s="271"/>
      <c r="P3" s="247"/>
      <c r="Q3" s="247"/>
      <c r="R3" s="271"/>
      <c r="S3" s="248"/>
      <c r="T3" s="15"/>
      <c r="U3" s="15"/>
      <c r="V3" s="15"/>
      <c r="W3" s="15"/>
      <c r="X3" s="15"/>
      <c r="Y3" s="15"/>
      <c r="Z3" s="15"/>
    </row>
    <row r="4" spans="1:26">
      <c r="A4" s="244"/>
      <c r="B4" s="245"/>
      <c r="C4" s="246"/>
      <c r="D4" s="249"/>
      <c r="E4" s="249"/>
      <c r="F4" s="249"/>
      <c r="G4" s="249"/>
      <c r="H4" s="249"/>
      <c r="I4" s="249"/>
      <c r="J4" s="251"/>
      <c r="K4" s="246"/>
      <c r="L4" s="268"/>
      <c r="M4" s="249"/>
      <c r="N4" s="249"/>
      <c r="O4" s="251"/>
      <c r="P4" s="246"/>
      <c r="Q4" s="268"/>
      <c r="R4" s="251"/>
      <c r="S4" s="250"/>
      <c r="T4" s="15"/>
      <c r="U4" s="15"/>
      <c r="V4" s="15"/>
      <c r="W4" s="15"/>
      <c r="X4" s="15"/>
      <c r="Y4" s="15"/>
      <c r="Z4" s="15"/>
    </row>
    <row r="5" spans="1:26">
      <c r="A5" s="261"/>
      <c r="B5" s="262"/>
      <c r="C5" s="244"/>
      <c r="D5" s="270"/>
      <c r="E5" s="270"/>
      <c r="F5" s="270"/>
      <c r="G5" s="270"/>
      <c r="H5" s="270"/>
      <c r="I5" s="270"/>
      <c r="J5" s="270"/>
      <c r="K5" s="164"/>
      <c r="L5" s="269"/>
      <c r="M5" s="265"/>
      <c r="N5" s="265"/>
      <c r="O5" s="265"/>
      <c r="P5" s="263"/>
      <c r="Q5" s="269"/>
      <c r="R5" s="265"/>
      <c r="S5" s="264"/>
      <c r="T5" s="15"/>
      <c r="U5" s="15"/>
      <c r="V5" s="15"/>
      <c r="W5" s="15"/>
      <c r="X5" s="15"/>
      <c r="Y5" s="15"/>
      <c r="Z5" s="15"/>
    </row>
    <row r="6" spans="1:26" s="239" customFormat="1">
      <c r="A6" s="258"/>
      <c r="B6" s="253"/>
      <c r="C6" s="253"/>
      <c r="D6" s="253"/>
      <c r="E6" s="253"/>
      <c r="F6" s="253"/>
      <c r="G6" s="253"/>
      <c r="H6" s="253"/>
      <c r="I6" s="253"/>
      <c r="J6" s="253"/>
      <c r="K6" s="252"/>
      <c r="L6" s="266"/>
      <c r="M6" s="253"/>
      <c r="N6" s="253"/>
      <c r="O6" s="253"/>
      <c r="P6" s="252"/>
      <c r="Q6" s="266"/>
      <c r="R6" s="253"/>
      <c r="S6" s="254"/>
      <c r="T6" s="15"/>
      <c r="U6" s="15"/>
      <c r="V6" s="15"/>
      <c r="W6" s="15"/>
      <c r="X6" s="15"/>
      <c r="Y6" s="15"/>
      <c r="Z6" s="15"/>
    </row>
    <row r="7" spans="1:26" s="239" customFormat="1">
      <c r="A7" s="259"/>
      <c r="B7" s="256"/>
      <c r="C7" s="256"/>
      <c r="D7" s="256"/>
      <c r="E7" s="256"/>
      <c r="F7" s="256"/>
      <c r="G7" s="256"/>
      <c r="H7" s="256"/>
      <c r="I7" s="256"/>
      <c r="J7" s="256"/>
      <c r="K7" s="255"/>
      <c r="L7" s="267"/>
      <c r="M7" s="256"/>
      <c r="N7" s="256"/>
      <c r="O7" s="256"/>
      <c r="P7" s="255"/>
      <c r="Q7" s="267"/>
      <c r="R7" s="256"/>
      <c r="S7" s="257"/>
      <c r="T7" s="15"/>
      <c r="U7" s="15"/>
      <c r="V7" s="15"/>
      <c r="W7" s="15"/>
      <c r="X7" s="15"/>
      <c r="Y7" s="15"/>
      <c r="Z7" s="15"/>
    </row>
    <row r="8" spans="1:26" s="239" customFormat="1">
      <c r="A8" s="259"/>
      <c r="B8" s="253"/>
      <c r="C8" s="253"/>
      <c r="D8" s="253"/>
      <c r="E8" s="253"/>
      <c r="F8" s="253"/>
      <c r="G8" s="253"/>
      <c r="H8" s="253"/>
      <c r="I8" s="253"/>
      <c r="J8" s="253"/>
      <c r="K8" s="252"/>
      <c r="L8" s="266"/>
      <c r="M8" s="253"/>
      <c r="N8" s="253"/>
      <c r="O8" s="253"/>
      <c r="P8" s="252"/>
      <c r="Q8" s="266"/>
      <c r="R8" s="253"/>
      <c r="S8" s="254"/>
      <c r="T8" s="15"/>
      <c r="U8" s="15"/>
      <c r="V8" s="15"/>
      <c r="W8" s="15"/>
      <c r="X8" s="15"/>
      <c r="Y8" s="15"/>
      <c r="Z8" s="15"/>
    </row>
    <row r="9" spans="1:26" s="239" customFormat="1">
      <c r="A9" s="259"/>
      <c r="B9" s="256"/>
      <c r="C9" s="256"/>
      <c r="D9" s="256"/>
      <c r="E9" s="256"/>
      <c r="F9" s="256"/>
      <c r="G9" s="256"/>
      <c r="H9" s="256"/>
      <c r="I9" s="256"/>
      <c r="J9" s="256"/>
      <c r="K9" s="255"/>
      <c r="L9" s="267"/>
      <c r="M9" s="256"/>
      <c r="N9" s="256"/>
      <c r="O9" s="256"/>
      <c r="P9" s="255"/>
      <c r="Q9" s="267"/>
      <c r="R9" s="256"/>
      <c r="S9" s="257"/>
      <c r="T9" s="15"/>
      <c r="U9" s="15"/>
      <c r="V9" s="15"/>
      <c r="W9" s="15"/>
      <c r="X9" s="15"/>
      <c r="Y9" s="15"/>
      <c r="Z9" s="15"/>
    </row>
    <row r="10" spans="1:26" s="239" customFormat="1">
      <c r="A10" s="259"/>
      <c r="B10" s="253"/>
      <c r="C10" s="253"/>
      <c r="D10" s="253"/>
      <c r="E10" s="253"/>
      <c r="F10" s="253"/>
      <c r="G10" s="253"/>
      <c r="H10" s="253"/>
      <c r="I10" s="253"/>
      <c r="J10" s="253"/>
      <c r="K10" s="252"/>
      <c r="L10" s="266"/>
      <c r="M10" s="253"/>
      <c r="N10" s="253"/>
      <c r="O10" s="253"/>
      <c r="P10" s="252"/>
      <c r="Q10" s="266"/>
      <c r="R10" s="253"/>
      <c r="S10" s="254"/>
      <c r="T10" s="15"/>
      <c r="U10" s="15"/>
      <c r="V10" s="15"/>
      <c r="W10" s="15"/>
      <c r="X10" s="15"/>
      <c r="Y10" s="15"/>
      <c r="Z10" s="15"/>
    </row>
    <row r="11" spans="1:26" s="239" customFormat="1">
      <c r="A11" s="259"/>
      <c r="B11" s="256"/>
      <c r="C11" s="256"/>
      <c r="D11" s="256"/>
      <c r="E11" s="256"/>
      <c r="F11" s="256"/>
      <c r="G11" s="256"/>
      <c r="H11" s="256"/>
      <c r="I11" s="256"/>
      <c r="J11" s="256"/>
      <c r="K11" s="255"/>
      <c r="L11" s="267"/>
      <c r="M11" s="256"/>
      <c r="N11" s="256"/>
      <c r="O11" s="256"/>
      <c r="P11" s="255"/>
      <c r="Q11" s="267"/>
      <c r="R11" s="256"/>
      <c r="S11" s="257"/>
      <c r="T11" s="15"/>
      <c r="U11" s="15"/>
      <c r="V11" s="15"/>
      <c r="W11" s="15"/>
      <c r="X11" s="15"/>
      <c r="Y11" s="15"/>
      <c r="Z11" s="15"/>
    </row>
    <row r="12" spans="1:26" s="239" customFormat="1">
      <c r="A12" s="259"/>
      <c r="B12" s="253"/>
      <c r="C12" s="253"/>
      <c r="D12" s="253"/>
      <c r="E12" s="253"/>
      <c r="F12" s="253"/>
      <c r="G12" s="253"/>
      <c r="H12" s="253"/>
      <c r="I12" s="253"/>
      <c r="J12" s="253"/>
      <c r="K12" s="252"/>
      <c r="L12" s="266"/>
      <c r="M12" s="253"/>
      <c r="N12" s="253"/>
      <c r="O12" s="253"/>
      <c r="P12" s="252"/>
      <c r="Q12" s="266"/>
      <c r="R12" s="253"/>
      <c r="S12" s="254"/>
      <c r="T12" s="15"/>
      <c r="U12" s="15"/>
      <c r="V12" s="15"/>
      <c r="W12" s="15"/>
      <c r="X12" s="15"/>
      <c r="Y12" s="15"/>
      <c r="Z12" s="15"/>
    </row>
    <row r="13" spans="1:26" s="239" customFormat="1">
      <c r="A13" s="260"/>
      <c r="B13" s="256"/>
      <c r="C13" s="256"/>
      <c r="D13" s="256"/>
      <c r="E13" s="256"/>
      <c r="F13" s="256"/>
      <c r="G13" s="256"/>
      <c r="H13" s="256"/>
      <c r="I13" s="256"/>
      <c r="J13" s="256"/>
      <c r="K13" s="255"/>
      <c r="L13" s="267"/>
      <c r="M13" s="256"/>
      <c r="N13" s="256"/>
      <c r="O13" s="256"/>
      <c r="P13" s="255"/>
      <c r="Q13" s="267"/>
      <c r="R13" s="256"/>
      <c r="S13" s="257"/>
      <c r="T13" s="15"/>
      <c r="U13" s="15"/>
      <c r="V13" s="15"/>
      <c r="W13" s="15"/>
      <c r="X13" s="15"/>
      <c r="Y13" s="15"/>
      <c r="Z13" s="15"/>
    </row>
    <row r="14" spans="1:26" s="239" customFormat="1">
      <c r="A14" s="258"/>
      <c r="B14" s="253"/>
      <c r="C14" s="253"/>
      <c r="D14" s="253"/>
      <c r="E14" s="253"/>
      <c r="F14" s="253"/>
      <c r="G14" s="253"/>
      <c r="H14" s="253"/>
      <c r="I14" s="253"/>
      <c r="J14" s="253"/>
      <c r="K14" s="266"/>
      <c r="L14" s="253"/>
      <c r="M14" s="253"/>
      <c r="N14" s="253"/>
      <c r="O14" s="253"/>
      <c r="P14" s="266"/>
      <c r="Q14" s="253"/>
      <c r="R14" s="272"/>
      <c r="S14" s="254"/>
      <c r="T14" s="15"/>
      <c r="U14" s="15"/>
      <c r="V14" s="15"/>
      <c r="W14" s="15"/>
      <c r="X14" s="15"/>
      <c r="Y14" s="15"/>
      <c r="Z14" s="15"/>
    </row>
    <row r="15" spans="1:26" s="239" customFormat="1">
      <c r="A15" s="259"/>
      <c r="B15" s="256"/>
      <c r="C15" s="256"/>
      <c r="D15" s="256"/>
      <c r="E15" s="256"/>
      <c r="F15" s="256"/>
      <c r="G15" s="256"/>
      <c r="H15" s="256"/>
      <c r="I15" s="256"/>
      <c r="J15" s="256"/>
      <c r="K15" s="267"/>
      <c r="L15" s="256"/>
      <c r="M15" s="256"/>
      <c r="N15" s="256"/>
      <c r="O15" s="256"/>
      <c r="P15" s="267"/>
      <c r="Q15" s="256"/>
      <c r="R15" s="273"/>
      <c r="S15" s="257"/>
      <c r="T15" s="15"/>
      <c r="U15" s="15"/>
      <c r="V15" s="15"/>
      <c r="W15" s="15"/>
      <c r="X15" s="15"/>
      <c r="Y15" s="15"/>
      <c r="Z15" s="15"/>
    </row>
    <row r="16" spans="1:26" s="239" customFormat="1">
      <c r="A16" s="259"/>
      <c r="B16" s="253"/>
      <c r="C16" s="253"/>
      <c r="D16" s="253"/>
      <c r="E16" s="253"/>
      <c r="F16" s="253"/>
      <c r="G16" s="253"/>
      <c r="H16" s="253"/>
      <c r="I16" s="253"/>
      <c r="J16" s="253"/>
      <c r="K16" s="266"/>
      <c r="L16" s="253"/>
      <c r="M16" s="253"/>
      <c r="N16" s="253"/>
      <c r="O16" s="253"/>
      <c r="P16" s="266"/>
      <c r="Q16" s="253"/>
      <c r="R16" s="272"/>
      <c r="S16" s="254"/>
      <c r="T16" s="15"/>
      <c r="U16" s="15"/>
      <c r="V16" s="15"/>
      <c r="W16" s="15"/>
      <c r="X16" s="15"/>
      <c r="Y16" s="15"/>
      <c r="Z16" s="15"/>
    </row>
    <row r="17" spans="1:26" s="239" customFormat="1">
      <c r="A17" s="259"/>
      <c r="B17" s="256"/>
      <c r="C17" s="256"/>
      <c r="D17" s="256"/>
      <c r="E17" s="256"/>
      <c r="F17" s="256"/>
      <c r="G17" s="256"/>
      <c r="H17" s="256"/>
      <c r="I17" s="256"/>
      <c r="J17" s="256"/>
      <c r="K17" s="267"/>
      <c r="L17" s="256"/>
      <c r="M17" s="256"/>
      <c r="N17" s="256"/>
      <c r="O17" s="256"/>
      <c r="P17" s="267"/>
      <c r="Q17" s="256"/>
      <c r="R17" s="273"/>
      <c r="S17" s="257"/>
      <c r="T17" s="15"/>
      <c r="U17" s="15"/>
      <c r="V17" s="15"/>
      <c r="W17" s="15"/>
      <c r="X17" s="15"/>
      <c r="Y17" s="15"/>
      <c r="Z17" s="15"/>
    </row>
    <row r="18" spans="1:26" s="239" customFormat="1">
      <c r="A18" s="259"/>
      <c r="B18" s="253"/>
      <c r="C18" s="253"/>
      <c r="D18" s="253"/>
      <c r="E18" s="253"/>
      <c r="F18" s="253"/>
      <c r="G18" s="253"/>
      <c r="H18" s="253"/>
      <c r="I18" s="253"/>
      <c r="J18" s="253"/>
      <c r="K18" s="266"/>
      <c r="L18" s="253"/>
      <c r="M18" s="253"/>
      <c r="N18" s="253"/>
      <c r="O18" s="253"/>
      <c r="P18" s="266"/>
      <c r="Q18" s="253"/>
      <c r="R18" s="272"/>
      <c r="S18" s="254"/>
      <c r="T18" s="15"/>
      <c r="U18" s="15"/>
      <c r="V18" s="15"/>
      <c r="W18" s="15"/>
      <c r="X18" s="15"/>
      <c r="Y18" s="15"/>
      <c r="Z18" s="15"/>
    </row>
    <row r="19" spans="1:26" s="239" customFormat="1">
      <c r="A19" s="259"/>
      <c r="B19" s="256"/>
      <c r="C19" s="256"/>
      <c r="D19" s="256"/>
      <c r="E19" s="256"/>
      <c r="F19" s="256"/>
      <c r="G19" s="256"/>
      <c r="H19" s="256"/>
      <c r="I19" s="256"/>
      <c r="J19" s="256"/>
      <c r="K19" s="267"/>
      <c r="L19" s="256"/>
      <c r="M19" s="256"/>
      <c r="N19" s="256"/>
      <c r="O19" s="256"/>
      <c r="P19" s="267"/>
      <c r="Q19" s="256"/>
      <c r="R19" s="273"/>
      <c r="S19" s="257"/>
      <c r="T19" s="15"/>
      <c r="U19" s="15"/>
      <c r="V19" s="15"/>
      <c r="W19" s="15"/>
      <c r="X19" s="15"/>
      <c r="Y19" s="15"/>
      <c r="Z19" s="15"/>
    </row>
    <row r="20" spans="1:26" s="239" customFormat="1">
      <c r="A20" s="259"/>
      <c r="B20" s="253"/>
      <c r="C20" s="253"/>
      <c r="D20" s="253"/>
      <c r="E20" s="253"/>
      <c r="F20" s="253"/>
      <c r="G20" s="253"/>
      <c r="H20" s="253"/>
      <c r="I20" s="253"/>
      <c r="J20" s="253"/>
      <c r="K20" s="266"/>
      <c r="L20" s="253"/>
      <c r="M20" s="253"/>
      <c r="N20" s="253"/>
      <c r="O20" s="253"/>
      <c r="P20" s="266"/>
      <c r="Q20" s="253"/>
      <c r="R20" s="272"/>
      <c r="S20" s="254"/>
      <c r="T20" s="15"/>
      <c r="U20" s="15"/>
      <c r="V20" s="15"/>
      <c r="W20" s="15"/>
      <c r="X20" s="15"/>
      <c r="Y20" s="15"/>
      <c r="Z20" s="15"/>
    </row>
    <row r="21" spans="1:26" s="239" customFormat="1">
      <c r="A21" s="260"/>
      <c r="B21" s="256"/>
      <c r="C21" s="256"/>
      <c r="D21" s="256"/>
      <c r="E21" s="256"/>
      <c r="F21" s="256"/>
      <c r="G21" s="256"/>
      <c r="H21" s="256"/>
      <c r="I21" s="256"/>
      <c r="J21" s="256"/>
      <c r="K21" s="267"/>
      <c r="L21" s="256"/>
      <c r="M21" s="256"/>
      <c r="N21" s="256"/>
      <c r="O21" s="256"/>
      <c r="P21" s="267"/>
      <c r="Q21" s="256"/>
      <c r="R21" s="273"/>
      <c r="S21" s="257"/>
      <c r="T21" s="15"/>
      <c r="U21" s="15"/>
      <c r="V21" s="15"/>
      <c r="W21" s="15"/>
      <c r="X21" s="15"/>
      <c r="Y21" s="15"/>
      <c r="Z21" s="15"/>
    </row>
    <row r="22" spans="1:26" s="239" customFormat="1">
      <c r="A22" s="258"/>
      <c r="B22" s="253"/>
      <c r="C22" s="253"/>
      <c r="D22" s="253"/>
      <c r="E22" s="253"/>
      <c r="F22" s="253"/>
      <c r="G22" s="253"/>
      <c r="H22" s="253"/>
      <c r="I22" s="253"/>
      <c r="J22" s="253"/>
      <c r="K22" s="266"/>
      <c r="L22" s="253"/>
      <c r="M22" s="253"/>
      <c r="N22" s="253"/>
      <c r="O22" s="253"/>
      <c r="P22" s="266"/>
      <c r="Q22" s="253"/>
      <c r="R22" s="272"/>
      <c r="S22" s="254"/>
      <c r="T22" s="15"/>
      <c r="U22" s="15"/>
      <c r="V22" s="15"/>
      <c r="W22" s="15"/>
      <c r="X22" s="15"/>
      <c r="Y22" s="15"/>
      <c r="Z22" s="15"/>
    </row>
    <row r="23" spans="1:26" s="239" customFormat="1">
      <c r="A23" s="259"/>
      <c r="B23" s="256"/>
      <c r="C23" s="256"/>
      <c r="D23" s="256"/>
      <c r="E23" s="256"/>
      <c r="F23" s="256"/>
      <c r="G23" s="256"/>
      <c r="H23" s="256"/>
      <c r="I23" s="256"/>
      <c r="J23" s="256"/>
      <c r="K23" s="267"/>
      <c r="L23" s="256"/>
      <c r="M23" s="256"/>
      <c r="N23" s="256"/>
      <c r="O23" s="256"/>
      <c r="P23" s="267"/>
      <c r="Q23" s="256"/>
      <c r="R23" s="273"/>
      <c r="S23" s="257"/>
      <c r="T23" s="15"/>
      <c r="U23" s="15"/>
      <c r="V23" s="15"/>
      <c r="W23" s="15"/>
      <c r="X23" s="15"/>
      <c r="Y23" s="15"/>
      <c r="Z23" s="15"/>
    </row>
    <row r="24" spans="1:26" s="239" customFormat="1">
      <c r="A24" s="259"/>
      <c r="B24" s="253"/>
      <c r="C24" s="253"/>
      <c r="D24" s="253"/>
      <c r="E24" s="253"/>
      <c r="F24" s="253"/>
      <c r="G24" s="253"/>
      <c r="H24" s="253"/>
      <c r="I24" s="253"/>
      <c r="J24" s="253"/>
      <c r="K24" s="266"/>
      <c r="L24" s="253"/>
      <c r="M24" s="253"/>
      <c r="N24" s="253"/>
      <c r="O24" s="253"/>
      <c r="P24" s="266"/>
      <c r="Q24" s="253"/>
      <c r="R24" s="272"/>
      <c r="S24" s="254"/>
      <c r="T24" s="15"/>
      <c r="U24" s="15"/>
      <c r="V24" s="15"/>
      <c r="W24" s="15"/>
      <c r="X24" s="15"/>
      <c r="Y24" s="15"/>
      <c r="Z24" s="15"/>
    </row>
    <row r="25" spans="1:26" s="239" customFormat="1">
      <c r="A25" s="259"/>
      <c r="B25" s="256"/>
      <c r="C25" s="256"/>
      <c r="D25" s="256"/>
      <c r="E25" s="256"/>
      <c r="F25" s="256"/>
      <c r="G25" s="256"/>
      <c r="H25" s="256"/>
      <c r="I25" s="256"/>
      <c r="J25" s="256"/>
      <c r="K25" s="267"/>
      <c r="L25" s="256"/>
      <c r="M25" s="256"/>
      <c r="N25" s="256"/>
      <c r="O25" s="256"/>
      <c r="P25" s="267"/>
      <c r="Q25" s="256"/>
      <c r="R25" s="273"/>
      <c r="S25" s="257"/>
      <c r="T25" s="15"/>
      <c r="U25" s="15"/>
      <c r="V25" s="15"/>
      <c r="W25" s="15"/>
      <c r="X25" s="15"/>
      <c r="Y25" s="15"/>
      <c r="Z25" s="15"/>
    </row>
    <row r="26" spans="1:26" s="239" customFormat="1">
      <c r="A26" s="259"/>
      <c r="B26" s="253"/>
      <c r="C26" s="253"/>
      <c r="D26" s="253"/>
      <c r="E26" s="253"/>
      <c r="F26" s="253"/>
      <c r="G26" s="253"/>
      <c r="H26" s="253"/>
      <c r="I26" s="253"/>
      <c r="J26" s="253"/>
      <c r="K26" s="266"/>
      <c r="L26" s="253"/>
      <c r="M26" s="253"/>
      <c r="N26" s="253"/>
      <c r="O26" s="253"/>
      <c r="P26" s="266"/>
      <c r="Q26" s="253"/>
      <c r="R26" s="272"/>
      <c r="S26" s="254"/>
      <c r="T26" s="15"/>
      <c r="U26" s="15"/>
      <c r="V26" s="15"/>
      <c r="W26" s="15"/>
      <c r="X26" s="15"/>
      <c r="Y26" s="15"/>
      <c r="Z26" s="15"/>
    </row>
    <row r="27" spans="1:26" s="239" customFormat="1">
      <c r="A27" s="259"/>
      <c r="B27" s="256"/>
      <c r="C27" s="256"/>
      <c r="D27" s="256"/>
      <c r="E27" s="256"/>
      <c r="F27" s="256"/>
      <c r="G27" s="256"/>
      <c r="H27" s="256"/>
      <c r="I27" s="256"/>
      <c r="J27" s="256"/>
      <c r="K27" s="267"/>
      <c r="L27" s="256"/>
      <c r="M27" s="256"/>
      <c r="N27" s="256"/>
      <c r="O27" s="256"/>
      <c r="P27" s="267"/>
      <c r="Q27" s="256"/>
      <c r="R27" s="273"/>
      <c r="S27" s="257"/>
      <c r="T27" s="15"/>
      <c r="U27" s="15"/>
      <c r="V27" s="15"/>
      <c r="W27" s="15"/>
      <c r="X27" s="15"/>
      <c r="Y27" s="15"/>
      <c r="Z27" s="15"/>
    </row>
    <row r="28" spans="1:26" s="239" customFormat="1">
      <c r="A28" s="259"/>
      <c r="B28" s="253"/>
      <c r="C28" s="253"/>
      <c r="D28" s="253"/>
      <c r="E28" s="253"/>
      <c r="F28" s="253"/>
      <c r="G28" s="253"/>
      <c r="H28" s="253"/>
      <c r="I28" s="253"/>
      <c r="J28" s="253"/>
      <c r="K28" s="266"/>
      <c r="L28" s="253"/>
      <c r="M28" s="253"/>
      <c r="N28" s="253"/>
      <c r="O28" s="253"/>
      <c r="P28" s="266"/>
      <c r="Q28" s="253"/>
      <c r="R28" s="272"/>
      <c r="S28" s="254"/>
      <c r="T28" s="15"/>
      <c r="U28" s="15"/>
      <c r="V28" s="15"/>
      <c r="W28" s="15"/>
      <c r="X28" s="15"/>
      <c r="Y28" s="15"/>
      <c r="Z28" s="15"/>
    </row>
    <row r="29" spans="1:26" s="239" customFormat="1">
      <c r="A29" s="260"/>
      <c r="B29" s="256"/>
      <c r="C29" s="256"/>
      <c r="D29" s="256"/>
      <c r="E29" s="256"/>
      <c r="F29" s="256"/>
      <c r="G29" s="256"/>
      <c r="H29" s="256"/>
      <c r="I29" s="256"/>
      <c r="J29" s="256"/>
      <c r="K29" s="267"/>
      <c r="L29" s="256"/>
      <c r="M29" s="256"/>
      <c r="N29" s="256"/>
      <c r="O29" s="256"/>
      <c r="P29" s="267"/>
      <c r="Q29" s="256"/>
      <c r="R29" s="273"/>
      <c r="S29" s="257"/>
      <c r="T29" s="15"/>
      <c r="U29" s="15"/>
      <c r="V29" s="15"/>
      <c r="W29" s="15"/>
      <c r="X29" s="15"/>
      <c r="Y29" s="15"/>
      <c r="Z29" s="15"/>
    </row>
    <row r="30" spans="1:26" s="239" customFormat="1">
      <c r="A30" s="258"/>
      <c r="B30" s="253"/>
      <c r="C30" s="253"/>
      <c r="D30" s="253"/>
      <c r="E30" s="253"/>
      <c r="F30" s="253"/>
      <c r="G30" s="253"/>
      <c r="H30" s="253"/>
      <c r="I30" s="253"/>
      <c r="J30" s="253"/>
      <c r="K30" s="266"/>
      <c r="L30" s="253"/>
      <c r="M30" s="253"/>
      <c r="N30" s="253"/>
      <c r="O30" s="253"/>
      <c r="P30" s="266"/>
      <c r="Q30" s="253"/>
      <c r="R30" s="272"/>
      <c r="S30" s="254"/>
      <c r="T30" s="15"/>
      <c r="U30" s="15"/>
      <c r="V30" s="15"/>
      <c r="W30" s="15"/>
      <c r="X30" s="15"/>
      <c r="Y30" s="15"/>
      <c r="Z30" s="15"/>
    </row>
    <row r="31" spans="1:26" s="239" customFormat="1">
      <c r="A31" s="259"/>
      <c r="B31" s="256"/>
      <c r="C31" s="256"/>
      <c r="D31" s="256"/>
      <c r="E31" s="256"/>
      <c r="F31" s="256"/>
      <c r="G31" s="256"/>
      <c r="H31" s="256"/>
      <c r="I31" s="256"/>
      <c r="J31" s="256"/>
      <c r="K31" s="267"/>
      <c r="L31" s="256"/>
      <c r="M31" s="256"/>
      <c r="N31" s="256"/>
      <c r="O31" s="256"/>
      <c r="P31" s="267"/>
      <c r="Q31" s="256"/>
      <c r="R31" s="273"/>
      <c r="S31" s="257"/>
      <c r="T31" s="15"/>
      <c r="U31" s="15"/>
      <c r="V31" s="15"/>
      <c r="W31" s="15"/>
      <c r="X31" s="15"/>
      <c r="Y31" s="15"/>
      <c r="Z31" s="15"/>
    </row>
    <row r="32" spans="1:26" s="239" customFormat="1">
      <c r="A32" s="259"/>
      <c r="B32" s="253"/>
      <c r="C32" s="253"/>
      <c r="D32" s="253"/>
      <c r="E32" s="253"/>
      <c r="F32" s="253"/>
      <c r="G32" s="253"/>
      <c r="H32" s="253"/>
      <c r="I32" s="253"/>
      <c r="J32" s="253"/>
      <c r="K32" s="266"/>
      <c r="L32" s="253"/>
      <c r="M32" s="253"/>
      <c r="N32" s="253"/>
      <c r="O32" s="253"/>
      <c r="P32" s="266"/>
      <c r="Q32" s="253"/>
      <c r="R32" s="272"/>
      <c r="S32" s="254"/>
      <c r="T32" s="15"/>
      <c r="U32" s="15"/>
      <c r="V32" s="15"/>
      <c r="W32" s="15"/>
      <c r="X32" s="15"/>
      <c r="Y32" s="15"/>
      <c r="Z32" s="15"/>
    </row>
    <row r="33" spans="1:26" s="239" customFormat="1">
      <c r="A33" s="259"/>
      <c r="B33" s="256"/>
      <c r="C33" s="256"/>
      <c r="D33" s="256"/>
      <c r="E33" s="256"/>
      <c r="F33" s="256"/>
      <c r="G33" s="256"/>
      <c r="H33" s="256"/>
      <c r="I33" s="256"/>
      <c r="J33" s="256"/>
      <c r="K33" s="267"/>
      <c r="L33" s="256"/>
      <c r="M33" s="256"/>
      <c r="N33" s="256"/>
      <c r="O33" s="256"/>
      <c r="P33" s="267"/>
      <c r="Q33" s="256"/>
      <c r="R33" s="273"/>
      <c r="S33" s="257"/>
      <c r="T33" s="15"/>
      <c r="U33" s="15"/>
      <c r="V33" s="15"/>
      <c r="W33" s="15"/>
      <c r="X33" s="15"/>
      <c r="Y33" s="15"/>
      <c r="Z33" s="15"/>
    </row>
    <row r="34" spans="1:26" s="239" customFormat="1">
      <c r="A34" s="259"/>
      <c r="B34" s="253"/>
      <c r="C34" s="253"/>
      <c r="D34" s="253"/>
      <c r="E34" s="253"/>
      <c r="F34" s="253"/>
      <c r="G34" s="253"/>
      <c r="H34" s="253"/>
      <c r="I34" s="253"/>
      <c r="J34" s="253"/>
      <c r="K34" s="266"/>
      <c r="L34" s="253"/>
      <c r="M34" s="253"/>
      <c r="N34" s="253"/>
      <c r="O34" s="253"/>
      <c r="P34" s="266"/>
      <c r="Q34" s="253"/>
      <c r="R34" s="272"/>
      <c r="S34" s="254"/>
      <c r="T34" s="15"/>
      <c r="U34" s="15"/>
      <c r="V34" s="15"/>
      <c r="W34" s="15"/>
      <c r="X34" s="15"/>
      <c r="Y34" s="15"/>
      <c r="Z34" s="15"/>
    </row>
    <row r="35" spans="1:26" s="239" customFormat="1">
      <c r="A35" s="259"/>
      <c r="B35" s="256"/>
      <c r="C35" s="256"/>
      <c r="D35" s="256"/>
      <c r="E35" s="256"/>
      <c r="F35" s="256"/>
      <c r="G35" s="256"/>
      <c r="H35" s="256"/>
      <c r="I35" s="256"/>
      <c r="J35" s="256"/>
      <c r="K35" s="267"/>
      <c r="L35" s="256"/>
      <c r="M35" s="256"/>
      <c r="N35" s="256"/>
      <c r="O35" s="256"/>
      <c r="P35" s="267"/>
      <c r="Q35" s="256"/>
      <c r="R35" s="273"/>
      <c r="S35" s="257"/>
      <c r="T35" s="15"/>
      <c r="U35" s="15"/>
      <c r="V35" s="15"/>
      <c r="W35" s="15"/>
      <c r="X35" s="15"/>
      <c r="Y35" s="15"/>
      <c r="Z35" s="15"/>
    </row>
    <row r="36" spans="1:26" s="239" customFormat="1">
      <c r="A36" s="259"/>
      <c r="B36" s="253"/>
      <c r="C36" s="253"/>
      <c r="D36" s="253"/>
      <c r="E36" s="253"/>
      <c r="F36" s="253"/>
      <c r="G36" s="253"/>
      <c r="H36" s="253"/>
      <c r="I36" s="253"/>
      <c r="J36" s="253"/>
      <c r="K36" s="266"/>
      <c r="L36" s="253"/>
      <c r="M36" s="253"/>
      <c r="N36" s="253"/>
      <c r="O36" s="253"/>
      <c r="P36" s="266"/>
      <c r="Q36" s="253"/>
      <c r="R36" s="272"/>
      <c r="S36" s="254"/>
      <c r="T36" s="15"/>
      <c r="U36" s="15"/>
      <c r="V36" s="15"/>
      <c r="W36" s="15"/>
      <c r="X36" s="15"/>
      <c r="Y36" s="15"/>
      <c r="Z36" s="15"/>
    </row>
    <row r="37" spans="1:26" s="239" customFormat="1">
      <c r="A37" s="260"/>
      <c r="B37" s="256"/>
      <c r="C37" s="256"/>
      <c r="D37" s="256"/>
      <c r="E37" s="256"/>
      <c r="F37" s="256"/>
      <c r="G37" s="256"/>
      <c r="H37" s="256"/>
      <c r="I37" s="256"/>
      <c r="J37" s="256"/>
      <c r="K37" s="267"/>
      <c r="L37" s="256"/>
      <c r="M37" s="256"/>
      <c r="N37" s="256"/>
      <c r="O37" s="256"/>
      <c r="P37" s="267"/>
      <c r="Q37" s="256"/>
      <c r="R37" s="273"/>
      <c r="S37" s="257"/>
      <c r="T37" s="15"/>
      <c r="U37" s="15"/>
      <c r="V37" s="15"/>
      <c r="W37" s="15"/>
      <c r="X37" s="15"/>
      <c r="Y37" s="15"/>
      <c r="Z37" s="15"/>
    </row>
    <row r="38" spans="1:26" s="239" customFormat="1">
      <c r="A38" s="258"/>
      <c r="B38" s="253"/>
      <c r="C38" s="253"/>
      <c r="D38" s="253"/>
      <c r="E38" s="253"/>
      <c r="F38" s="253"/>
      <c r="G38" s="253"/>
      <c r="H38" s="253"/>
      <c r="I38" s="253"/>
      <c r="J38" s="253"/>
      <c r="K38" s="266"/>
      <c r="L38" s="253"/>
      <c r="M38" s="253"/>
      <c r="N38" s="253"/>
      <c r="O38" s="253"/>
      <c r="P38" s="266"/>
      <c r="Q38" s="253"/>
      <c r="R38" s="272"/>
      <c r="S38" s="254"/>
      <c r="T38" s="15"/>
      <c r="U38" s="15"/>
      <c r="V38" s="15"/>
      <c r="W38" s="15"/>
      <c r="X38" s="15"/>
      <c r="Y38" s="15"/>
      <c r="Z38" s="15"/>
    </row>
    <row r="39" spans="1:26" s="239" customFormat="1">
      <c r="A39" s="259"/>
      <c r="B39" s="256"/>
      <c r="C39" s="256"/>
      <c r="D39" s="256"/>
      <c r="E39" s="256"/>
      <c r="F39" s="256"/>
      <c r="G39" s="256"/>
      <c r="H39" s="256"/>
      <c r="I39" s="256"/>
      <c r="J39" s="256"/>
      <c r="K39" s="267"/>
      <c r="L39" s="256"/>
      <c r="M39" s="256"/>
      <c r="N39" s="256"/>
      <c r="O39" s="256"/>
      <c r="P39" s="267"/>
      <c r="Q39" s="256"/>
      <c r="R39" s="273"/>
      <c r="S39" s="257"/>
      <c r="T39" s="15"/>
      <c r="U39" s="15"/>
      <c r="V39" s="15"/>
      <c r="W39" s="15"/>
      <c r="X39" s="15"/>
      <c r="Y39" s="15"/>
      <c r="Z39" s="15"/>
    </row>
    <row r="40" spans="1:26" s="239" customFormat="1">
      <c r="A40" s="259"/>
      <c r="B40" s="253"/>
      <c r="C40" s="253"/>
      <c r="D40" s="253"/>
      <c r="E40" s="253"/>
      <c r="F40" s="253"/>
      <c r="G40" s="253"/>
      <c r="H40" s="253"/>
      <c r="I40" s="253"/>
      <c r="J40" s="253"/>
      <c r="K40" s="266"/>
      <c r="L40" s="253"/>
      <c r="M40" s="253"/>
      <c r="N40" s="253"/>
      <c r="O40" s="253"/>
      <c r="P40" s="266"/>
      <c r="Q40" s="253"/>
      <c r="R40" s="272"/>
      <c r="S40" s="254"/>
      <c r="T40" s="15"/>
      <c r="U40" s="15"/>
      <c r="V40" s="15"/>
      <c r="W40" s="15"/>
      <c r="X40" s="15"/>
      <c r="Y40" s="15"/>
      <c r="Z40" s="15"/>
    </row>
    <row r="41" spans="1:26" s="239" customFormat="1">
      <c r="A41" s="259"/>
      <c r="B41" s="256"/>
      <c r="C41" s="256"/>
      <c r="D41" s="256"/>
      <c r="E41" s="256"/>
      <c r="F41" s="256"/>
      <c r="G41" s="256"/>
      <c r="H41" s="256"/>
      <c r="I41" s="256"/>
      <c r="J41" s="256"/>
      <c r="K41" s="267"/>
      <c r="L41" s="256"/>
      <c r="M41" s="256"/>
      <c r="N41" s="256"/>
      <c r="O41" s="256"/>
      <c r="P41" s="267"/>
      <c r="Q41" s="256"/>
      <c r="R41" s="273"/>
      <c r="S41" s="257"/>
      <c r="T41" s="15"/>
      <c r="U41" s="15"/>
      <c r="V41" s="15"/>
      <c r="W41" s="15"/>
      <c r="X41" s="15"/>
      <c r="Y41" s="15"/>
      <c r="Z41" s="15"/>
    </row>
    <row r="42" spans="1:26" s="239" customFormat="1">
      <c r="A42" s="259"/>
      <c r="B42" s="253"/>
      <c r="C42" s="253"/>
      <c r="D42" s="253"/>
      <c r="E42" s="253"/>
      <c r="F42" s="253"/>
      <c r="G42" s="253"/>
      <c r="H42" s="253"/>
      <c r="I42" s="253"/>
      <c r="J42" s="253"/>
      <c r="K42" s="266"/>
      <c r="L42" s="253"/>
      <c r="M42" s="253"/>
      <c r="N42" s="253"/>
      <c r="O42" s="253"/>
      <c r="P42" s="266"/>
      <c r="Q42" s="253"/>
      <c r="R42" s="272"/>
      <c r="S42" s="254"/>
      <c r="T42" s="15"/>
      <c r="U42" s="15"/>
      <c r="V42" s="15"/>
      <c r="W42" s="15"/>
      <c r="X42" s="15"/>
      <c r="Y42" s="15"/>
      <c r="Z42" s="15"/>
    </row>
    <row r="43" spans="1:26" s="239" customFormat="1">
      <c r="A43" s="259"/>
      <c r="B43" s="256"/>
      <c r="C43" s="256"/>
      <c r="D43" s="256"/>
      <c r="E43" s="256"/>
      <c r="F43" s="256"/>
      <c r="G43" s="256"/>
      <c r="H43" s="256"/>
      <c r="I43" s="256"/>
      <c r="J43" s="256"/>
      <c r="K43" s="267"/>
      <c r="L43" s="256"/>
      <c r="M43" s="256"/>
      <c r="N43" s="256"/>
      <c r="O43" s="256"/>
      <c r="P43" s="267"/>
      <c r="Q43" s="256"/>
      <c r="R43" s="273"/>
      <c r="S43" s="257"/>
      <c r="T43" s="15"/>
      <c r="U43" s="15"/>
      <c r="V43" s="15"/>
      <c r="W43" s="15"/>
      <c r="X43" s="15"/>
      <c r="Y43" s="15"/>
      <c r="Z43" s="15"/>
    </row>
    <row r="44" spans="1:26" s="239" customFormat="1">
      <c r="A44" s="259"/>
      <c r="B44" s="253"/>
      <c r="C44" s="253"/>
      <c r="D44" s="253"/>
      <c r="E44" s="253"/>
      <c r="F44" s="253"/>
      <c r="G44" s="253"/>
      <c r="H44" s="253"/>
      <c r="I44" s="253"/>
      <c r="J44" s="253"/>
      <c r="K44" s="266"/>
      <c r="L44" s="253"/>
      <c r="M44" s="253"/>
      <c r="N44" s="253"/>
      <c r="O44" s="253"/>
      <c r="P44" s="266"/>
      <c r="Q44" s="253"/>
      <c r="R44" s="272"/>
      <c r="S44" s="254"/>
      <c r="T44" s="15"/>
      <c r="U44" s="15"/>
      <c r="V44" s="15"/>
      <c r="W44" s="15"/>
      <c r="X44" s="15"/>
      <c r="Y44" s="15"/>
      <c r="Z44" s="15"/>
    </row>
    <row r="45" spans="1:26" s="239" customFormat="1">
      <c r="A45" s="260"/>
      <c r="B45" s="256"/>
      <c r="C45" s="256"/>
      <c r="D45" s="256"/>
      <c r="E45" s="256"/>
      <c r="F45" s="256"/>
      <c r="G45" s="256"/>
      <c r="H45" s="256"/>
      <c r="I45" s="256"/>
      <c r="J45" s="256"/>
      <c r="K45" s="267"/>
      <c r="L45" s="256"/>
      <c r="M45" s="256"/>
      <c r="N45" s="256"/>
      <c r="O45" s="256"/>
      <c r="P45" s="267"/>
      <c r="Q45" s="256"/>
      <c r="R45" s="273"/>
      <c r="S45" s="257"/>
      <c r="T45" s="15"/>
      <c r="U45" s="15"/>
      <c r="V45" s="15"/>
      <c r="W45" s="15"/>
      <c r="X45" s="15"/>
      <c r="Y45" s="15"/>
      <c r="Z45" s="15"/>
    </row>
    <row r="46" spans="1:26" s="239" customFormat="1">
      <c r="A46" s="258"/>
      <c r="B46" s="253"/>
      <c r="C46" s="253"/>
      <c r="D46" s="253"/>
      <c r="E46" s="253"/>
      <c r="F46" s="253"/>
      <c r="G46" s="253"/>
      <c r="H46" s="253"/>
      <c r="I46" s="253"/>
      <c r="J46" s="253"/>
      <c r="K46" s="266"/>
      <c r="L46" s="253"/>
      <c r="M46" s="253"/>
      <c r="N46" s="253"/>
      <c r="O46" s="253"/>
      <c r="P46" s="266"/>
      <c r="Q46" s="253"/>
      <c r="R46" s="272"/>
      <c r="S46" s="254"/>
      <c r="T46" s="15"/>
      <c r="U46" s="15"/>
      <c r="V46" s="15"/>
      <c r="W46" s="15"/>
      <c r="X46" s="15"/>
      <c r="Y46" s="15"/>
      <c r="Z46" s="15"/>
    </row>
    <row r="47" spans="1:26" s="239" customFormat="1">
      <c r="A47" s="259"/>
      <c r="B47" s="256"/>
      <c r="C47" s="256"/>
      <c r="D47" s="256"/>
      <c r="E47" s="256"/>
      <c r="F47" s="256"/>
      <c r="G47" s="256"/>
      <c r="H47" s="256"/>
      <c r="I47" s="256"/>
      <c r="J47" s="256"/>
      <c r="K47" s="267"/>
      <c r="L47" s="256"/>
      <c r="M47" s="256"/>
      <c r="N47" s="256"/>
      <c r="O47" s="256"/>
      <c r="P47" s="267"/>
      <c r="Q47" s="256"/>
      <c r="R47" s="273"/>
      <c r="S47" s="257"/>
      <c r="T47" s="15"/>
      <c r="U47" s="15"/>
      <c r="V47" s="15"/>
      <c r="W47" s="15"/>
      <c r="X47" s="15"/>
      <c r="Y47" s="15"/>
      <c r="Z47" s="15"/>
    </row>
    <row r="48" spans="1:26" s="239" customFormat="1">
      <c r="A48" s="259"/>
      <c r="B48" s="253"/>
      <c r="C48" s="253"/>
      <c r="D48" s="253"/>
      <c r="E48" s="253"/>
      <c r="F48" s="253"/>
      <c r="G48" s="253"/>
      <c r="H48" s="253"/>
      <c r="I48" s="253"/>
      <c r="J48" s="253"/>
      <c r="K48" s="266"/>
      <c r="L48" s="253"/>
      <c r="M48" s="253"/>
      <c r="N48" s="253"/>
      <c r="O48" s="253"/>
      <c r="P48" s="266"/>
      <c r="Q48" s="253"/>
      <c r="R48" s="272"/>
      <c r="S48" s="254"/>
      <c r="T48" s="15"/>
      <c r="U48" s="15"/>
      <c r="V48" s="15"/>
      <c r="W48" s="15"/>
      <c r="X48" s="15"/>
      <c r="Y48" s="15"/>
      <c r="Z48" s="15"/>
    </row>
    <row r="49" spans="1:26" s="239" customFormat="1">
      <c r="A49" s="259"/>
      <c r="B49" s="256"/>
      <c r="C49" s="256"/>
      <c r="D49" s="256"/>
      <c r="E49" s="256"/>
      <c r="F49" s="256"/>
      <c r="G49" s="256"/>
      <c r="H49" s="256"/>
      <c r="I49" s="256"/>
      <c r="J49" s="256"/>
      <c r="K49" s="267"/>
      <c r="L49" s="256"/>
      <c r="M49" s="256"/>
      <c r="N49" s="256"/>
      <c r="O49" s="256"/>
      <c r="P49" s="267"/>
      <c r="Q49" s="256"/>
      <c r="R49" s="273"/>
      <c r="S49" s="257"/>
      <c r="T49" s="15"/>
      <c r="U49" s="15"/>
      <c r="V49" s="15"/>
      <c r="W49" s="15"/>
      <c r="X49" s="15"/>
      <c r="Y49" s="15"/>
      <c r="Z49" s="15"/>
    </row>
    <row r="50" spans="1:26" s="239" customFormat="1">
      <c r="A50" s="259"/>
      <c r="B50" s="253"/>
      <c r="C50" s="253"/>
      <c r="D50" s="253"/>
      <c r="E50" s="253"/>
      <c r="F50" s="253"/>
      <c r="G50" s="253"/>
      <c r="H50" s="253"/>
      <c r="I50" s="253"/>
      <c r="J50" s="253"/>
      <c r="K50" s="266"/>
      <c r="L50" s="253"/>
      <c r="M50" s="253"/>
      <c r="N50" s="253"/>
      <c r="O50" s="253"/>
      <c r="P50" s="266"/>
      <c r="Q50" s="253"/>
      <c r="R50" s="272"/>
      <c r="S50" s="254"/>
      <c r="T50" s="15"/>
      <c r="U50" s="15"/>
      <c r="V50" s="15"/>
      <c r="W50" s="15"/>
      <c r="X50" s="15"/>
      <c r="Y50" s="15"/>
      <c r="Z50" s="15"/>
    </row>
    <row r="51" spans="1:26" s="239" customFormat="1">
      <c r="A51" s="259"/>
      <c r="B51" s="256"/>
      <c r="C51" s="256"/>
      <c r="D51" s="256"/>
      <c r="E51" s="256"/>
      <c r="F51" s="256"/>
      <c r="G51" s="256"/>
      <c r="H51" s="256"/>
      <c r="I51" s="256"/>
      <c r="J51" s="256"/>
      <c r="K51" s="267"/>
      <c r="L51" s="256"/>
      <c r="M51" s="256"/>
      <c r="N51" s="256"/>
      <c r="O51" s="256"/>
      <c r="P51" s="267"/>
      <c r="Q51" s="256"/>
      <c r="R51" s="273"/>
      <c r="S51" s="257"/>
      <c r="T51" s="15"/>
      <c r="U51" s="15"/>
      <c r="V51" s="15"/>
      <c r="W51" s="15"/>
      <c r="X51" s="15"/>
      <c r="Y51" s="15"/>
      <c r="Z51" s="15"/>
    </row>
    <row r="52" spans="1:26" s="239" customFormat="1">
      <c r="A52" s="259"/>
      <c r="B52" s="253"/>
      <c r="C52" s="253"/>
      <c r="D52" s="253"/>
      <c r="E52" s="253"/>
      <c r="F52" s="253"/>
      <c r="G52" s="253"/>
      <c r="H52" s="253"/>
      <c r="I52" s="253"/>
      <c r="J52" s="253"/>
      <c r="K52" s="266"/>
      <c r="L52" s="253"/>
      <c r="M52" s="253"/>
      <c r="N52" s="253"/>
      <c r="O52" s="253"/>
      <c r="P52" s="266"/>
      <c r="Q52" s="253"/>
      <c r="R52" s="272"/>
      <c r="S52" s="254"/>
      <c r="T52" s="15"/>
      <c r="U52" s="15"/>
      <c r="V52" s="15"/>
      <c r="W52" s="15"/>
      <c r="X52" s="15"/>
      <c r="Y52" s="15"/>
      <c r="Z52" s="15"/>
    </row>
    <row r="53" spans="1:26" s="239" customFormat="1">
      <c r="A53" s="260"/>
      <c r="B53" s="256"/>
      <c r="C53" s="256"/>
      <c r="D53" s="256"/>
      <c r="E53" s="256"/>
      <c r="F53" s="256"/>
      <c r="G53" s="256"/>
      <c r="H53" s="256"/>
      <c r="I53" s="256"/>
      <c r="J53" s="256"/>
      <c r="K53" s="267"/>
      <c r="L53" s="256"/>
      <c r="M53" s="256"/>
      <c r="N53" s="256"/>
      <c r="O53" s="256"/>
      <c r="P53" s="267"/>
      <c r="Q53" s="256"/>
      <c r="R53" s="273"/>
      <c r="S53" s="257"/>
      <c r="T53" s="15"/>
      <c r="U53" s="15"/>
      <c r="V53" s="15"/>
      <c r="W53" s="15"/>
      <c r="X53" s="15"/>
      <c r="Y53" s="15"/>
      <c r="Z53" s="15"/>
    </row>
    <row r="54" spans="1:26" s="239" customFormat="1">
      <c r="A54" s="258"/>
      <c r="B54" s="253"/>
      <c r="C54" s="253"/>
      <c r="D54" s="253"/>
      <c r="E54" s="253"/>
      <c r="F54" s="253"/>
      <c r="G54" s="253"/>
      <c r="H54" s="253"/>
      <c r="I54" s="253"/>
      <c r="J54" s="253"/>
      <c r="K54" s="266"/>
      <c r="L54" s="253"/>
      <c r="M54" s="253"/>
      <c r="N54" s="253"/>
      <c r="O54" s="253"/>
      <c r="P54" s="266"/>
      <c r="Q54" s="253"/>
      <c r="R54" s="272"/>
      <c r="S54" s="254"/>
      <c r="T54" s="15"/>
      <c r="U54" s="15"/>
      <c r="V54" s="15"/>
      <c r="W54" s="15"/>
      <c r="X54" s="15"/>
      <c r="Y54" s="15"/>
      <c r="Z54" s="15"/>
    </row>
    <row r="55" spans="1:26" s="239" customFormat="1">
      <c r="A55" s="259"/>
      <c r="B55" s="256"/>
      <c r="C55" s="256"/>
      <c r="D55" s="256"/>
      <c r="E55" s="256"/>
      <c r="F55" s="256"/>
      <c r="G55" s="256"/>
      <c r="H55" s="256"/>
      <c r="I55" s="256"/>
      <c r="J55" s="256"/>
      <c r="K55" s="267"/>
      <c r="L55" s="256"/>
      <c r="M55" s="256"/>
      <c r="N55" s="256"/>
      <c r="O55" s="256"/>
      <c r="P55" s="267"/>
      <c r="Q55" s="256"/>
      <c r="R55" s="273"/>
      <c r="S55" s="257"/>
      <c r="T55" s="15"/>
      <c r="U55" s="15"/>
      <c r="V55" s="15"/>
      <c r="W55" s="15"/>
      <c r="X55" s="15"/>
      <c r="Y55" s="15"/>
      <c r="Z55" s="15"/>
    </row>
    <row r="56" spans="1:26" s="239" customFormat="1">
      <c r="A56" s="259"/>
      <c r="B56" s="253"/>
      <c r="C56" s="253"/>
      <c r="D56" s="253"/>
      <c r="E56" s="253"/>
      <c r="F56" s="253"/>
      <c r="G56" s="253"/>
      <c r="H56" s="253"/>
      <c r="I56" s="253"/>
      <c r="J56" s="253"/>
      <c r="K56" s="266"/>
      <c r="L56" s="253"/>
      <c r="M56" s="253"/>
      <c r="N56" s="253"/>
      <c r="O56" s="253"/>
      <c r="P56" s="266"/>
      <c r="Q56" s="253"/>
      <c r="R56" s="272"/>
      <c r="S56" s="254"/>
      <c r="T56" s="15"/>
      <c r="U56" s="15"/>
      <c r="V56" s="15"/>
      <c r="W56" s="15"/>
      <c r="X56" s="15"/>
      <c r="Y56" s="15"/>
      <c r="Z56" s="15"/>
    </row>
    <row r="57" spans="1:26" s="239" customFormat="1">
      <c r="A57" s="259"/>
      <c r="B57" s="256"/>
      <c r="C57" s="256"/>
      <c r="D57" s="256"/>
      <c r="E57" s="256"/>
      <c r="F57" s="256"/>
      <c r="G57" s="256"/>
      <c r="H57" s="256"/>
      <c r="I57" s="256"/>
      <c r="J57" s="256"/>
      <c r="K57" s="267"/>
      <c r="L57" s="256"/>
      <c r="M57" s="256"/>
      <c r="N57" s="256"/>
      <c r="O57" s="256"/>
      <c r="P57" s="267"/>
      <c r="Q57" s="256"/>
      <c r="R57" s="273"/>
      <c r="S57" s="257"/>
      <c r="T57" s="15"/>
      <c r="U57" s="15"/>
      <c r="V57" s="15"/>
      <c r="W57" s="15"/>
      <c r="X57" s="15"/>
      <c r="Y57" s="15"/>
      <c r="Z57" s="15"/>
    </row>
    <row r="58" spans="1:26" s="239" customFormat="1">
      <c r="A58" s="259"/>
      <c r="B58" s="253"/>
      <c r="C58" s="253"/>
      <c r="D58" s="253"/>
      <c r="E58" s="253"/>
      <c r="F58" s="253"/>
      <c r="G58" s="253"/>
      <c r="H58" s="253"/>
      <c r="I58" s="253"/>
      <c r="J58" s="253"/>
      <c r="K58" s="266"/>
      <c r="L58" s="253"/>
      <c r="M58" s="253"/>
      <c r="N58" s="253"/>
      <c r="O58" s="253"/>
      <c r="P58" s="266"/>
      <c r="Q58" s="253"/>
      <c r="R58" s="272"/>
      <c r="S58" s="254"/>
      <c r="T58" s="15"/>
      <c r="U58" s="15"/>
      <c r="V58" s="15"/>
      <c r="W58" s="15"/>
      <c r="X58" s="15"/>
      <c r="Y58" s="15"/>
      <c r="Z58" s="15"/>
    </row>
    <row r="59" spans="1:26" s="239" customFormat="1">
      <c r="A59" s="259"/>
      <c r="B59" s="256"/>
      <c r="C59" s="256"/>
      <c r="D59" s="256"/>
      <c r="E59" s="256"/>
      <c r="F59" s="256"/>
      <c r="G59" s="256"/>
      <c r="H59" s="256"/>
      <c r="I59" s="256"/>
      <c r="J59" s="256"/>
      <c r="K59" s="267"/>
      <c r="L59" s="256"/>
      <c r="M59" s="256"/>
      <c r="N59" s="256"/>
      <c r="O59" s="256"/>
      <c r="P59" s="267"/>
      <c r="Q59" s="256"/>
      <c r="R59" s="273"/>
      <c r="S59" s="257"/>
      <c r="T59" s="15"/>
      <c r="U59" s="15"/>
      <c r="V59" s="15"/>
      <c r="W59" s="15"/>
      <c r="X59" s="15"/>
      <c r="Y59" s="15"/>
      <c r="Z59" s="15"/>
    </row>
    <row r="60" spans="1:26" s="239" customFormat="1">
      <c r="A60" s="259"/>
      <c r="B60" s="253"/>
      <c r="C60" s="253"/>
      <c r="D60" s="253"/>
      <c r="E60" s="253"/>
      <c r="F60" s="253"/>
      <c r="G60" s="253"/>
      <c r="H60" s="253"/>
      <c r="I60" s="253"/>
      <c r="J60" s="253"/>
      <c r="K60" s="266"/>
      <c r="L60" s="253"/>
      <c r="M60" s="253"/>
      <c r="N60" s="253"/>
      <c r="O60" s="253"/>
      <c r="P60" s="266"/>
      <c r="Q60" s="253"/>
      <c r="R60" s="272"/>
      <c r="S60" s="254"/>
      <c r="T60" s="15"/>
      <c r="U60" s="15"/>
      <c r="V60" s="15"/>
      <c r="W60" s="15"/>
      <c r="X60" s="15"/>
      <c r="Y60" s="15"/>
      <c r="Z60" s="15"/>
    </row>
    <row r="61" spans="1:26" s="239" customFormat="1">
      <c r="A61" s="260"/>
      <c r="B61" s="256"/>
      <c r="C61" s="256"/>
      <c r="D61" s="256"/>
      <c r="E61" s="256"/>
      <c r="F61" s="256"/>
      <c r="G61" s="256"/>
      <c r="H61" s="256"/>
      <c r="I61" s="256"/>
      <c r="J61" s="256"/>
      <c r="K61" s="267"/>
      <c r="L61" s="256"/>
      <c r="M61" s="256"/>
      <c r="N61" s="256"/>
      <c r="O61" s="256"/>
      <c r="P61" s="267"/>
      <c r="Q61" s="256"/>
      <c r="R61" s="273"/>
      <c r="S61" s="257"/>
      <c r="T61" s="15"/>
      <c r="U61" s="15"/>
      <c r="V61" s="15"/>
      <c r="W61" s="15"/>
      <c r="X61" s="15"/>
      <c r="Y61" s="15"/>
      <c r="Z61" s="15"/>
    </row>
    <row r="62" spans="1:26" s="239" customFormat="1">
      <c r="A62" s="258"/>
      <c r="B62" s="253"/>
      <c r="C62" s="253"/>
      <c r="D62" s="253"/>
      <c r="E62" s="253"/>
      <c r="F62" s="253"/>
      <c r="G62" s="253"/>
      <c r="H62" s="253"/>
      <c r="I62" s="253"/>
      <c r="J62" s="253"/>
      <c r="K62" s="266"/>
      <c r="L62" s="253"/>
      <c r="M62" s="253"/>
      <c r="N62" s="253"/>
      <c r="O62" s="253"/>
      <c r="P62" s="266"/>
      <c r="Q62" s="253"/>
      <c r="R62" s="272"/>
      <c r="S62" s="254"/>
      <c r="T62" s="15"/>
      <c r="U62" s="15"/>
      <c r="V62" s="15"/>
      <c r="W62" s="15"/>
      <c r="X62" s="15"/>
      <c r="Y62" s="15"/>
      <c r="Z62" s="15"/>
    </row>
    <row r="63" spans="1:26" s="239" customFormat="1">
      <c r="A63" s="259"/>
      <c r="B63" s="256"/>
      <c r="C63" s="256"/>
      <c r="D63" s="256"/>
      <c r="E63" s="256"/>
      <c r="F63" s="256"/>
      <c r="G63" s="256"/>
      <c r="H63" s="256"/>
      <c r="I63" s="256"/>
      <c r="J63" s="256"/>
      <c r="K63" s="267"/>
      <c r="L63" s="256"/>
      <c r="M63" s="256"/>
      <c r="N63" s="256"/>
      <c r="O63" s="256"/>
      <c r="P63" s="267"/>
      <c r="Q63" s="256"/>
      <c r="R63" s="273"/>
      <c r="S63" s="257"/>
      <c r="T63" s="15"/>
      <c r="U63" s="15"/>
      <c r="V63" s="15"/>
      <c r="W63" s="15"/>
      <c r="X63" s="15"/>
      <c r="Y63" s="15"/>
      <c r="Z63" s="15"/>
    </row>
    <row r="64" spans="1:26" s="239" customFormat="1">
      <c r="A64" s="259"/>
      <c r="B64" s="253"/>
      <c r="C64" s="253"/>
      <c r="D64" s="253"/>
      <c r="E64" s="253"/>
      <c r="F64" s="253"/>
      <c r="G64" s="253"/>
      <c r="H64" s="253"/>
      <c r="I64" s="253"/>
      <c r="J64" s="253"/>
      <c r="K64" s="266"/>
      <c r="L64" s="253"/>
      <c r="M64" s="253"/>
      <c r="N64" s="253"/>
      <c r="O64" s="253"/>
      <c r="P64" s="266"/>
      <c r="Q64" s="253"/>
      <c r="R64" s="272"/>
      <c r="S64" s="254"/>
      <c r="T64" s="15"/>
      <c r="U64" s="15"/>
      <c r="V64" s="15"/>
      <c r="W64" s="15"/>
      <c r="X64" s="15"/>
      <c r="Y64" s="15"/>
      <c r="Z64" s="15"/>
    </row>
    <row r="65" spans="1:26" s="239" customFormat="1">
      <c r="A65" s="259"/>
      <c r="B65" s="256"/>
      <c r="C65" s="256"/>
      <c r="D65" s="256"/>
      <c r="E65" s="256"/>
      <c r="F65" s="256"/>
      <c r="G65" s="256"/>
      <c r="H65" s="256"/>
      <c r="I65" s="256"/>
      <c r="J65" s="256"/>
      <c r="K65" s="267"/>
      <c r="L65" s="256"/>
      <c r="M65" s="256"/>
      <c r="N65" s="256"/>
      <c r="O65" s="256"/>
      <c r="P65" s="267"/>
      <c r="Q65" s="256"/>
      <c r="R65" s="273"/>
      <c r="S65" s="257"/>
      <c r="T65" s="15"/>
      <c r="U65" s="15"/>
      <c r="V65" s="15"/>
      <c r="W65" s="15"/>
      <c r="X65" s="15"/>
      <c r="Y65" s="15"/>
      <c r="Z65" s="15"/>
    </row>
    <row r="66" spans="1:26" s="239" customFormat="1">
      <c r="A66" s="259"/>
      <c r="B66" s="253"/>
      <c r="C66" s="253"/>
      <c r="D66" s="253"/>
      <c r="E66" s="253"/>
      <c r="F66" s="253"/>
      <c r="G66" s="253"/>
      <c r="H66" s="253"/>
      <c r="I66" s="253"/>
      <c r="J66" s="253"/>
      <c r="K66" s="266"/>
      <c r="L66" s="253"/>
      <c r="M66" s="253"/>
      <c r="N66" s="253"/>
      <c r="O66" s="253"/>
      <c r="P66" s="266"/>
      <c r="Q66" s="253"/>
      <c r="R66" s="272"/>
      <c r="S66" s="254"/>
      <c r="T66" s="15"/>
      <c r="U66" s="15"/>
      <c r="V66" s="15"/>
      <c r="W66" s="15"/>
      <c r="X66" s="15"/>
      <c r="Y66" s="15"/>
      <c r="Z66" s="15"/>
    </row>
    <row r="67" spans="1:26" s="239" customFormat="1">
      <c r="A67" s="259"/>
      <c r="B67" s="256"/>
      <c r="C67" s="256"/>
      <c r="D67" s="256"/>
      <c r="E67" s="256"/>
      <c r="F67" s="256"/>
      <c r="G67" s="256"/>
      <c r="H67" s="256"/>
      <c r="I67" s="256"/>
      <c r="J67" s="256"/>
      <c r="K67" s="267"/>
      <c r="L67" s="256"/>
      <c r="M67" s="256"/>
      <c r="N67" s="256"/>
      <c r="O67" s="256"/>
      <c r="P67" s="267"/>
      <c r="Q67" s="256"/>
      <c r="R67" s="273"/>
      <c r="S67" s="257"/>
      <c r="T67" s="15"/>
      <c r="U67" s="15"/>
      <c r="V67" s="15"/>
      <c r="W67" s="15"/>
      <c r="X67" s="15"/>
      <c r="Y67" s="15"/>
      <c r="Z67" s="15"/>
    </row>
    <row r="68" spans="1:26" s="239" customFormat="1">
      <c r="A68" s="259"/>
      <c r="B68" s="253"/>
      <c r="C68" s="253"/>
      <c r="D68" s="253"/>
      <c r="E68" s="253"/>
      <c r="F68" s="253"/>
      <c r="G68" s="253"/>
      <c r="H68" s="253"/>
      <c r="I68" s="253"/>
      <c r="J68" s="253"/>
      <c r="K68" s="266"/>
      <c r="L68" s="253"/>
      <c r="M68" s="253"/>
      <c r="N68" s="253"/>
      <c r="O68" s="253"/>
      <c r="P68" s="266"/>
      <c r="Q68" s="253"/>
      <c r="R68" s="272"/>
      <c r="S68" s="254"/>
      <c r="T68" s="15"/>
      <c r="U68" s="15"/>
      <c r="V68" s="15"/>
      <c r="W68" s="15"/>
      <c r="X68" s="15"/>
      <c r="Y68" s="15"/>
      <c r="Z68" s="15"/>
    </row>
    <row r="69" spans="1:26" s="239" customFormat="1">
      <c r="A69" s="260"/>
      <c r="B69" s="256"/>
      <c r="C69" s="256"/>
      <c r="D69" s="256"/>
      <c r="E69" s="256"/>
      <c r="F69" s="256"/>
      <c r="G69" s="256"/>
      <c r="H69" s="256"/>
      <c r="I69" s="256"/>
      <c r="J69" s="256"/>
      <c r="K69" s="267"/>
      <c r="L69" s="256"/>
      <c r="M69" s="256"/>
      <c r="N69" s="256"/>
      <c r="O69" s="256"/>
      <c r="P69" s="267"/>
      <c r="Q69" s="256"/>
      <c r="R69" s="273"/>
      <c r="S69" s="257"/>
      <c r="T69" s="15"/>
      <c r="U69" s="15"/>
      <c r="V69" s="15"/>
      <c r="W69" s="15"/>
      <c r="X69" s="15"/>
      <c r="Y69" s="15"/>
      <c r="Z69" s="15"/>
    </row>
    <row r="70" spans="1:26" s="239" customFormat="1">
      <c r="A70" s="258"/>
      <c r="B70" s="253"/>
      <c r="C70" s="253"/>
      <c r="D70" s="253"/>
      <c r="E70" s="253"/>
      <c r="F70" s="253"/>
      <c r="G70" s="253"/>
      <c r="H70" s="253"/>
      <c r="I70" s="253"/>
      <c r="J70" s="253"/>
      <c r="K70" s="266"/>
      <c r="L70" s="253"/>
      <c r="M70" s="253"/>
      <c r="N70" s="253"/>
      <c r="O70" s="253"/>
      <c r="P70" s="266"/>
      <c r="Q70" s="253"/>
      <c r="R70" s="272"/>
      <c r="S70" s="254"/>
      <c r="T70" s="15"/>
      <c r="U70" s="15"/>
      <c r="V70" s="15"/>
      <c r="W70" s="15"/>
      <c r="X70" s="15"/>
      <c r="Y70" s="15"/>
      <c r="Z70" s="15"/>
    </row>
    <row r="71" spans="1:26" s="239" customFormat="1">
      <c r="A71" s="259"/>
      <c r="B71" s="256"/>
      <c r="C71" s="256"/>
      <c r="D71" s="256"/>
      <c r="E71" s="256"/>
      <c r="F71" s="256"/>
      <c r="G71" s="256"/>
      <c r="H71" s="256"/>
      <c r="I71" s="256"/>
      <c r="J71" s="256"/>
      <c r="K71" s="267"/>
      <c r="L71" s="256"/>
      <c r="M71" s="256"/>
      <c r="N71" s="256"/>
      <c r="O71" s="256"/>
      <c r="P71" s="267"/>
      <c r="Q71" s="256"/>
      <c r="R71" s="273"/>
      <c r="S71" s="257"/>
      <c r="T71" s="15"/>
      <c r="U71" s="15"/>
      <c r="V71" s="15"/>
      <c r="W71" s="15"/>
      <c r="X71" s="15"/>
      <c r="Y71" s="15"/>
      <c r="Z71" s="15"/>
    </row>
    <row r="72" spans="1:26" s="239" customFormat="1">
      <c r="A72" s="259"/>
      <c r="B72" s="253"/>
      <c r="C72" s="253"/>
      <c r="D72" s="253"/>
      <c r="E72" s="253"/>
      <c r="F72" s="253"/>
      <c r="G72" s="253"/>
      <c r="H72" s="253"/>
      <c r="I72" s="253"/>
      <c r="J72" s="253"/>
      <c r="K72" s="266"/>
      <c r="L72" s="253"/>
      <c r="M72" s="253"/>
      <c r="N72" s="253"/>
      <c r="O72" s="253"/>
      <c r="P72" s="266"/>
      <c r="Q72" s="253"/>
      <c r="R72" s="272"/>
      <c r="S72" s="254"/>
      <c r="T72" s="15"/>
      <c r="U72" s="15"/>
      <c r="V72" s="15"/>
      <c r="W72" s="15"/>
      <c r="X72" s="15"/>
      <c r="Y72" s="15"/>
      <c r="Z72" s="15"/>
    </row>
    <row r="73" spans="1:26" s="239" customFormat="1">
      <c r="A73" s="259"/>
      <c r="B73" s="256"/>
      <c r="C73" s="256"/>
      <c r="D73" s="256"/>
      <c r="E73" s="256"/>
      <c r="F73" s="256"/>
      <c r="G73" s="256"/>
      <c r="H73" s="256"/>
      <c r="I73" s="256"/>
      <c r="J73" s="256"/>
      <c r="K73" s="267"/>
      <c r="L73" s="256"/>
      <c r="M73" s="256"/>
      <c r="N73" s="256"/>
      <c r="O73" s="256"/>
      <c r="P73" s="267"/>
      <c r="Q73" s="256"/>
      <c r="R73" s="273"/>
      <c r="S73" s="257"/>
      <c r="T73" s="15"/>
      <c r="U73" s="15"/>
      <c r="V73" s="15"/>
      <c r="W73" s="15"/>
      <c r="X73" s="15"/>
      <c r="Y73" s="15"/>
      <c r="Z73" s="15"/>
    </row>
    <row r="74" spans="1:26" s="239" customFormat="1">
      <c r="A74" s="259"/>
      <c r="B74" s="253"/>
      <c r="C74" s="253"/>
      <c r="D74" s="253"/>
      <c r="E74" s="253"/>
      <c r="F74" s="253"/>
      <c r="G74" s="253"/>
      <c r="H74" s="253"/>
      <c r="I74" s="253"/>
      <c r="J74" s="253"/>
      <c r="K74" s="266"/>
      <c r="L74" s="253"/>
      <c r="M74" s="253"/>
      <c r="N74" s="253"/>
      <c r="O74" s="253"/>
      <c r="P74" s="266"/>
      <c r="Q74" s="253"/>
      <c r="R74" s="272"/>
      <c r="S74" s="254"/>
      <c r="T74" s="15"/>
      <c r="U74" s="15"/>
      <c r="V74" s="15"/>
      <c r="W74" s="15"/>
      <c r="X74" s="15"/>
      <c r="Y74" s="15"/>
      <c r="Z74" s="15"/>
    </row>
    <row r="75" spans="1:26" s="239" customFormat="1">
      <c r="A75" s="259"/>
      <c r="B75" s="256"/>
      <c r="C75" s="256"/>
      <c r="D75" s="256"/>
      <c r="E75" s="256"/>
      <c r="F75" s="256"/>
      <c r="G75" s="256"/>
      <c r="H75" s="256"/>
      <c r="I75" s="256"/>
      <c r="J75" s="256"/>
      <c r="K75" s="267"/>
      <c r="L75" s="256"/>
      <c r="M75" s="256"/>
      <c r="N75" s="256"/>
      <c r="O75" s="256"/>
      <c r="P75" s="267"/>
      <c r="Q75" s="256"/>
      <c r="R75" s="273"/>
      <c r="S75" s="257"/>
      <c r="T75" s="15"/>
      <c r="U75" s="15"/>
      <c r="V75" s="15"/>
      <c r="W75" s="15"/>
      <c r="X75" s="15"/>
      <c r="Y75" s="15"/>
      <c r="Z75" s="15"/>
    </row>
    <row r="76" spans="1:26" s="239" customFormat="1">
      <c r="A76" s="259"/>
      <c r="B76" s="253"/>
      <c r="C76" s="253"/>
      <c r="D76" s="253"/>
      <c r="E76" s="253"/>
      <c r="F76" s="253"/>
      <c r="G76" s="253"/>
      <c r="H76" s="253"/>
      <c r="I76" s="253"/>
      <c r="J76" s="253"/>
      <c r="K76" s="266"/>
      <c r="L76" s="253"/>
      <c r="M76" s="253"/>
      <c r="N76" s="253"/>
      <c r="O76" s="253"/>
      <c r="P76" s="266"/>
      <c r="Q76" s="253"/>
      <c r="R76" s="272"/>
      <c r="S76" s="254"/>
      <c r="T76" s="15"/>
      <c r="U76" s="15"/>
      <c r="V76" s="15"/>
      <c r="W76" s="15"/>
      <c r="X76" s="15"/>
      <c r="Y76" s="15"/>
      <c r="Z76" s="15"/>
    </row>
    <row r="77" spans="1:26" s="239" customFormat="1">
      <c r="A77" s="260"/>
      <c r="B77" s="256"/>
      <c r="C77" s="256"/>
      <c r="D77" s="256"/>
      <c r="E77" s="256"/>
      <c r="F77" s="256"/>
      <c r="G77" s="256"/>
      <c r="H77" s="256"/>
      <c r="I77" s="256"/>
      <c r="J77" s="256"/>
      <c r="K77" s="267"/>
      <c r="L77" s="256"/>
      <c r="M77" s="256"/>
      <c r="N77" s="256"/>
      <c r="O77" s="256"/>
      <c r="P77" s="267"/>
      <c r="Q77" s="256"/>
      <c r="R77" s="273"/>
      <c r="S77" s="257"/>
      <c r="T77" s="15"/>
      <c r="U77" s="15"/>
      <c r="V77" s="15"/>
      <c r="W77" s="15"/>
      <c r="X77" s="15"/>
      <c r="Y77" s="15"/>
      <c r="Z77" s="15"/>
    </row>
    <row r="78" spans="1:26" s="239" customFormat="1">
      <c r="A78" s="258"/>
      <c r="B78" s="253"/>
      <c r="C78" s="253"/>
      <c r="D78" s="253"/>
      <c r="E78" s="253"/>
      <c r="F78" s="253"/>
      <c r="G78" s="253"/>
      <c r="H78" s="253"/>
      <c r="I78" s="253"/>
      <c r="J78" s="253"/>
      <c r="K78" s="266"/>
      <c r="L78" s="253"/>
      <c r="M78" s="253"/>
      <c r="N78" s="253"/>
      <c r="O78" s="253"/>
      <c r="P78" s="266"/>
      <c r="Q78" s="253"/>
      <c r="R78" s="272"/>
      <c r="S78" s="254"/>
      <c r="T78" s="15"/>
      <c r="U78" s="15"/>
      <c r="V78" s="15"/>
      <c r="W78" s="15"/>
      <c r="X78" s="15"/>
      <c r="Y78" s="15"/>
      <c r="Z78" s="15"/>
    </row>
    <row r="79" spans="1:26" s="239" customFormat="1">
      <c r="A79" s="259"/>
      <c r="B79" s="256"/>
      <c r="C79" s="256"/>
      <c r="D79" s="256"/>
      <c r="E79" s="256"/>
      <c r="F79" s="256"/>
      <c r="G79" s="256"/>
      <c r="H79" s="256"/>
      <c r="I79" s="256"/>
      <c r="J79" s="256"/>
      <c r="K79" s="267"/>
      <c r="L79" s="256"/>
      <c r="M79" s="256"/>
      <c r="N79" s="256"/>
      <c r="O79" s="256"/>
      <c r="P79" s="267"/>
      <c r="Q79" s="256"/>
      <c r="R79" s="273"/>
      <c r="S79" s="257"/>
      <c r="T79" s="15"/>
      <c r="U79" s="15"/>
      <c r="V79" s="15"/>
      <c r="W79" s="15"/>
      <c r="X79" s="15"/>
      <c r="Y79" s="15"/>
      <c r="Z79" s="15"/>
    </row>
    <row r="80" spans="1:26" s="239" customFormat="1">
      <c r="A80" s="259"/>
      <c r="B80" s="253"/>
      <c r="C80" s="253"/>
      <c r="D80" s="253"/>
      <c r="E80" s="253"/>
      <c r="F80" s="253"/>
      <c r="G80" s="253"/>
      <c r="H80" s="253"/>
      <c r="I80" s="253"/>
      <c r="J80" s="253"/>
      <c r="K80" s="266"/>
      <c r="L80" s="253"/>
      <c r="M80" s="253"/>
      <c r="N80" s="253"/>
      <c r="O80" s="253"/>
      <c r="P80" s="266"/>
      <c r="Q80" s="253"/>
      <c r="R80" s="272"/>
      <c r="S80" s="254"/>
      <c r="T80" s="15"/>
      <c r="U80" s="15"/>
      <c r="V80" s="15"/>
      <c r="W80" s="15"/>
      <c r="X80" s="15"/>
      <c r="Y80" s="15"/>
      <c r="Z80" s="15"/>
    </row>
    <row r="81" spans="1:26" s="239" customFormat="1">
      <c r="A81" s="259"/>
      <c r="B81" s="256"/>
      <c r="C81" s="256"/>
      <c r="D81" s="256"/>
      <c r="E81" s="256"/>
      <c r="F81" s="256"/>
      <c r="G81" s="256"/>
      <c r="H81" s="256"/>
      <c r="I81" s="256"/>
      <c r="J81" s="256"/>
      <c r="K81" s="267"/>
      <c r="L81" s="256"/>
      <c r="M81" s="256"/>
      <c r="N81" s="256"/>
      <c r="O81" s="256"/>
      <c r="P81" s="267"/>
      <c r="Q81" s="256"/>
      <c r="R81" s="273"/>
      <c r="S81" s="257"/>
      <c r="T81" s="15"/>
      <c r="U81" s="15"/>
      <c r="V81" s="15"/>
      <c r="W81" s="15"/>
      <c r="X81" s="15"/>
      <c r="Y81" s="15"/>
      <c r="Z81" s="15"/>
    </row>
    <row r="82" spans="1:26" s="239" customFormat="1">
      <c r="A82" s="259"/>
      <c r="B82" s="253"/>
      <c r="C82" s="253"/>
      <c r="D82" s="253"/>
      <c r="E82" s="253"/>
      <c r="F82" s="253"/>
      <c r="G82" s="253"/>
      <c r="H82" s="253"/>
      <c r="I82" s="253"/>
      <c r="J82" s="253"/>
      <c r="K82" s="266"/>
      <c r="L82" s="253"/>
      <c r="M82" s="253"/>
      <c r="N82" s="253"/>
      <c r="O82" s="253"/>
      <c r="P82" s="266"/>
      <c r="Q82" s="253"/>
      <c r="R82" s="272"/>
      <c r="S82" s="254"/>
      <c r="T82" s="15"/>
      <c r="U82" s="15"/>
      <c r="V82" s="15"/>
      <c r="W82" s="15"/>
      <c r="X82" s="15"/>
      <c r="Y82" s="15"/>
      <c r="Z82" s="15"/>
    </row>
    <row r="83" spans="1:26" s="239" customFormat="1">
      <c r="A83" s="259"/>
      <c r="B83" s="256"/>
      <c r="C83" s="256"/>
      <c r="D83" s="256"/>
      <c r="E83" s="256"/>
      <c r="F83" s="256"/>
      <c r="G83" s="256"/>
      <c r="H83" s="256"/>
      <c r="I83" s="256"/>
      <c r="J83" s="256"/>
      <c r="K83" s="267"/>
      <c r="L83" s="256"/>
      <c r="M83" s="256"/>
      <c r="N83" s="256"/>
      <c r="O83" s="256"/>
      <c r="P83" s="267"/>
      <c r="Q83" s="256"/>
      <c r="R83" s="273"/>
      <c r="S83" s="257"/>
      <c r="T83" s="15"/>
      <c r="U83" s="15"/>
      <c r="V83" s="15"/>
      <c r="W83" s="15"/>
      <c r="X83" s="15"/>
      <c r="Y83" s="15"/>
      <c r="Z83" s="15"/>
    </row>
    <row r="84" spans="1:26" s="239" customFormat="1">
      <c r="A84" s="259"/>
      <c r="B84" s="253"/>
      <c r="C84" s="253"/>
      <c r="D84" s="253"/>
      <c r="E84" s="253"/>
      <c r="F84" s="253"/>
      <c r="G84" s="253"/>
      <c r="H84" s="253"/>
      <c r="I84" s="253"/>
      <c r="J84" s="253"/>
      <c r="K84" s="266"/>
      <c r="L84" s="253"/>
      <c r="M84" s="253"/>
      <c r="N84" s="253"/>
      <c r="O84" s="253"/>
      <c r="P84" s="266"/>
      <c r="Q84" s="253"/>
      <c r="R84" s="272"/>
      <c r="S84" s="254"/>
      <c r="T84" s="15"/>
      <c r="U84" s="15"/>
      <c r="V84" s="15"/>
      <c r="W84" s="15"/>
      <c r="X84" s="15"/>
      <c r="Y84" s="15"/>
      <c r="Z84" s="15"/>
    </row>
    <row r="85" spans="1:26" s="239" customFormat="1">
      <c r="A85" s="260"/>
      <c r="B85" s="256"/>
      <c r="C85" s="256"/>
      <c r="D85" s="256"/>
      <c r="E85" s="256"/>
      <c r="F85" s="256"/>
      <c r="G85" s="256"/>
      <c r="H85" s="256"/>
      <c r="I85" s="256"/>
      <c r="J85" s="256"/>
      <c r="K85" s="267"/>
      <c r="L85" s="256"/>
      <c r="M85" s="256"/>
      <c r="N85" s="256"/>
      <c r="O85" s="256"/>
      <c r="P85" s="267"/>
      <c r="Q85" s="256"/>
      <c r="R85" s="273"/>
      <c r="S85" s="257"/>
      <c r="T85" s="15"/>
      <c r="U85" s="15"/>
      <c r="V85" s="15"/>
      <c r="W85" s="15"/>
      <c r="X85" s="15"/>
      <c r="Y85" s="15"/>
      <c r="Z85" s="15"/>
    </row>
    <row r="86" spans="1:26" s="239" customFormat="1">
      <c r="A86" s="258"/>
      <c r="B86" s="253"/>
      <c r="C86" s="253"/>
      <c r="D86" s="253"/>
      <c r="E86" s="253"/>
      <c r="F86" s="253"/>
      <c r="G86" s="253"/>
      <c r="H86" s="253"/>
      <c r="I86" s="253"/>
      <c r="J86" s="253"/>
      <c r="K86" s="266"/>
      <c r="L86" s="253"/>
      <c r="M86" s="253"/>
      <c r="N86" s="253"/>
      <c r="O86" s="253"/>
      <c r="P86" s="266"/>
      <c r="Q86" s="253"/>
      <c r="R86" s="272"/>
      <c r="S86" s="254"/>
      <c r="T86" s="15"/>
      <c r="U86" s="15"/>
      <c r="V86" s="15"/>
      <c r="W86" s="15"/>
      <c r="X86" s="15"/>
      <c r="Y86" s="15"/>
      <c r="Z86" s="15"/>
    </row>
    <row r="87" spans="1:26" s="239" customFormat="1">
      <c r="A87" s="259"/>
      <c r="B87" s="256"/>
      <c r="C87" s="256"/>
      <c r="D87" s="256"/>
      <c r="E87" s="256"/>
      <c r="F87" s="256"/>
      <c r="G87" s="256"/>
      <c r="H87" s="256"/>
      <c r="I87" s="256"/>
      <c r="J87" s="256"/>
      <c r="K87" s="267"/>
      <c r="L87" s="256"/>
      <c r="M87" s="256"/>
      <c r="N87" s="256"/>
      <c r="O87" s="256"/>
      <c r="P87" s="267"/>
      <c r="Q87" s="256"/>
      <c r="R87" s="273"/>
      <c r="S87" s="257"/>
      <c r="T87" s="15"/>
      <c r="U87" s="15"/>
      <c r="V87" s="15"/>
      <c r="W87" s="15"/>
      <c r="X87" s="15"/>
      <c r="Y87" s="15"/>
      <c r="Z87" s="15"/>
    </row>
    <row r="88" spans="1:26" s="239" customFormat="1">
      <c r="A88" s="259"/>
      <c r="B88" s="253"/>
      <c r="C88" s="253"/>
      <c r="D88" s="253"/>
      <c r="E88" s="253"/>
      <c r="F88" s="253"/>
      <c r="G88" s="253"/>
      <c r="H88" s="253"/>
      <c r="I88" s="253"/>
      <c r="J88" s="253"/>
      <c r="K88" s="266"/>
      <c r="L88" s="253"/>
      <c r="M88" s="253"/>
      <c r="N88" s="253"/>
      <c r="O88" s="253"/>
      <c r="P88" s="266"/>
      <c r="Q88" s="253"/>
      <c r="R88" s="272"/>
      <c r="S88" s="254"/>
      <c r="T88" s="15"/>
      <c r="U88" s="15"/>
      <c r="V88" s="15"/>
      <c r="W88" s="15"/>
      <c r="X88" s="15"/>
      <c r="Y88" s="15"/>
      <c r="Z88" s="15"/>
    </row>
    <row r="89" spans="1:26" s="239" customFormat="1">
      <c r="A89" s="259"/>
      <c r="B89" s="256"/>
      <c r="C89" s="256"/>
      <c r="D89" s="256"/>
      <c r="E89" s="256"/>
      <c r="F89" s="256"/>
      <c r="G89" s="256"/>
      <c r="H89" s="256"/>
      <c r="I89" s="256"/>
      <c r="J89" s="256"/>
      <c r="K89" s="267"/>
      <c r="L89" s="256"/>
      <c r="M89" s="256"/>
      <c r="N89" s="256"/>
      <c r="O89" s="256"/>
      <c r="P89" s="267"/>
      <c r="Q89" s="256"/>
      <c r="R89" s="273"/>
      <c r="S89" s="257"/>
      <c r="T89" s="15"/>
      <c r="U89" s="15"/>
      <c r="V89" s="15"/>
      <c r="W89" s="15"/>
      <c r="X89" s="15"/>
      <c r="Y89" s="15"/>
      <c r="Z89" s="15"/>
    </row>
    <row r="90" spans="1:26" s="239" customFormat="1">
      <c r="A90" s="259"/>
      <c r="B90" s="253"/>
      <c r="C90" s="253"/>
      <c r="D90" s="253"/>
      <c r="E90" s="253"/>
      <c r="F90" s="253"/>
      <c r="G90" s="253"/>
      <c r="H90" s="253"/>
      <c r="I90" s="253"/>
      <c r="J90" s="253"/>
      <c r="K90" s="266"/>
      <c r="L90" s="253"/>
      <c r="M90" s="253"/>
      <c r="N90" s="253"/>
      <c r="O90" s="253"/>
      <c r="P90" s="266"/>
      <c r="Q90" s="253"/>
      <c r="R90" s="272"/>
      <c r="S90" s="254"/>
      <c r="T90" s="15"/>
      <c r="U90" s="15"/>
      <c r="V90" s="15"/>
      <c r="W90" s="15"/>
      <c r="X90" s="15"/>
      <c r="Y90" s="15"/>
      <c r="Z90" s="15"/>
    </row>
    <row r="91" spans="1:26" s="239" customFormat="1">
      <c r="A91" s="259"/>
      <c r="B91" s="256"/>
      <c r="C91" s="256"/>
      <c r="D91" s="256"/>
      <c r="E91" s="256"/>
      <c r="F91" s="256"/>
      <c r="G91" s="256"/>
      <c r="H91" s="256"/>
      <c r="I91" s="256"/>
      <c r="J91" s="256"/>
      <c r="K91" s="267"/>
      <c r="L91" s="256"/>
      <c r="M91" s="256"/>
      <c r="N91" s="256"/>
      <c r="O91" s="256"/>
      <c r="P91" s="267"/>
      <c r="Q91" s="256"/>
      <c r="R91" s="273"/>
      <c r="S91" s="257"/>
      <c r="T91" s="15"/>
      <c r="U91" s="15"/>
      <c r="V91" s="15"/>
      <c r="W91" s="15"/>
      <c r="X91" s="15"/>
      <c r="Y91" s="15"/>
      <c r="Z91" s="15"/>
    </row>
    <row r="92" spans="1:26" s="239" customFormat="1">
      <c r="A92" s="259"/>
      <c r="B92" s="253"/>
      <c r="C92" s="253"/>
      <c r="D92" s="253"/>
      <c r="E92" s="253"/>
      <c r="F92" s="253"/>
      <c r="G92" s="253"/>
      <c r="H92" s="253"/>
      <c r="I92" s="253"/>
      <c r="J92" s="253"/>
      <c r="K92" s="266"/>
      <c r="L92" s="253"/>
      <c r="M92" s="253"/>
      <c r="N92" s="253"/>
      <c r="O92" s="253"/>
      <c r="P92" s="266"/>
      <c r="Q92" s="253"/>
      <c r="R92" s="272"/>
      <c r="S92" s="254"/>
      <c r="T92" s="15"/>
      <c r="U92" s="15"/>
      <c r="V92" s="15"/>
      <c r="W92" s="15"/>
      <c r="X92" s="15"/>
      <c r="Y92" s="15"/>
      <c r="Z92" s="15"/>
    </row>
    <row r="93" spans="1:26" s="239" customFormat="1">
      <c r="A93" s="260"/>
      <c r="B93" s="256"/>
      <c r="C93" s="256"/>
      <c r="D93" s="256"/>
      <c r="E93" s="256"/>
      <c r="F93" s="256"/>
      <c r="G93" s="256"/>
      <c r="H93" s="256"/>
      <c r="I93" s="256"/>
      <c r="J93" s="256"/>
      <c r="K93" s="267"/>
      <c r="L93" s="256"/>
      <c r="M93" s="256"/>
      <c r="N93" s="256"/>
      <c r="O93" s="256"/>
      <c r="P93" s="267"/>
      <c r="Q93" s="256"/>
      <c r="R93" s="273"/>
      <c r="S93" s="257"/>
      <c r="T93" s="15"/>
      <c r="U93" s="15"/>
      <c r="V93" s="15"/>
      <c r="W93" s="15"/>
      <c r="X93" s="15"/>
      <c r="Y93" s="15"/>
      <c r="Z93" s="15"/>
    </row>
    <row r="94" spans="1:26" s="239" customFormat="1">
      <c r="A94" s="258"/>
      <c r="B94" s="253"/>
      <c r="C94" s="253"/>
      <c r="D94" s="253"/>
      <c r="E94" s="253"/>
      <c r="F94" s="253"/>
      <c r="G94" s="253"/>
      <c r="H94" s="253"/>
      <c r="I94" s="253"/>
      <c r="J94" s="253"/>
      <c r="K94" s="266"/>
      <c r="L94" s="253"/>
      <c r="M94" s="253"/>
      <c r="N94" s="253"/>
      <c r="O94" s="253"/>
      <c r="P94" s="266"/>
      <c r="Q94" s="253"/>
      <c r="R94" s="272"/>
      <c r="S94" s="254"/>
      <c r="T94" s="15"/>
      <c r="U94" s="15"/>
      <c r="V94" s="15"/>
      <c r="W94" s="15"/>
      <c r="X94" s="15"/>
      <c r="Y94" s="15"/>
      <c r="Z94" s="15"/>
    </row>
    <row r="95" spans="1:26" s="239" customFormat="1">
      <c r="A95" s="259"/>
      <c r="B95" s="256"/>
      <c r="C95" s="256"/>
      <c r="D95" s="256"/>
      <c r="E95" s="256"/>
      <c r="F95" s="256"/>
      <c r="G95" s="256"/>
      <c r="H95" s="256"/>
      <c r="I95" s="256"/>
      <c r="J95" s="256"/>
      <c r="K95" s="267"/>
      <c r="L95" s="256"/>
      <c r="M95" s="256"/>
      <c r="N95" s="256"/>
      <c r="O95" s="256"/>
      <c r="P95" s="267"/>
      <c r="Q95" s="256"/>
      <c r="R95" s="273"/>
      <c r="S95" s="257"/>
      <c r="T95" s="15"/>
      <c r="U95" s="15"/>
      <c r="V95" s="15"/>
      <c r="W95" s="15"/>
      <c r="X95" s="15"/>
      <c r="Y95" s="15"/>
      <c r="Z95" s="15"/>
    </row>
    <row r="96" spans="1:26" s="239" customFormat="1">
      <c r="A96" s="259"/>
      <c r="B96" s="253"/>
      <c r="C96" s="253"/>
      <c r="D96" s="253"/>
      <c r="E96" s="253"/>
      <c r="F96" s="253"/>
      <c r="G96" s="253"/>
      <c r="H96" s="253"/>
      <c r="I96" s="253"/>
      <c r="J96" s="253"/>
      <c r="K96" s="266"/>
      <c r="L96" s="253"/>
      <c r="M96" s="253"/>
      <c r="N96" s="253"/>
      <c r="O96" s="253"/>
      <c r="P96" s="266"/>
      <c r="Q96" s="253"/>
      <c r="R96" s="272"/>
      <c r="S96" s="254"/>
      <c r="T96" s="15"/>
      <c r="U96" s="15"/>
      <c r="V96" s="15"/>
      <c r="W96" s="15"/>
      <c r="X96" s="15"/>
      <c r="Y96" s="15"/>
      <c r="Z96" s="15"/>
    </row>
    <row r="97" spans="1:26" s="239" customFormat="1">
      <c r="A97" s="259"/>
      <c r="B97" s="256"/>
      <c r="C97" s="256"/>
      <c r="D97" s="256"/>
      <c r="E97" s="256"/>
      <c r="F97" s="256"/>
      <c r="G97" s="256"/>
      <c r="H97" s="256"/>
      <c r="I97" s="256"/>
      <c r="J97" s="256"/>
      <c r="K97" s="267"/>
      <c r="L97" s="256"/>
      <c r="M97" s="256"/>
      <c r="N97" s="256"/>
      <c r="O97" s="256"/>
      <c r="P97" s="267"/>
      <c r="Q97" s="256"/>
      <c r="R97" s="273"/>
      <c r="S97" s="257"/>
      <c r="T97" s="15"/>
      <c r="U97" s="15"/>
      <c r="V97" s="15"/>
      <c r="W97" s="15"/>
      <c r="X97" s="15"/>
      <c r="Y97" s="15"/>
      <c r="Z97" s="15"/>
    </row>
    <row r="98" spans="1:26" s="239" customFormat="1">
      <c r="A98" s="259"/>
      <c r="B98" s="253"/>
      <c r="C98" s="253"/>
      <c r="D98" s="253"/>
      <c r="E98" s="253"/>
      <c r="F98" s="253"/>
      <c r="G98" s="253"/>
      <c r="H98" s="253"/>
      <c r="I98" s="253"/>
      <c r="J98" s="253"/>
      <c r="K98" s="266"/>
      <c r="L98" s="253"/>
      <c r="M98" s="253"/>
      <c r="N98" s="253"/>
      <c r="O98" s="253"/>
      <c r="P98" s="266"/>
      <c r="Q98" s="253"/>
      <c r="R98" s="272"/>
      <c r="S98" s="254"/>
      <c r="T98" s="15"/>
      <c r="U98" s="15"/>
      <c r="V98" s="15"/>
      <c r="W98" s="15"/>
      <c r="X98" s="15"/>
      <c r="Y98" s="15"/>
      <c r="Z98" s="15"/>
    </row>
    <row r="99" spans="1:26" s="239" customFormat="1">
      <c r="A99" s="259"/>
      <c r="B99" s="256"/>
      <c r="C99" s="256"/>
      <c r="D99" s="256"/>
      <c r="E99" s="256"/>
      <c r="F99" s="256"/>
      <c r="G99" s="256"/>
      <c r="H99" s="256"/>
      <c r="I99" s="256"/>
      <c r="J99" s="256"/>
      <c r="K99" s="267"/>
      <c r="L99" s="256"/>
      <c r="M99" s="256"/>
      <c r="N99" s="256"/>
      <c r="O99" s="256"/>
      <c r="P99" s="267"/>
      <c r="Q99" s="256"/>
      <c r="R99" s="273"/>
      <c r="S99" s="257"/>
      <c r="T99" s="15"/>
      <c r="U99" s="15"/>
      <c r="V99" s="15"/>
      <c r="W99" s="15"/>
      <c r="X99" s="15"/>
      <c r="Y99" s="15"/>
      <c r="Z99" s="15"/>
    </row>
    <row r="100" spans="1:26" s="239" customFormat="1">
      <c r="A100" s="259"/>
      <c r="B100" s="253"/>
      <c r="C100" s="253"/>
      <c r="D100" s="253"/>
      <c r="E100" s="253"/>
      <c r="F100" s="253"/>
      <c r="G100" s="253"/>
      <c r="H100" s="253"/>
      <c r="I100" s="253"/>
      <c r="J100" s="253"/>
      <c r="K100" s="266"/>
      <c r="L100" s="253"/>
      <c r="M100" s="253"/>
      <c r="N100" s="253"/>
      <c r="O100" s="253"/>
      <c r="P100" s="266"/>
      <c r="Q100" s="253"/>
      <c r="R100" s="272"/>
      <c r="S100" s="254"/>
      <c r="T100" s="15"/>
      <c r="U100" s="15"/>
      <c r="V100" s="15"/>
      <c r="W100" s="15"/>
      <c r="X100" s="15"/>
      <c r="Y100" s="15"/>
      <c r="Z100" s="15"/>
    </row>
    <row r="101" spans="1:26" s="239" customFormat="1">
      <c r="A101" s="260"/>
      <c r="B101" s="256"/>
      <c r="C101" s="256"/>
      <c r="D101" s="256"/>
      <c r="E101" s="256"/>
      <c r="F101" s="256"/>
      <c r="G101" s="256"/>
      <c r="H101" s="256"/>
      <c r="I101" s="256"/>
      <c r="J101" s="256"/>
      <c r="K101" s="267"/>
      <c r="L101" s="256"/>
      <c r="M101" s="256"/>
      <c r="N101" s="256"/>
      <c r="O101" s="256"/>
      <c r="P101" s="267"/>
      <c r="Q101" s="256"/>
      <c r="R101" s="273"/>
      <c r="S101" s="257"/>
      <c r="T101" s="15"/>
      <c r="U101" s="15"/>
      <c r="V101" s="15"/>
      <c r="W101" s="15"/>
      <c r="X101" s="15"/>
      <c r="Y101" s="15"/>
      <c r="Z101" s="15"/>
    </row>
    <row r="102" spans="1:26" s="239" customFormat="1">
      <c r="A102" s="258"/>
      <c r="B102" s="253"/>
      <c r="C102" s="253"/>
      <c r="D102" s="253"/>
      <c r="E102" s="253"/>
      <c r="F102" s="253"/>
      <c r="G102" s="253"/>
      <c r="H102" s="253"/>
      <c r="I102" s="253"/>
      <c r="J102" s="253"/>
      <c r="K102" s="266"/>
      <c r="L102" s="253"/>
      <c r="M102" s="253"/>
      <c r="N102" s="253"/>
      <c r="O102" s="253"/>
      <c r="P102" s="266"/>
      <c r="Q102" s="253"/>
      <c r="R102" s="272"/>
      <c r="S102" s="254"/>
      <c r="T102" s="15"/>
      <c r="U102" s="15"/>
      <c r="V102" s="15"/>
      <c r="W102" s="15"/>
      <c r="X102" s="15"/>
      <c r="Y102" s="15"/>
      <c r="Z102" s="15"/>
    </row>
    <row r="103" spans="1:26" s="239" customFormat="1">
      <c r="A103" s="259"/>
      <c r="B103" s="256"/>
      <c r="C103" s="256"/>
      <c r="D103" s="256"/>
      <c r="E103" s="256"/>
      <c r="F103" s="256"/>
      <c r="G103" s="256"/>
      <c r="H103" s="256"/>
      <c r="I103" s="256"/>
      <c r="J103" s="256"/>
      <c r="K103" s="267"/>
      <c r="L103" s="256"/>
      <c r="M103" s="256"/>
      <c r="N103" s="256"/>
      <c r="O103" s="256"/>
      <c r="P103" s="267"/>
      <c r="Q103" s="256"/>
      <c r="R103" s="273"/>
      <c r="S103" s="257"/>
      <c r="T103" s="15"/>
      <c r="U103" s="15"/>
      <c r="V103" s="15"/>
      <c r="W103" s="15"/>
      <c r="X103" s="15"/>
      <c r="Y103" s="15"/>
      <c r="Z103" s="15"/>
    </row>
    <row r="104" spans="1:26" s="239" customFormat="1">
      <c r="A104" s="259"/>
      <c r="B104" s="253"/>
      <c r="C104" s="253"/>
      <c r="D104" s="253"/>
      <c r="E104" s="253"/>
      <c r="F104" s="253"/>
      <c r="G104" s="253"/>
      <c r="H104" s="253"/>
      <c r="I104" s="253"/>
      <c r="J104" s="253"/>
      <c r="K104" s="266"/>
      <c r="L104" s="253"/>
      <c r="M104" s="253"/>
      <c r="N104" s="253"/>
      <c r="O104" s="253"/>
      <c r="P104" s="266"/>
      <c r="Q104" s="253"/>
      <c r="R104" s="272"/>
      <c r="S104" s="254"/>
      <c r="T104" s="15"/>
      <c r="U104" s="15"/>
      <c r="V104" s="15"/>
      <c r="W104" s="15"/>
      <c r="X104" s="15"/>
      <c r="Y104" s="15"/>
      <c r="Z104" s="15"/>
    </row>
    <row r="105" spans="1:26" s="239" customFormat="1">
      <c r="A105" s="259"/>
      <c r="B105" s="256"/>
      <c r="C105" s="256"/>
      <c r="D105" s="256"/>
      <c r="E105" s="256"/>
      <c r="F105" s="256"/>
      <c r="G105" s="256"/>
      <c r="H105" s="256"/>
      <c r="I105" s="256"/>
      <c r="J105" s="256"/>
      <c r="K105" s="267"/>
      <c r="L105" s="256"/>
      <c r="M105" s="256"/>
      <c r="N105" s="256"/>
      <c r="O105" s="256"/>
      <c r="P105" s="267"/>
      <c r="Q105" s="256"/>
      <c r="R105" s="273"/>
      <c r="S105" s="257"/>
      <c r="T105" s="15"/>
      <c r="U105" s="15"/>
      <c r="V105" s="15"/>
      <c r="W105" s="15"/>
      <c r="X105" s="15"/>
      <c r="Y105" s="15"/>
      <c r="Z105" s="15"/>
    </row>
    <row r="106" spans="1:26" s="239" customFormat="1">
      <c r="A106" s="259"/>
      <c r="B106" s="253"/>
      <c r="C106" s="253"/>
      <c r="D106" s="253"/>
      <c r="E106" s="253"/>
      <c r="F106" s="253"/>
      <c r="G106" s="253"/>
      <c r="H106" s="253"/>
      <c r="I106" s="253"/>
      <c r="J106" s="253"/>
      <c r="K106" s="266"/>
      <c r="L106" s="253"/>
      <c r="M106" s="253"/>
      <c r="N106" s="253"/>
      <c r="O106" s="253"/>
      <c r="P106" s="266"/>
      <c r="Q106" s="253"/>
      <c r="R106" s="272"/>
      <c r="S106" s="254"/>
      <c r="T106" s="15"/>
      <c r="U106" s="15"/>
      <c r="V106" s="15"/>
      <c r="W106" s="15"/>
      <c r="X106" s="15"/>
      <c r="Y106" s="15"/>
      <c r="Z106" s="15"/>
    </row>
    <row r="107" spans="1:26" s="239" customFormat="1">
      <c r="A107" s="259"/>
      <c r="B107" s="256"/>
      <c r="C107" s="256"/>
      <c r="D107" s="256"/>
      <c r="E107" s="256"/>
      <c r="F107" s="256"/>
      <c r="G107" s="256"/>
      <c r="H107" s="256"/>
      <c r="I107" s="256"/>
      <c r="J107" s="256"/>
      <c r="K107" s="267"/>
      <c r="L107" s="256"/>
      <c r="M107" s="256"/>
      <c r="N107" s="256"/>
      <c r="O107" s="256"/>
      <c r="P107" s="267"/>
      <c r="Q107" s="256"/>
      <c r="R107" s="273"/>
      <c r="S107" s="257"/>
      <c r="T107" s="15"/>
      <c r="U107" s="15"/>
      <c r="V107" s="15"/>
      <c r="W107" s="15"/>
      <c r="X107" s="15"/>
      <c r="Y107" s="15"/>
      <c r="Z107" s="15"/>
    </row>
    <row r="108" spans="1:26" s="239" customFormat="1">
      <c r="A108" s="259"/>
      <c r="B108" s="253"/>
      <c r="C108" s="253"/>
      <c r="D108" s="253"/>
      <c r="E108" s="253"/>
      <c r="F108" s="253"/>
      <c r="G108" s="253"/>
      <c r="H108" s="253"/>
      <c r="I108" s="253"/>
      <c r="J108" s="253"/>
      <c r="K108" s="266"/>
      <c r="L108" s="253"/>
      <c r="M108" s="253"/>
      <c r="N108" s="253"/>
      <c r="O108" s="253"/>
      <c r="P108" s="266"/>
      <c r="Q108" s="253"/>
      <c r="R108" s="272"/>
      <c r="S108" s="254"/>
      <c r="T108" s="15"/>
      <c r="U108" s="15"/>
      <c r="V108" s="15"/>
      <c r="W108" s="15"/>
      <c r="X108" s="15"/>
      <c r="Y108" s="15"/>
      <c r="Z108" s="15"/>
    </row>
    <row r="109" spans="1:26" s="239" customFormat="1">
      <c r="A109" s="260"/>
      <c r="B109" s="256"/>
      <c r="C109" s="256"/>
      <c r="D109" s="256"/>
      <c r="E109" s="256"/>
      <c r="F109" s="256"/>
      <c r="G109" s="256"/>
      <c r="H109" s="256"/>
      <c r="I109" s="256"/>
      <c r="J109" s="256"/>
      <c r="K109" s="267"/>
      <c r="L109" s="256"/>
      <c r="M109" s="256"/>
      <c r="N109" s="256"/>
      <c r="O109" s="256"/>
      <c r="P109" s="267"/>
      <c r="Q109" s="256"/>
      <c r="R109" s="273"/>
      <c r="S109" s="257"/>
      <c r="T109" s="15"/>
      <c r="U109" s="15"/>
      <c r="V109" s="15"/>
      <c r="W109" s="15"/>
      <c r="X109" s="15"/>
      <c r="Y109" s="15"/>
      <c r="Z109" s="15"/>
    </row>
    <row r="110" spans="1:26" s="239" customFormat="1">
      <c r="A110" s="258"/>
      <c r="B110" s="253"/>
      <c r="C110" s="253"/>
      <c r="D110" s="253"/>
      <c r="E110" s="253"/>
      <c r="F110" s="253"/>
      <c r="G110" s="253"/>
      <c r="H110" s="253"/>
      <c r="I110" s="253"/>
      <c r="J110" s="253"/>
      <c r="K110" s="266"/>
      <c r="L110" s="253"/>
      <c r="M110" s="253"/>
      <c r="N110" s="253"/>
      <c r="O110" s="253"/>
      <c r="P110" s="266"/>
      <c r="Q110" s="253"/>
      <c r="R110" s="272"/>
      <c r="S110" s="254"/>
      <c r="T110" s="15"/>
      <c r="U110" s="15"/>
      <c r="V110" s="15"/>
      <c r="W110" s="15"/>
      <c r="X110" s="15"/>
      <c r="Y110" s="15"/>
      <c r="Z110" s="15"/>
    </row>
    <row r="111" spans="1:26" s="239" customFormat="1">
      <c r="A111" s="259"/>
      <c r="B111" s="256"/>
      <c r="C111" s="256"/>
      <c r="D111" s="256"/>
      <c r="E111" s="256"/>
      <c r="F111" s="256"/>
      <c r="G111" s="256"/>
      <c r="H111" s="256"/>
      <c r="I111" s="256"/>
      <c r="J111" s="256"/>
      <c r="K111" s="267"/>
      <c r="L111" s="256"/>
      <c r="M111" s="256"/>
      <c r="N111" s="256"/>
      <c r="O111" s="256"/>
      <c r="P111" s="267"/>
      <c r="Q111" s="256"/>
      <c r="R111" s="273"/>
      <c r="S111" s="257"/>
      <c r="T111" s="15"/>
      <c r="U111" s="15"/>
      <c r="V111" s="15"/>
      <c r="W111" s="15"/>
      <c r="X111" s="15"/>
      <c r="Y111" s="15"/>
      <c r="Z111" s="15"/>
    </row>
    <row r="112" spans="1:26" s="239" customFormat="1">
      <c r="A112" s="259"/>
      <c r="B112" s="253"/>
      <c r="C112" s="253"/>
      <c r="D112" s="253"/>
      <c r="E112" s="253"/>
      <c r="F112" s="253"/>
      <c r="G112" s="253"/>
      <c r="H112" s="253"/>
      <c r="I112" s="253"/>
      <c r="J112" s="253"/>
      <c r="K112" s="266"/>
      <c r="L112" s="253"/>
      <c r="M112" s="253"/>
      <c r="N112" s="253"/>
      <c r="O112" s="253"/>
      <c r="P112" s="266"/>
      <c r="Q112" s="253"/>
      <c r="R112" s="272"/>
      <c r="S112" s="254"/>
      <c r="T112" s="15"/>
      <c r="U112" s="15"/>
      <c r="V112" s="15"/>
      <c r="W112" s="15"/>
      <c r="X112" s="15"/>
      <c r="Y112" s="15"/>
      <c r="Z112" s="15"/>
    </row>
    <row r="113" spans="1:26" s="239" customFormat="1">
      <c r="A113" s="259"/>
      <c r="B113" s="256"/>
      <c r="C113" s="256"/>
      <c r="D113" s="256"/>
      <c r="E113" s="256"/>
      <c r="F113" s="256"/>
      <c r="G113" s="256"/>
      <c r="H113" s="256"/>
      <c r="I113" s="256"/>
      <c r="J113" s="256"/>
      <c r="K113" s="267"/>
      <c r="L113" s="256"/>
      <c r="M113" s="256"/>
      <c r="N113" s="256"/>
      <c r="O113" s="256"/>
      <c r="P113" s="267"/>
      <c r="Q113" s="256"/>
      <c r="R113" s="273"/>
      <c r="S113" s="257"/>
      <c r="T113" s="15"/>
      <c r="U113" s="15"/>
      <c r="V113" s="15"/>
      <c r="W113" s="15"/>
      <c r="X113" s="15"/>
      <c r="Y113" s="15"/>
      <c r="Z113" s="15"/>
    </row>
    <row r="114" spans="1:26" s="239" customFormat="1">
      <c r="A114" s="259"/>
      <c r="B114" s="253"/>
      <c r="C114" s="253"/>
      <c r="D114" s="253"/>
      <c r="E114" s="253"/>
      <c r="F114" s="253"/>
      <c r="G114" s="253"/>
      <c r="H114" s="253"/>
      <c r="I114" s="253"/>
      <c r="J114" s="253"/>
      <c r="K114" s="266"/>
      <c r="L114" s="253"/>
      <c r="M114" s="253"/>
      <c r="N114" s="253"/>
      <c r="O114" s="253"/>
      <c r="P114" s="266"/>
      <c r="Q114" s="253"/>
      <c r="R114" s="272"/>
      <c r="S114" s="254"/>
      <c r="T114" s="15"/>
      <c r="U114" s="15"/>
      <c r="V114" s="15"/>
      <c r="W114" s="15"/>
      <c r="X114" s="15"/>
      <c r="Y114" s="15"/>
      <c r="Z114" s="15"/>
    </row>
    <row r="115" spans="1:26" s="239" customFormat="1">
      <c r="A115" s="259"/>
      <c r="B115" s="256"/>
      <c r="C115" s="256"/>
      <c r="D115" s="256"/>
      <c r="E115" s="256"/>
      <c r="F115" s="256"/>
      <c r="G115" s="256"/>
      <c r="H115" s="256"/>
      <c r="I115" s="256"/>
      <c r="J115" s="256"/>
      <c r="K115" s="267"/>
      <c r="L115" s="256"/>
      <c r="M115" s="256"/>
      <c r="N115" s="256"/>
      <c r="O115" s="256"/>
      <c r="P115" s="267"/>
      <c r="Q115" s="256"/>
      <c r="R115" s="273"/>
      <c r="S115" s="257"/>
      <c r="T115" s="15"/>
      <c r="U115" s="15"/>
      <c r="V115" s="15"/>
      <c r="W115" s="15"/>
      <c r="X115" s="15"/>
      <c r="Y115" s="15"/>
      <c r="Z115" s="15"/>
    </row>
    <row r="116" spans="1:26" s="239" customFormat="1">
      <c r="A116" s="259"/>
      <c r="B116" s="253"/>
      <c r="C116" s="253"/>
      <c r="D116" s="253"/>
      <c r="E116" s="253"/>
      <c r="F116" s="253"/>
      <c r="G116" s="253"/>
      <c r="H116" s="253"/>
      <c r="I116" s="253"/>
      <c r="J116" s="253"/>
      <c r="K116" s="266"/>
      <c r="L116" s="253"/>
      <c r="M116" s="253"/>
      <c r="N116" s="253"/>
      <c r="O116" s="253"/>
      <c r="P116" s="266"/>
      <c r="Q116" s="253"/>
      <c r="R116" s="272"/>
      <c r="S116" s="254"/>
      <c r="T116" s="15"/>
      <c r="U116" s="15"/>
      <c r="V116" s="15"/>
      <c r="W116" s="15"/>
      <c r="X116" s="15"/>
      <c r="Y116" s="15"/>
      <c r="Z116" s="15"/>
    </row>
    <row r="117" spans="1:26" s="239" customFormat="1">
      <c r="A117" s="260"/>
      <c r="B117" s="256"/>
      <c r="C117" s="256"/>
      <c r="D117" s="256"/>
      <c r="E117" s="256"/>
      <c r="F117" s="256"/>
      <c r="G117" s="256"/>
      <c r="H117" s="256"/>
      <c r="I117" s="256"/>
      <c r="J117" s="256"/>
      <c r="K117" s="267"/>
      <c r="L117" s="256"/>
      <c r="M117" s="256"/>
      <c r="N117" s="256"/>
      <c r="O117" s="256"/>
      <c r="P117" s="267"/>
      <c r="Q117" s="256"/>
      <c r="R117" s="273"/>
      <c r="S117" s="257"/>
      <c r="T117" s="15"/>
      <c r="U117" s="15"/>
      <c r="V117" s="15"/>
      <c r="W117" s="15"/>
      <c r="X117" s="15"/>
      <c r="Y117" s="15"/>
      <c r="Z117" s="15"/>
    </row>
    <row r="118" spans="1:26" s="239" customFormat="1">
      <c r="A118" s="258"/>
      <c r="B118" s="253"/>
      <c r="C118" s="253"/>
      <c r="D118" s="253"/>
      <c r="E118" s="253"/>
      <c r="F118" s="253"/>
      <c r="G118" s="253"/>
      <c r="H118" s="253"/>
      <c r="I118" s="253"/>
      <c r="J118" s="253"/>
      <c r="K118" s="266"/>
      <c r="L118" s="253"/>
      <c r="M118" s="253"/>
      <c r="N118" s="253"/>
      <c r="O118" s="253"/>
      <c r="P118" s="266"/>
      <c r="Q118" s="253"/>
      <c r="R118" s="272"/>
      <c r="S118" s="254"/>
      <c r="T118" s="15"/>
      <c r="U118" s="15"/>
      <c r="V118" s="15"/>
      <c r="W118" s="15"/>
      <c r="X118" s="15"/>
      <c r="Y118" s="15"/>
      <c r="Z118" s="15"/>
    </row>
    <row r="119" spans="1:26" s="239" customFormat="1">
      <c r="A119" s="259"/>
      <c r="B119" s="256"/>
      <c r="C119" s="256"/>
      <c r="D119" s="256"/>
      <c r="E119" s="256"/>
      <c r="F119" s="256"/>
      <c r="G119" s="256"/>
      <c r="H119" s="256"/>
      <c r="I119" s="256"/>
      <c r="J119" s="256"/>
      <c r="K119" s="267"/>
      <c r="L119" s="256"/>
      <c r="M119" s="256"/>
      <c r="N119" s="256"/>
      <c r="O119" s="256"/>
      <c r="P119" s="267"/>
      <c r="Q119" s="256"/>
      <c r="R119" s="273"/>
      <c r="S119" s="257"/>
      <c r="T119" s="15"/>
      <c r="U119" s="15"/>
      <c r="V119" s="15"/>
      <c r="W119" s="15"/>
      <c r="X119" s="15"/>
      <c r="Y119" s="15"/>
      <c r="Z119" s="15"/>
    </row>
    <row r="120" spans="1:26" s="239" customFormat="1">
      <c r="A120" s="259"/>
      <c r="B120" s="253"/>
      <c r="C120" s="253"/>
      <c r="D120" s="253"/>
      <c r="E120" s="253"/>
      <c r="F120" s="253"/>
      <c r="G120" s="253"/>
      <c r="H120" s="253"/>
      <c r="I120" s="253"/>
      <c r="J120" s="253"/>
      <c r="K120" s="266"/>
      <c r="L120" s="253"/>
      <c r="M120" s="253"/>
      <c r="N120" s="253"/>
      <c r="O120" s="253"/>
      <c r="P120" s="266"/>
      <c r="Q120" s="253"/>
      <c r="R120" s="272"/>
      <c r="S120" s="254"/>
      <c r="T120" s="15"/>
      <c r="U120" s="15"/>
      <c r="V120" s="15"/>
      <c r="W120" s="15"/>
      <c r="X120" s="15"/>
      <c r="Y120" s="15"/>
      <c r="Z120" s="15"/>
    </row>
    <row r="121" spans="1:26" s="239" customFormat="1">
      <c r="A121" s="259"/>
      <c r="B121" s="256"/>
      <c r="C121" s="256"/>
      <c r="D121" s="256"/>
      <c r="E121" s="256"/>
      <c r="F121" s="256"/>
      <c r="G121" s="256"/>
      <c r="H121" s="256"/>
      <c r="I121" s="256"/>
      <c r="J121" s="256"/>
      <c r="K121" s="267"/>
      <c r="L121" s="256"/>
      <c r="M121" s="256"/>
      <c r="N121" s="256"/>
      <c r="O121" s="256"/>
      <c r="P121" s="267"/>
      <c r="Q121" s="256"/>
      <c r="R121" s="273"/>
      <c r="S121" s="257"/>
      <c r="T121" s="15"/>
      <c r="U121" s="15"/>
      <c r="V121" s="15"/>
      <c r="W121" s="15"/>
      <c r="X121" s="15"/>
      <c r="Y121" s="15"/>
      <c r="Z121" s="15"/>
    </row>
    <row r="122" spans="1:26" s="239" customFormat="1">
      <c r="A122" s="259"/>
      <c r="B122" s="253"/>
      <c r="C122" s="253"/>
      <c r="D122" s="253"/>
      <c r="E122" s="253"/>
      <c r="F122" s="253"/>
      <c r="G122" s="253"/>
      <c r="H122" s="253"/>
      <c r="I122" s="253"/>
      <c r="J122" s="253"/>
      <c r="K122" s="266"/>
      <c r="L122" s="253"/>
      <c r="M122" s="253"/>
      <c r="N122" s="253"/>
      <c r="O122" s="253"/>
      <c r="P122" s="266"/>
      <c r="Q122" s="253"/>
      <c r="R122" s="272"/>
      <c r="S122" s="254"/>
      <c r="T122" s="15"/>
      <c r="U122" s="15"/>
      <c r="V122" s="15"/>
      <c r="W122" s="15"/>
      <c r="X122" s="15"/>
      <c r="Y122" s="15"/>
      <c r="Z122" s="15"/>
    </row>
    <row r="123" spans="1:26" s="239" customFormat="1">
      <c r="A123" s="259"/>
      <c r="B123" s="256"/>
      <c r="C123" s="256"/>
      <c r="D123" s="256"/>
      <c r="E123" s="256"/>
      <c r="F123" s="256"/>
      <c r="G123" s="256"/>
      <c r="H123" s="256"/>
      <c r="I123" s="256"/>
      <c r="J123" s="256"/>
      <c r="K123" s="267"/>
      <c r="L123" s="256"/>
      <c r="M123" s="256"/>
      <c r="N123" s="256"/>
      <c r="O123" s="256"/>
      <c r="P123" s="267"/>
      <c r="Q123" s="256"/>
      <c r="R123" s="273"/>
      <c r="S123" s="257"/>
      <c r="T123" s="15"/>
      <c r="U123" s="15"/>
      <c r="V123" s="15"/>
      <c r="W123" s="15"/>
      <c r="X123" s="15"/>
      <c r="Y123" s="15"/>
      <c r="Z123" s="15"/>
    </row>
    <row r="124" spans="1:26" s="239" customFormat="1">
      <c r="A124" s="259"/>
      <c r="B124" s="253"/>
      <c r="C124" s="253"/>
      <c r="D124" s="253"/>
      <c r="E124" s="253"/>
      <c r="F124" s="253"/>
      <c r="G124" s="253"/>
      <c r="H124" s="253"/>
      <c r="I124" s="253"/>
      <c r="J124" s="253"/>
      <c r="K124" s="266"/>
      <c r="L124" s="253"/>
      <c r="M124" s="253"/>
      <c r="N124" s="253"/>
      <c r="O124" s="253"/>
      <c r="P124" s="266"/>
      <c r="Q124" s="253"/>
      <c r="R124" s="272"/>
      <c r="S124" s="254"/>
      <c r="T124" s="15"/>
      <c r="U124" s="15"/>
      <c r="V124" s="15"/>
      <c r="W124" s="15"/>
      <c r="X124" s="15"/>
      <c r="Y124" s="15"/>
      <c r="Z124" s="15"/>
    </row>
    <row r="125" spans="1:26" s="239" customFormat="1">
      <c r="A125" s="260"/>
      <c r="B125" s="256"/>
      <c r="C125" s="256"/>
      <c r="D125" s="256"/>
      <c r="E125" s="256"/>
      <c r="F125" s="256"/>
      <c r="G125" s="256"/>
      <c r="H125" s="256"/>
      <c r="I125" s="256"/>
      <c r="J125" s="256"/>
      <c r="K125" s="267"/>
      <c r="L125" s="256"/>
      <c r="M125" s="256"/>
      <c r="N125" s="256"/>
      <c r="O125" s="256"/>
      <c r="P125" s="267"/>
      <c r="Q125" s="256"/>
      <c r="R125" s="273"/>
      <c r="S125" s="257"/>
      <c r="T125" s="15"/>
      <c r="U125" s="15"/>
      <c r="V125" s="15"/>
      <c r="W125" s="15"/>
      <c r="X125" s="15"/>
      <c r="Y125" s="15"/>
      <c r="Z125" s="15"/>
    </row>
    <row r="126" spans="1:26" s="239" customFormat="1">
      <c r="A126" s="258"/>
      <c r="B126" s="253"/>
      <c r="C126" s="253"/>
      <c r="D126" s="253"/>
      <c r="E126" s="253"/>
      <c r="F126" s="253"/>
      <c r="G126" s="253"/>
      <c r="H126" s="253"/>
      <c r="I126" s="253"/>
      <c r="J126" s="253"/>
      <c r="K126" s="266"/>
      <c r="L126" s="253"/>
      <c r="M126" s="253"/>
      <c r="N126" s="253"/>
      <c r="O126" s="253"/>
      <c r="P126" s="266"/>
      <c r="Q126" s="253"/>
      <c r="R126" s="272"/>
      <c r="S126" s="254"/>
      <c r="T126" s="15"/>
      <c r="U126" s="15"/>
      <c r="V126" s="15"/>
      <c r="W126" s="15"/>
      <c r="X126" s="15"/>
      <c r="Y126" s="15"/>
      <c r="Z126" s="15"/>
    </row>
    <row r="127" spans="1:26" s="239" customFormat="1">
      <c r="A127" s="259"/>
      <c r="B127" s="256"/>
      <c r="C127" s="256"/>
      <c r="D127" s="256"/>
      <c r="E127" s="256"/>
      <c r="F127" s="256"/>
      <c r="G127" s="256"/>
      <c r="H127" s="256"/>
      <c r="I127" s="256"/>
      <c r="J127" s="256"/>
      <c r="K127" s="267"/>
      <c r="L127" s="256"/>
      <c r="M127" s="256"/>
      <c r="N127" s="256"/>
      <c r="O127" s="256"/>
      <c r="P127" s="267"/>
      <c r="Q127" s="256"/>
      <c r="R127" s="273"/>
      <c r="S127" s="257"/>
      <c r="T127" s="15"/>
      <c r="U127" s="15"/>
      <c r="V127" s="15"/>
      <c r="W127" s="15"/>
      <c r="X127" s="15"/>
      <c r="Y127" s="15"/>
      <c r="Z127" s="15"/>
    </row>
    <row r="128" spans="1:26" s="239" customFormat="1">
      <c r="A128" s="259"/>
      <c r="B128" s="253"/>
      <c r="C128" s="253"/>
      <c r="D128" s="253"/>
      <c r="E128" s="253"/>
      <c r="F128" s="253"/>
      <c r="G128" s="253"/>
      <c r="H128" s="253"/>
      <c r="I128" s="253"/>
      <c r="J128" s="253"/>
      <c r="K128" s="266"/>
      <c r="L128" s="253"/>
      <c r="M128" s="253"/>
      <c r="N128" s="253"/>
      <c r="O128" s="253"/>
      <c r="P128" s="266"/>
      <c r="Q128" s="253"/>
      <c r="R128" s="272"/>
      <c r="S128" s="254"/>
      <c r="T128" s="15"/>
      <c r="U128" s="15"/>
      <c r="V128" s="15"/>
      <c r="W128" s="15"/>
      <c r="X128" s="15"/>
      <c r="Y128" s="15"/>
      <c r="Z128" s="15"/>
    </row>
    <row r="129" spans="1:26" s="239" customFormat="1">
      <c r="A129" s="259"/>
      <c r="B129" s="256"/>
      <c r="C129" s="256"/>
      <c r="D129" s="256"/>
      <c r="E129" s="256"/>
      <c r="F129" s="256"/>
      <c r="G129" s="256"/>
      <c r="H129" s="256"/>
      <c r="I129" s="256"/>
      <c r="J129" s="256"/>
      <c r="K129" s="267"/>
      <c r="L129" s="256"/>
      <c r="M129" s="256"/>
      <c r="N129" s="256"/>
      <c r="O129" s="256"/>
      <c r="P129" s="267"/>
      <c r="Q129" s="256"/>
      <c r="R129" s="273"/>
      <c r="S129" s="257"/>
      <c r="T129" s="15"/>
      <c r="U129" s="15"/>
      <c r="V129" s="15"/>
      <c r="W129" s="15"/>
      <c r="X129" s="15"/>
      <c r="Y129" s="15"/>
      <c r="Z129" s="15"/>
    </row>
    <row r="130" spans="1:26" s="239" customFormat="1">
      <c r="A130" s="259"/>
      <c r="B130" s="253"/>
      <c r="C130" s="253"/>
      <c r="D130" s="253"/>
      <c r="E130" s="253"/>
      <c r="F130" s="253"/>
      <c r="G130" s="253"/>
      <c r="H130" s="253"/>
      <c r="I130" s="253"/>
      <c r="J130" s="253"/>
      <c r="K130" s="266"/>
      <c r="L130" s="253"/>
      <c r="M130" s="253"/>
      <c r="N130" s="253"/>
      <c r="O130" s="253"/>
      <c r="P130" s="266"/>
      <c r="Q130" s="253"/>
      <c r="R130" s="272"/>
      <c r="S130" s="254"/>
      <c r="T130" s="15"/>
      <c r="U130" s="15"/>
      <c r="V130" s="15"/>
      <c r="W130" s="15"/>
      <c r="X130" s="15"/>
      <c r="Y130" s="15"/>
      <c r="Z130" s="15"/>
    </row>
    <row r="131" spans="1:26" s="239" customFormat="1">
      <c r="A131" s="259"/>
      <c r="B131" s="256"/>
      <c r="C131" s="256"/>
      <c r="D131" s="256"/>
      <c r="E131" s="256"/>
      <c r="F131" s="256"/>
      <c r="G131" s="256"/>
      <c r="H131" s="256"/>
      <c r="I131" s="256"/>
      <c r="J131" s="256"/>
      <c r="K131" s="267"/>
      <c r="L131" s="256"/>
      <c r="M131" s="256"/>
      <c r="N131" s="256"/>
      <c r="O131" s="256"/>
      <c r="P131" s="267"/>
      <c r="Q131" s="256"/>
      <c r="R131" s="273"/>
      <c r="S131" s="257"/>
      <c r="T131" s="15"/>
      <c r="U131" s="15"/>
      <c r="V131" s="15"/>
      <c r="W131" s="15"/>
      <c r="X131" s="15"/>
      <c r="Y131" s="15"/>
      <c r="Z131" s="15"/>
    </row>
    <row r="132" spans="1:26" s="239" customFormat="1">
      <c r="A132" s="259"/>
      <c r="B132" s="253"/>
      <c r="C132" s="253"/>
      <c r="D132" s="253"/>
      <c r="E132" s="253"/>
      <c r="F132" s="253"/>
      <c r="G132" s="253"/>
      <c r="H132" s="253"/>
      <c r="I132" s="253"/>
      <c r="J132" s="253"/>
      <c r="K132" s="266"/>
      <c r="L132" s="253"/>
      <c r="M132" s="253"/>
      <c r="N132" s="253"/>
      <c r="O132" s="253"/>
      <c r="P132" s="266"/>
      <c r="Q132" s="253"/>
      <c r="R132" s="272"/>
      <c r="S132" s="254"/>
      <c r="T132" s="15"/>
      <c r="U132" s="15"/>
      <c r="V132" s="15"/>
      <c r="W132" s="15"/>
      <c r="X132" s="15"/>
      <c r="Y132" s="15"/>
      <c r="Z132" s="15"/>
    </row>
    <row r="133" spans="1:26" s="239" customFormat="1">
      <c r="A133" s="260"/>
      <c r="B133" s="256"/>
      <c r="C133" s="256"/>
      <c r="D133" s="256"/>
      <c r="E133" s="256"/>
      <c r="F133" s="256"/>
      <c r="G133" s="256"/>
      <c r="H133" s="256"/>
      <c r="I133" s="256"/>
      <c r="J133" s="256"/>
      <c r="K133" s="267"/>
      <c r="L133" s="256"/>
      <c r="M133" s="256"/>
      <c r="N133" s="256"/>
      <c r="O133" s="256"/>
      <c r="P133" s="267"/>
      <c r="Q133" s="256"/>
      <c r="R133" s="273"/>
      <c r="S133" s="257"/>
      <c r="T133" s="15"/>
      <c r="U133" s="15"/>
      <c r="V133" s="15"/>
      <c r="W133" s="15"/>
      <c r="X133" s="15"/>
      <c r="Y133" s="15"/>
      <c r="Z133" s="15"/>
    </row>
    <row r="134" spans="1:26" s="239" customFormat="1">
      <c r="B134" s="241"/>
      <c r="P134" s="242"/>
      <c r="S134" s="240"/>
      <c r="T134" s="240"/>
      <c r="U134" s="240"/>
      <c r="V134" s="240"/>
    </row>
    <row r="135" spans="1:26" s="239" customFormat="1">
      <c r="S135" s="240"/>
      <c r="T135" s="240"/>
      <c r="U135" s="240"/>
      <c r="V135" s="240"/>
    </row>
    <row r="136" spans="1:26" s="239" customFormat="1">
      <c r="S136" s="240"/>
      <c r="T136" s="240"/>
      <c r="U136" s="240"/>
      <c r="V136" s="240"/>
    </row>
    <row r="137" spans="1:26" s="239" customFormat="1">
      <c r="B137" s="241"/>
      <c r="P137" s="242"/>
      <c r="S137" s="240"/>
      <c r="T137" s="240"/>
      <c r="U137" s="240"/>
      <c r="V137" s="240"/>
    </row>
    <row r="138" spans="1:26" s="239" customFormat="1">
      <c r="S138" s="240"/>
      <c r="T138" s="240"/>
      <c r="U138" s="240"/>
      <c r="V138" s="240"/>
    </row>
    <row r="139" spans="1:26" s="239" customFormat="1">
      <c r="S139" s="240"/>
      <c r="T139" s="240"/>
      <c r="U139" s="240"/>
      <c r="V139" s="240"/>
    </row>
    <row r="140" spans="1:26" s="239" customFormat="1">
      <c r="B140" s="241"/>
      <c r="P140" s="242"/>
      <c r="S140" s="240"/>
      <c r="T140" s="240"/>
      <c r="U140" s="240"/>
      <c r="V140" s="240"/>
    </row>
    <row r="141" spans="1:26" s="239" customFormat="1">
      <c r="S141" s="240"/>
      <c r="T141" s="240"/>
      <c r="U141" s="240"/>
      <c r="V141" s="240"/>
    </row>
    <row r="142" spans="1:26" s="239" customFormat="1">
      <c r="S142" s="240"/>
      <c r="T142" s="240"/>
      <c r="U142" s="240"/>
      <c r="V142" s="240"/>
    </row>
    <row r="143" spans="1:26" s="239" customFormat="1">
      <c r="B143" s="241"/>
      <c r="P143" s="242"/>
      <c r="S143" s="240"/>
      <c r="T143" s="240"/>
      <c r="U143" s="240"/>
      <c r="V143" s="240"/>
    </row>
    <row r="144" spans="1:26" s="239" customFormat="1">
      <c r="S144" s="240"/>
      <c r="T144" s="240"/>
      <c r="U144" s="240"/>
      <c r="V144" s="240"/>
    </row>
    <row r="145" spans="2:22" s="239" customFormat="1">
      <c r="S145" s="240"/>
      <c r="T145" s="240"/>
      <c r="U145" s="240"/>
      <c r="V145" s="240"/>
    </row>
    <row r="146" spans="2:22" s="239" customFormat="1">
      <c r="B146" s="241"/>
      <c r="P146" s="242"/>
      <c r="S146" s="240"/>
      <c r="T146" s="240"/>
      <c r="U146" s="240"/>
      <c r="V146" s="240"/>
    </row>
    <row r="147" spans="2:22" s="239" customFormat="1">
      <c r="S147" s="240"/>
      <c r="T147" s="240"/>
      <c r="U147" s="240"/>
      <c r="V147" s="240"/>
    </row>
    <row r="148" spans="2:22" s="239" customFormat="1">
      <c r="S148" s="240"/>
      <c r="T148" s="240"/>
      <c r="U148" s="240"/>
      <c r="V148" s="240"/>
    </row>
    <row r="149" spans="2:22" s="239" customFormat="1">
      <c r="B149" s="241"/>
      <c r="P149" s="242"/>
      <c r="S149" s="240"/>
      <c r="T149" s="240"/>
      <c r="U149" s="240"/>
      <c r="V149" s="240"/>
    </row>
    <row r="150" spans="2:22" s="239" customFormat="1">
      <c r="S150" s="240"/>
      <c r="T150" s="240"/>
      <c r="U150" s="240"/>
      <c r="V150" s="240"/>
    </row>
    <row r="151" spans="2:22" s="239" customFormat="1">
      <c r="S151" s="240"/>
      <c r="T151" s="240"/>
      <c r="U151" s="240"/>
      <c r="V151" s="240"/>
    </row>
    <row r="152" spans="2:22" s="239" customFormat="1">
      <c r="B152" s="241"/>
      <c r="P152" s="242"/>
      <c r="S152" s="240"/>
      <c r="T152" s="240"/>
      <c r="U152" s="240"/>
      <c r="V152" s="240"/>
    </row>
    <row r="153" spans="2:22" s="239" customFormat="1">
      <c r="S153" s="240"/>
      <c r="T153" s="240"/>
      <c r="U153" s="240"/>
      <c r="V153" s="240"/>
    </row>
    <row r="154" spans="2:22" s="239" customFormat="1">
      <c r="S154" s="240"/>
      <c r="T154" s="240"/>
      <c r="U154" s="240"/>
      <c r="V154" s="240"/>
    </row>
    <row r="155" spans="2:22" s="239" customFormat="1">
      <c r="B155" s="241"/>
      <c r="P155" s="242"/>
      <c r="S155" s="240"/>
      <c r="T155" s="240"/>
      <c r="U155" s="240"/>
      <c r="V155" s="240"/>
    </row>
    <row r="156" spans="2:22" s="239" customFormat="1">
      <c r="S156" s="240"/>
      <c r="T156" s="240"/>
      <c r="U156" s="240"/>
      <c r="V156" s="240"/>
    </row>
    <row r="157" spans="2:22" s="239" customFormat="1">
      <c r="S157" s="240"/>
      <c r="T157" s="240"/>
      <c r="U157" s="240"/>
      <c r="V157" s="240"/>
    </row>
    <row r="158" spans="2:22" s="239" customFormat="1">
      <c r="B158" s="241"/>
      <c r="P158" s="242"/>
      <c r="S158" s="240"/>
      <c r="T158" s="240"/>
      <c r="U158" s="240"/>
      <c r="V158" s="240"/>
    </row>
    <row r="159" spans="2:22" s="239" customFormat="1">
      <c r="S159" s="240"/>
      <c r="T159" s="240"/>
      <c r="U159" s="240"/>
      <c r="V159" s="240"/>
    </row>
    <row r="160" spans="2:22" s="239" customFormat="1">
      <c r="S160" s="240"/>
      <c r="T160" s="240"/>
      <c r="U160" s="240"/>
      <c r="V160" s="240"/>
    </row>
    <row r="161" spans="2:22" s="239" customFormat="1">
      <c r="B161" s="241"/>
      <c r="P161" s="242"/>
      <c r="S161" s="240"/>
      <c r="T161" s="240"/>
      <c r="U161" s="240"/>
      <c r="V161" s="240"/>
    </row>
    <row r="162" spans="2:22" s="239" customFormat="1">
      <c r="S162" s="240"/>
      <c r="T162" s="240"/>
      <c r="U162" s="240"/>
      <c r="V162" s="240"/>
    </row>
    <row r="163" spans="2:22" s="239" customFormat="1">
      <c r="S163" s="240"/>
      <c r="T163" s="240"/>
      <c r="U163" s="240"/>
      <c r="V163" s="240"/>
    </row>
    <row r="164" spans="2:22" s="239" customFormat="1">
      <c r="B164" s="241"/>
      <c r="P164" s="242"/>
      <c r="S164" s="240"/>
      <c r="T164" s="240"/>
      <c r="U164" s="240"/>
      <c r="V164" s="240"/>
    </row>
    <row r="165" spans="2:22" s="239" customFormat="1">
      <c r="S165" s="240"/>
      <c r="T165" s="240"/>
      <c r="U165" s="240"/>
      <c r="V165" s="240"/>
    </row>
    <row r="166" spans="2:22" s="239" customFormat="1">
      <c r="S166" s="240"/>
      <c r="T166" s="240"/>
      <c r="U166" s="240"/>
      <c r="V166" s="240"/>
    </row>
    <row r="167" spans="2:22" s="239" customFormat="1">
      <c r="B167" s="241"/>
      <c r="P167" s="242"/>
      <c r="S167" s="240"/>
      <c r="T167" s="240"/>
      <c r="U167" s="240"/>
      <c r="V167" s="240"/>
    </row>
    <row r="168" spans="2:22" s="239" customFormat="1">
      <c r="S168" s="240"/>
      <c r="T168" s="240"/>
      <c r="U168" s="240"/>
      <c r="V168" s="240"/>
    </row>
    <row r="169" spans="2:22" s="239" customFormat="1">
      <c r="S169" s="240"/>
      <c r="T169" s="240"/>
      <c r="U169" s="240"/>
      <c r="V169" s="240"/>
    </row>
    <row r="170" spans="2:22" s="239" customFormat="1">
      <c r="B170" s="241"/>
      <c r="P170" s="242"/>
      <c r="S170" s="240"/>
      <c r="T170" s="240"/>
      <c r="U170" s="240"/>
      <c r="V170" s="240"/>
    </row>
    <row r="171" spans="2:22" s="239" customFormat="1">
      <c r="S171" s="240"/>
      <c r="T171" s="240"/>
      <c r="U171" s="240"/>
      <c r="V171" s="240"/>
    </row>
    <row r="172" spans="2:22" s="239" customFormat="1">
      <c r="S172" s="240"/>
      <c r="T172" s="240"/>
      <c r="U172" s="240"/>
      <c r="V172" s="240"/>
    </row>
    <row r="173" spans="2:22" s="239" customFormat="1">
      <c r="B173" s="241"/>
      <c r="P173" s="242"/>
      <c r="S173" s="240"/>
      <c r="T173" s="240"/>
      <c r="U173" s="240"/>
      <c r="V173" s="240"/>
    </row>
    <row r="174" spans="2:22" s="239" customFormat="1">
      <c r="S174" s="240"/>
      <c r="T174" s="240"/>
      <c r="U174" s="240"/>
      <c r="V174" s="240"/>
    </row>
    <row r="175" spans="2:22" s="239" customFormat="1">
      <c r="S175" s="240"/>
      <c r="T175" s="240"/>
      <c r="U175" s="240"/>
      <c r="V175" s="240"/>
    </row>
    <row r="176" spans="2:22" s="239" customFormat="1">
      <c r="B176" s="241"/>
      <c r="P176" s="242"/>
      <c r="S176" s="240"/>
      <c r="T176" s="240"/>
      <c r="U176" s="240"/>
      <c r="V176" s="240"/>
    </row>
    <row r="177" spans="2:22" s="239" customFormat="1">
      <c r="S177" s="240"/>
      <c r="T177" s="240"/>
      <c r="U177" s="240"/>
      <c r="V177" s="240"/>
    </row>
    <row r="178" spans="2:22" s="239" customFormat="1">
      <c r="S178" s="240"/>
      <c r="T178" s="240"/>
      <c r="U178" s="240"/>
      <c r="V178" s="240"/>
    </row>
    <row r="179" spans="2:22" s="239" customFormat="1">
      <c r="B179" s="241"/>
      <c r="P179" s="242"/>
      <c r="S179" s="240"/>
      <c r="T179" s="240"/>
      <c r="U179" s="240"/>
      <c r="V179" s="240"/>
    </row>
    <row r="180" spans="2:22" s="239" customFormat="1">
      <c r="S180" s="240"/>
      <c r="T180" s="240"/>
      <c r="U180" s="240"/>
      <c r="V180" s="240"/>
    </row>
    <row r="181" spans="2:22" s="239" customFormat="1">
      <c r="S181" s="240"/>
      <c r="T181" s="240"/>
      <c r="U181" s="240"/>
      <c r="V181" s="240"/>
    </row>
    <row r="182" spans="2:22" s="239" customFormat="1">
      <c r="B182" s="241"/>
      <c r="P182" s="242"/>
      <c r="S182" s="240"/>
      <c r="T182" s="240"/>
      <c r="U182" s="240"/>
      <c r="V182" s="240"/>
    </row>
    <row r="183" spans="2:22" s="239" customFormat="1">
      <c r="S183" s="240"/>
      <c r="T183" s="240"/>
      <c r="U183" s="240"/>
      <c r="V183" s="240"/>
    </row>
    <row r="184" spans="2:22" s="239" customFormat="1">
      <c r="S184" s="240"/>
      <c r="T184" s="240"/>
      <c r="U184" s="240"/>
      <c r="V184" s="240"/>
    </row>
    <row r="185" spans="2:22" s="239" customFormat="1">
      <c r="B185" s="241"/>
      <c r="P185" s="242"/>
      <c r="S185" s="240"/>
      <c r="T185" s="240"/>
      <c r="U185" s="240"/>
      <c r="V185" s="240"/>
    </row>
    <row r="186" spans="2:22" s="239" customFormat="1">
      <c r="S186" s="240"/>
      <c r="T186" s="240"/>
      <c r="U186" s="240"/>
      <c r="V186" s="240"/>
    </row>
    <row r="187" spans="2:22" s="239" customFormat="1">
      <c r="S187" s="240"/>
      <c r="T187" s="240"/>
      <c r="U187" s="240"/>
      <c r="V187" s="240"/>
    </row>
    <row r="188" spans="2:22" s="239" customFormat="1">
      <c r="B188" s="241"/>
      <c r="P188" s="242"/>
      <c r="S188" s="240"/>
      <c r="T188" s="240"/>
      <c r="U188" s="240"/>
      <c r="V188" s="240"/>
    </row>
    <row r="189" spans="2:22" s="239" customFormat="1">
      <c r="S189" s="240"/>
      <c r="T189" s="240"/>
      <c r="U189" s="240"/>
      <c r="V189" s="240"/>
    </row>
    <row r="190" spans="2:22" s="239" customFormat="1">
      <c r="S190" s="240"/>
      <c r="T190" s="240"/>
      <c r="U190" s="240"/>
      <c r="V190" s="240"/>
    </row>
    <row r="191" spans="2:22" s="239" customFormat="1">
      <c r="B191" s="241"/>
      <c r="P191" s="242"/>
      <c r="S191" s="240"/>
      <c r="T191" s="240"/>
      <c r="U191" s="240"/>
      <c r="V191" s="240"/>
    </row>
    <row r="192" spans="2:22" s="239" customFormat="1">
      <c r="S192" s="240"/>
      <c r="T192" s="240"/>
      <c r="U192" s="240"/>
      <c r="V192" s="240"/>
    </row>
    <row r="193" spans="2:22" s="239" customFormat="1">
      <c r="S193" s="240"/>
      <c r="T193" s="240"/>
      <c r="U193" s="240"/>
      <c r="V193" s="240"/>
    </row>
    <row r="194" spans="2:22" s="239" customFormat="1">
      <c r="B194" s="241"/>
      <c r="P194" s="242"/>
      <c r="S194" s="240"/>
      <c r="T194" s="240"/>
      <c r="U194" s="240"/>
      <c r="V194" s="240"/>
    </row>
    <row r="195" spans="2:22" s="239" customFormat="1">
      <c r="S195" s="240"/>
      <c r="T195" s="240"/>
      <c r="U195" s="240"/>
      <c r="V195" s="240"/>
    </row>
    <row r="196" spans="2:22" s="239" customFormat="1">
      <c r="S196" s="240"/>
      <c r="T196" s="240"/>
      <c r="U196" s="240"/>
      <c r="V196" s="240"/>
    </row>
    <row r="197" spans="2:22" s="239" customFormat="1">
      <c r="B197" s="241"/>
      <c r="P197" s="242"/>
      <c r="S197" s="240"/>
      <c r="T197" s="240"/>
      <c r="U197" s="240"/>
      <c r="V197" s="240"/>
    </row>
    <row r="198" spans="2:22" s="239" customFormat="1">
      <c r="S198" s="240"/>
      <c r="T198" s="240"/>
      <c r="U198" s="240"/>
      <c r="V198" s="240"/>
    </row>
    <row r="199" spans="2:22" s="239" customFormat="1">
      <c r="S199" s="240"/>
      <c r="T199" s="240"/>
      <c r="U199" s="240"/>
      <c r="V199" s="240"/>
    </row>
    <row r="200" spans="2:22" s="239" customFormat="1">
      <c r="B200" s="241"/>
      <c r="P200" s="242"/>
      <c r="S200" s="240"/>
      <c r="T200" s="240"/>
      <c r="U200" s="240"/>
      <c r="V200" s="240"/>
    </row>
    <row r="201" spans="2:22" s="239" customFormat="1">
      <c r="S201" s="240"/>
      <c r="T201" s="240"/>
      <c r="U201" s="240"/>
      <c r="V201" s="240"/>
    </row>
    <row r="202" spans="2:22" s="239" customFormat="1">
      <c r="S202" s="240"/>
      <c r="T202" s="240"/>
      <c r="U202" s="240"/>
      <c r="V202" s="240"/>
    </row>
    <row r="203" spans="2:22" s="239" customFormat="1">
      <c r="B203" s="241"/>
      <c r="P203" s="242"/>
      <c r="S203" s="240"/>
      <c r="T203" s="240"/>
      <c r="U203" s="240"/>
      <c r="V203" s="240"/>
    </row>
    <row r="204" spans="2:22" s="239" customFormat="1">
      <c r="S204" s="240"/>
      <c r="T204" s="240"/>
      <c r="U204" s="240"/>
      <c r="V204" s="240"/>
    </row>
    <row r="205" spans="2:22" s="239" customFormat="1">
      <c r="S205" s="240"/>
      <c r="T205" s="240"/>
      <c r="U205" s="240"/>
      <c r="V205" s="240"/>
    </row>
    <row r="206" spans="2:22" s="239" customFormat="1">
      <c r="B206" s="241"/>
      <c r="P206" s="242"/>
      <c r="S206" s="240"/>
      <c r="T206" s="240"/>
      <c r="U206" s="240"/>
      <c r="V206" s="240"/>
    </row>
    <row r="207" spans="2:22" s="239" customFormat="1">
      <c r="S207" s="240"/>
      <c r="T207" s="240"/>
      <c r="U207" s="240"/>
      <c r="V207" s="240"/>
    </row>
    <row r="208" spans="2:22" s="239" customFormat="1">
      <c r="S208" s="240"/>
      <c r="T208" s="240"/>
      <c r="U208" s="240"/>
      <c r="V208" s="240"/>
    </row>
    <row r="209" spans="2:22" s="239" customFormat="1">
      <c r="B209" s="241"/>
      <c r="P209" s="242"/>
      <c r="S209" s="240"/>
      <c r="T209" s="240"/>
      <c r="U209" s="240"/>
      <c r="V209" s="240"/>
    </row>
    <row r="210" spans="2:22" s="239" customFormat="1">
      <c r="S210" s="240"/>
      <c r="T210" s="240"/>
      <c r="U210" s="240"/>
      <c r="V210" s="240"/>
    </row>
    <row r="211" spans="2:22" s="239" customFormat="1">
      <c r="S211" s="240"/>
      <c r="T211" s="240"/>
      <c r="U211" s="240"/>
      <c r="V211" s="240"/>
    </row>
    <row r="212" spans="2:22" s="239" customFormat="1">
      <c r="B212" s="241"/>
      <c r="P212" s="242"/>
      <c r="S212" s="240"/>
      <c r="T212" s="240"/>
      <c r="U212" s="240"/>
      <c r="V212" s="240"/>
    </row>
    <row r="213" spans="2:22" s="239" customFormat="1">
      <c r="S213" s="240"/>
      <c r="T213" s="240"/>
      <c r="U213" s="240"/>
      <c r="V213" s="240"/>
    </row>
    <row r="214" spans="2:22" s="239" customFormat="1">
      <c r="S214" s="240"/>
      <c r="T214" s="240"/>
      <c r="U214" s="240"/>
      <c r="V214" s="240"/>
    </row>
    <row r="215" spans="2:22" s="239" customFormat="1">
      <c r="B215" s="241"/>
      <c r="P215" s="242"/>
      <c r="S215" s="240"/>
      <c r="T215" s="240"/>
      <c r="U215" s="240"/>
      <c r="V215" s="240"/>
    </row>
    <row r="216" spans="2:22" s="239" customFormat="1">
      <c r="S216" s="240"/>
      <c r="T216" s="240"/>
      <c r="U216" s="240"/>
      <c r="V216" s="240"/>
    </row>
    <row r="217" spans="2:22" s="239" customFormat="1">
      <c r="S217" s="240"/>
      <c r="T217" s="240"/>
      <c r="U217" s="240"/>
      <c r="V217" s="240"/>
    </row>
    <row r="218" spans="2:22" s="239" customFormat="1">
      <c r="B218" s="241"/>
      <c r="P218" s="242"/>
      <c r="S218" s="240"/>
      <c r="T218" s="240"/>
      <c r="U218" s="240"/>
      <c r="V218" s="240"/>
    </row>
    <row r="219" spans="2:22" s="239" customFormat="1">
      <c r="S219" s="240"/>
      <c r="T219" s="240"/>
      <c r="U219" s="240"/>
      <c r="V219" s="240"/>
    </row>
    <row r="220" spans="2:22" s="239" customFormat="1">
      <c r="S220" s="240"/>
      <c r="T220" s="240"/>
      <c r="U220" s="240"/>
      <c r="V220" s="240"/>
    </row>
    <row r="221" spans="2:22" s="239" customFormat="1">
      <c r="B221" s="241"/>
      <c r="P221" s="242"/>
      <c r="S221" s="240"/>
      <c r="T221" s="240"/>
      <c r="U221" s="240"/>
      <c r="V221" s="240"/>
    </row>
    <row r="222" spans="2:22" s="239" customFormat="1">
      <c r="S222" s="240"/>
      <c r="T222" s="240"/>
      <c r="U222" s="240"/>
      <c r="V222" s="240"/>
    </row>
    <row r="223" spans="2:22" s="239" customFormat="1">
      <c r="S223" s="240"/>
      <c r="T223" s="240"/>
      <c r="U223" s="240"/>
      <c r="V223" s="240"/>
    </row>
    <row r="224" spans="2:22" s="239" customFormat="1">
      <c r="B224" s="241"/>
      <c r="P224" s="242"/>
      <c r="S224" s="240"/>
      <c r="T224" s="240"/>
      <c r="U224" s="240"/>
      <c r="V224" s="240"/>
    </row>
    <row r="225" spans="2:22" s="239" customFormat="1">
      <c r="S225" s="240"/>
      <c r="T225" s="240"/>
      <c r="U225" s="240"/>
      <c r="V225" s="240"/>
    </row>
    <row r="226" spans="2:22" s="239" customFormat="1">
      <c r="S226" s="240"/>
      <c r="T226" s="240"/>
      <c r="U226" s="240"/>
      <c r="V226" s="240"/>
    </row>
    <row r="227" spans="2:22" s="239" customFormat="1">
      <c r="B227" s="241"/>
      <c r="P227" s="242"/>
      <c r="S227" s="240"/>
      <c r="T227" s="240"/>
      <c r="U227" s="240"/>
      <c r="V227" s="240"/>
    </row>
    <row r="228" spans="2:22" s="239" customFormat="1">
      <c r="S228" s="240"/>
      <c r="T228" s="240"/>
      <c r="U228" s="240"/>
      <c r="V228" s="240"/>
    </row>
    <row r="229" spans="2:22" s="239" customFormat="1">
      <c r="S229" s="240"/>
      <c r="T229" s="240"/>
      <c r="U229" s="240"/>
      <c r="V229" s="240"/>
    </row>
    <row r="230" spans="2:22" s="239" customFormat="1">
      <c r="B230" s="241"/>
      <c r="P230" s="242"/>
      <c r="S230" s="240"/>
      <c r="T230" s="240"/>
      <c r="U230" s="240"/>
      <c r="V230" s="240"/>
    </row>
    <row r="231" spans="2:22" s="239" customFormat="1">
      <c r="S231" s="240"/>
      <c r="T231" s="240"/>
      <c r="U231" s="240"/>
      <c r="V231" s="240"/>
    </row>
    <row r="232" spans="2:22" s="239" customFormat="1">
      <c r="S232" s="240"/>
      <c r="T232" s="240"/>
      <c r="U232" s="240"/>
      <c r="V232" s="240"/>
    </row>
    <row r="233" spans="2:22" s="239" customFormat="1">
      <c r="B233" s="241"/>
      <c r="P233" s="242"/>
      <c r="S233" s="240"/>
      <c r="T233" s="240"/>
      <c r="U233" s="240"/>
      <c r="V233" s="240"/>
    </row>
    <row r="234" spans="2:22" s="239" customFormat="1">
      <c r="S234" s="240"/>
      <c r="T234" s="240"/>
      <c r="U234" s="240"/>
      <c r="V234" s="240"/>
    </row>
    <row r="235" spans="2:22" s="239" customFormat="1">
      <c r="S235" s="240"/>
      <c r="T235" s="240"/>
      <c r="U235" s="240"/>
      <c r="V235" s="240"/>
    </row>
    <row r="236" spans="2:22" s="239" customFormat="1">
      <c r="B236" s="241"/>
      <c r="P236" s="242"/>
      <c r="S236" s="240"/>
      <c r="T236" s="240"/>
      <c r="U236" s="240"/>
      <c r="V236" s="240"/>
    </row>
    <row r="237" spans="2:22" s="239" customFormat="1">
      <c r="S237" s="240"/>
      <c r="T237" s="240"/>
      <c r="U237" s="240"/>
      <c r="V237" s="240"/>
    </row>
    <row r="238" spans="2:22" s="239" customFormat="1">
      <c r="S238" s="240"/>
      <c r="T238" s="240"/>
      <c r="U238" s="240"/>
      <c r="V238" s="240"/>
    </row>
    <row r="239" spans="2:22" s="239" customFormat="1">
      <c r="B239" s="241"/>
      <c r="P239" s="242"/>
      <c r="S239" s="240"/>
      <c r="T239" s="240"/>
      <c r="U239" s="240"/>
      <c r="V239" s="240"/>
    </row>
    <row r="240" spans="2:22" s="239" customFormat="1">
      <c r="S240" s="240"/>
      <c r="T240" s="240"/>
      <c r="U240" s="240"/>
      <c r="V240" s="240"/>
    </row>
    <row r="241" spans="2:22" s="239" customFormat="1">
      <c r="S241" s="240"/>
      <c r="T241" s="240"/>
      <c r="U241" s="240"/>
      <c r="V241" s="240"/>
    </row>
    <row r="242" spans="2:22" s="239" customFormat="1">
      <c r="B242" s="241"/>
      <c r="P242" s="242"/>
      <c r="S242" s="240"/>
      <c r="T242" s="240"/>
      <c r="U242" s="240"/>
      <c r="V242" s="240"/>
    </row>
    <row r="243" spans="2:22" s="239" customFormat="1">
      <c r="S243" s="240"/>
      <c r="T243" s="240"/>
      <c r="U243" s="240"/>
      <c r="V243" s="240"/>
    </row>
    <row r="244" spans="2:22" s="239" customFormat="1">
      <c r="S244" s="240"/>
      <c r="T244" s="240"/>
      <c r="U244" s="240"/>
      <c r="V244" s="240"/>
    </row>
    <row r="245" spans="2:22" s="239" customFormat="1">
      <c r="B245" s="241"/>
      <c r="P245" s="242"/>
      <c r="S245" s="240"/>
      <c r="T245" s="240"/>
      <c r="U245" s="240"/>
      <c r="V245" s="240"/>
    </row>
    <row r="246" spans="2:22" s="239" customFormat="1">
      <c r="S246" s="240"/>
      <c r="T246" s="240"/>
      <c r="U246" s="240"/>
      <c r="V246" s="240"/>
    </row>
    <row r="247" spans="2:22" s="239" customFormat="1">
      <c r="S247" s="240"/>
      <c r="T247" s="240"/>
      <c r="U247" s="240"/>
      <c r="V247" s="240"/>
    </row>
    <row r="248" spans="2:22" s="239" customFormat="1">
      <c r="B248" s="241"/>
      <c r="P248" s="242"/>
      <c r="S248" s="240"/>
      <c r="T248" s="240"/>
      <c r="U248" s="240"/>
      <c r="V248" s="240"/>
    </row>
    <row r="249" spans="2:22" s="239" customFormat="1">
      <c r="S249" s="240"/>
      <c r="T249" s="240"/>
      <c r="U249" s="240"/>
      <c r="V249" s="240"/>
    </row>
    <row r="250" spans="2:22" s="239" customFormat="1">
      <c r="S250" s="240"/>
      <c r="T250" s="240"/>
      <c r="U250" s="240"/>
      <c r="V250" s="240"/>
    </row>
    <row r="251" spans="2:22" s="239" customFormat="1">
      <c r="B251" s="241"/>
      <c r="P251" s="242"/>
      <c r="S251" s="240"/>
      <c r="T251" s="240"/>
      <c r="U251" s="240"/>
      <c r="V251" s="240"/>
    </row>
    <row r="252" spans="2:22" s="239" customFormat="1">
      <c r="S252" s="240"/>
      <c r="T252" s="240"/>
      <c r="U252" s="240"/>
      <c r="V252" s="240"/>
    </row>
    <row r="253" spans="2:22" s="239" customFormat="1">
      <c r="S253" s="240"/>
      <c r="T253" s="240"/>
      <c r="U253" s="240"/>
      <c r="V253" s="240"/>
    </row>
    <row r="254" spans="2:22" s="239" customFormat="1">
      <c r="B254" s="241"/>
      <c r="P254" s="242"/>
      <c r="S254" s="240"/>
      <c r="T254" s="240"/>
      <c r="U254" s="240"/>
      <c r="V254" s="240"/>
    </row>
    <row r="255" spans="2:22" s="239" customFormat="1">
      <c r="S255" s="240"/>
      <c r="T255" s="240"/>
      <c r="U255" s="240"/>
      <c r="V255" s="240"/>
    </row>
    <row r="256" spans="2:22" s="239" customFormat="1">
      <c r="S256" s="240"/>
      <c r="T256" s="240"/>
      <c r="U256" s="240"/>
      <c r="V256" s="240"/>
    </row>
    <row r="257" spans="2:22" s="239" customFormat="1">
      <c r="B257" s="241"/>
      <c r="P257" s="242"/>
      <c r="S257" s="240"/>
      <c r="T257" s="240"/>
      <c r="U257" s="240"/>
      <c r="V257" s="240"/>
    </row>
    <row r="258" spans="2:22" s="239" customFormat="1">
      <c r="S258" s="240"/>
      <c r="T258" s="240"/>
      <c r="U258" s="240"/>
      <c r="V258" s="240"/>
    </row>
    <row r="259" spans="2:22" s="239" customFormat="1">
      <c r="S259" s="240"/>
      <c r="T259" s="240"/>
      <c r="U259" s="240"/>
      <c r="V259" s="240"/>
    </row>
    <row r="260" spans="2:22" s="239" customFormat="1">
      <c r="B260" s="241"/>
      <c r="P260" s="242"/>
      <c r="S260" s="240"/>
      <c r="T260" s="240"/>
      <c r="U260" s="240"/>
      <c r="V260" s="240"/>
    </row>
    <row r="261" spans="2:22" s="239" customFormat="1">
      <c r="S261" s="240"/>
      <c r="T261" s="240"/>
      <c r="U261" s="240"/>
      <c r="V261" s="240"/>
    </row>
    <row r="262" spans="2:22" s="239" customFormat="1">
      <c r="S262" s="240"/>
      <c r="T262" s="240"/>
      <c r="U262" s="240"/>
      <c r="V262" s="240"/>
    </row>
    <row r="263" spans="2:22" s="239" customFormat="1">
      <c r="B263" s="241"/>
      <c r="P263" s="242"/>
      <c r="S263" s="240"/>
      <c r="T263" s="240"/>
      <c r="U263" s="240"/>
      <c r="V263" s="240"/>
    </row>
    <row r="264" spans="2:22" s="239" customFormat="1">
      <c r="S264" s="240"/>
      <c r="T264" s="240"/>
      <c r="U264" s="240"/>
      <c r="V264" s="240"/>
    </row>
    <row r="265" spans="2:22" s="239" customFormat="1">
      <c r="S265" s="240"/>
      <c r="T265" s="240"/>
      <c r="U265" s="240"/>
      <c r="V265" s="240"/>
    </row>
    <row r="266" spans="2:22" s="239" customFormat="1">
      <c r="B266" s="241"/>
      <c r="P266" s="242"/>
      <c r="S266" s="240"/>
      <c r="T266" s="240"/>
      <c r="U266" s="240"/>
      <c r="V266" s="240"/>
    </row>
    <row r="267" spans="2:22" s="239" customFormat="1">
      <c r="S267" s="240"/>
      <c r="T267" s="240"/>
      <c r="U267" s="240"/>
      <c r="V267" s="240"/>
    </row>
    <row r="268" spans="2:22" s="239" customFormat="1">
      <c r="S268" s="240"/>
      <c r="T268" s="240"/>
      <c r="U268" s="240"/>
      <c r="V268" s="240"/>
    </row>
    <row r="269" spans="2:22" s="239" customFormat="1">
      <c r="B269" s="241"/>
      <c r="P269" s="242"/>
      <c r="S269" s="240"/>
      <c r="T269" s="240"/>
      <c r="U269" s="240"/>
      <c r="V269" s="240"/>
    </row>
    <row r="270" spans="2:22" s="239" customFormat="1">
      <c r="S270" s="240"/>
      <c r="T270" s="240"/>
      <c r="U270" s="240"/>
      <c r="V270" s="240"/>
    </row>
    <row r="271" spans="2:22" s="239" customFormat="1">
      <c r="S271" s="240"/>
      <c r="T271" s="240"/>
      <c r="U271" s="240"/>
      <c r="V271" s="240"/>
    </row>
    <row r="272" spans="2:22" s="239" customFormat="1">
      <c r="B272" s="241"/>
      <c r="P272" s="242"/>
      <c r="S272" s="240"/>
      <c r="T272" s="240"/>
      <c r="U272" s="240"/>
      <c r="V272" s="240"/>
    </row>
    <row r="273" spans="2:22" s="239" customFormat="1">
      <c r="S273" s="240"/>
      <c r="T273" s="240"/>
      <c r="U273" s="240"/>
      <c r="V273" s="240"/>
    </row>
    <row r="274" spans="2:22" s="239" customFormat="1">
      <c r="S274" s="240"/>
      <c r="T274" s="240"/>
      <c r="U274" s="240"/>
      <c r="V274" s="240"/>
    </row>
    <row r="275" spans="2:22" s="239" customFormat="1">
      <c r="B275" s="241"/>
      <c r="P275" s="242"/>
      <c r="S275" s="240"/>
      <c r="T275" s="240"/>
      <c r="U275" s="240"/>
      <c r="V275" s="240"/>
    </row>
    <row r="276" spans="2:22" s="239" customFormat="1">
      <c r="S276" s="240"/>
      <c r="T276" s="240"/>
      <c r="U276" s="240"/>
      <c r="V276" s="240"/>
    </row>
    <row r="277" spans="2:22" s="239" customFormat="1">
      <c r="S277" s="240"/>
      <c r="T277" s="240"/>
      <c r="U277" s="240"/>
      <c r="V277" s="240"/>
    </row>
    <row r="278" spans="2:22" s="239" customFormat="1">
      <c r="B278" s="241"/>
      <c r="P278" s="242"/>
      <c r="S278" s="243"/>
      <c r="T278" s="240"/>
      <c r="U278" s="240"/>
      <c r="V278" s="240"/>
    </row>
    <row r="279" spans="2:22" s="239" customFormat="1">
      <c r="S279" s="240"/>
      <c r="T279" s="240"/>
      <c r="U279" s="240"/>
      <c r="V279" s="240"/>
    </row>
    <row r="280" spans="2:22" s="239" customFormat="1">
      <c r="S280" s="240"/>
      <c r="T280" s="240"/>
      <c r="U280" s="240"/>
      <c r="V280" s="240"/>
    </row>
    <row r="281" spans="2:22" s="239" customFormat="1">
      <c r="B281" s="241"/>
      <c r="P281" s="242"/>
      <c r="S281" s="240"/>
      <c r="T281" s="240"/>
      <c r="U281" s="240"/>
      <c r="V281" s="240"/>
    </row>
    <row r="282" spans="2:22" s="239" customFormat="1">
      <c r="S282" s="240"/>
      <c r="T282" s="240"/>
      <c r="U282" s="240"/>
      <c r="V282" s="240"/>
    </row>
    <row r="283" spans="2:22" s="239" customFormat="1">
      <c r="S283" s="240"/>
      <c r="T283" s="240"/>
      <c r="U283" s="240"/>
      <c r="V283" s="240"/>
    </row>
    <row r="284" spans="2:22" s="239" customFormat="1">
      <c r="B284" s="241"/>
      <c r="P284" s="242"/>
      <c r="S284" s="240"/>
      <c r="T284" s="240"/>
      <c r="U284" s="240"/>
      <c r="V284" s="240"/>
    </row>
    <row r="285" spans="2:22" s="239" customFormat="1">
      <c r="S285" s="240"/>
      <c r="T285" s="240"/>
      <c r="U285" s="240"/>
      <c r="V285" s="240"/>
    </row>
    <row r="286" spans="2:22" s="239" customFormat="1">
      <c r="S286" s="240"/>
      <c r="T286" s="240"/>
      <c r="U286" s="240"/>
      <c r="V286" s="240"/>
    </row>
    <row r="287" spans="2:22" s="239" customFormat="1">
      <c r="B287" s="241"/>
      <c r="P287" s="242"/>
      <c r="S287" s="240"/>
      <c r="T287" s="240"/>
      <c r="U287" s="240"/>
      <c r="V287" s="240"/>
    </row>
    <row r="288" spans="2:22" s="239" customFormat="1">
      <c r="S288" s="240"/>
      <c r="T288" s="240"/>
      <c r="U288" s="240"/>
      <c r="V288" s="240"/>
    </row>
    <row r="289" spans="2:22" s="239" customFormat="1">
      <c r="S289" s="240"/>
      <c r="T289" s="240"/>
      <c r="U289" s="240"/>
      <c r="V289" s="240"/>
    </row>
    <row r="290" spans="2:22" s="239" customFormat="1">
      <c r="B290" s="241"/>
      <c r="P290" s="242"/>
      <c r="S290" s="240"/>
      <c r="T290" s="240"/>
      <c r="U290" s="240"/>
      <c r="V290" s="240"/>
    </row>
    <row r="291" spans="2:22" s="239" customFormat="1">
      <c r="S291" s="240"/>
      <c r="T291" s="240"/>
      <c r="U291" s="240"/>
      <c r="V291" s="240"/>
    </row>
    <row r="292" spans="2:22" s="239" customFormat="1">
      <c r="S292" s="240"/>
      <c r="T292" s="240"/>
      <c r="U292" s="240"/>
      <c r="V292" s="240"/>
    </row>
    <row r="293" spans="2:22" s="239" customFormat="1">
      <c r="B293" s="241"/>
      <c r="P293" s="242"/>
      <c r="S293" s="240"/>
      <c r="T293" s="240"/>
      <c r="U293" s="240"/>
      <c r="V293" s="240"/>
    </row>
    <row r="294" spans="2:22" s="239" customFormat="1">
      <c r="S294" s="240"/>
      <c r="T294" s="240"/>
      <c r="U294" s="240"/>
      <c r="V294" s="240"/>
    </row>
    <row r="295" spans="2:22" s="239" customFormat="1">
      <c r="S295" s="240"/>
      <c r="T295" s="240"/>
      <c r="U295" s="240"/>
      <c r="V295" s="240"/>
    </row>
    <row r="296" spans="2:22" s="239" customFormat="1">
      <c r="B296" s="241"/>
      <c r="P296" s="242"/>
      <c r="S296" s="243"/>
      <c r="T296" s="240"/>
      <c r="U296" s="240"/>
      <c r="V296" s="240"/>
    </row>
    <row r="297" spans="2:22" s="239" customFormat="1">
      <c r="S297" s="240"/>
      <c r="T297" s="240"/>
      <c r="U297" s="240"/>
      <c r="V297" s="240"/>
    </row>
    <row r="298" spans="2:22" s="239" customFormat="1">
      <c r="S298" s="240"/>
      <c r="T298" s="240"/>
      <c r="U298" s="240"/>
      <c r="V298" s="240"/>
    </row>
    <row r="299" spans="2:22" s="239" customFormat="1">
      <c r="B299" s="241"/>
      <c r="P299" s="242"/>
      <c r="S299" s="240"/>
      <c r="T299" s="240"/>
      <c r="U299" s="240"/>
      <c r="V299" s="240"/>
    </row>
    <row r="300" spans="2:22" s="239" customFormat="1">
      <c r="S300" s="240"/>
      <c r="T300" s="240"/>
      <c r="U300" s="240"/>
      <c r="V300" s="240"/>
    </row>
    <row r="301" spans="2:22" s="239" customFormat="1">
      <c r="S301" s="240"/>
      <c r="T301" s="240"/>
      <c r="U301" s="240"/>
      <c r="V301" s="240"/>
    </row>
    <row r="302" spans="2:22" s="239" customFormat="1">
      <c r="B302" s="241"/>
      <c r="P302" s="242"/>
      <c r="S302" s="240"/>
      <c r="T302" s="240"/>
      <c r="U302" s="240"/>
      <c r="V302" s="240"/>
    </row>
    <row r="303" spans="2:22" s="239" customFormat="1">
      <c r="S303" s="240"/>
      <c r="T303" s="240"/>
      <c r="U303" s="240"/>
      <c r="V303" s="240"/>
    </row>
    <row r="304" spans="2:22" s="239" customFormat="1">
      <c r="S304" s="240"/>
      <c r="T304" s="240"/>
      <c r="U304" s="240"/>
      <c r="V304" s="240"/>
    </row>
    <row r="305" spans="2:22" s="239" customFormat="1">
      <c r="B305" s="241"/>
      <c r="P305" s="242"/>
      <c r="S305" s="240"/>
      <c r="T305" s="240"/>
      <c r="U305" s="240"/>
      <c r="V305" s="240"/>
    </row>
    <row r="306" spans="2:22" s="239" customFormat="1">
      <c r="S306" s="240"/>
      <c r="T306" s="240"/>
      <c r="U306" s="240"/>
      <c r="V306" s="240"/>
    </row>
    <row r="307" spans="2:22" s="239" customFormat="1">
      <c r="S307" s="240"/>
      <c r="T307" s="240"/>
      <c r="U307" s="240"/>
      <c r="V307" s="240"/>
    </row>
    <row r="308" spans="2:22" s="239" customFormat="1">
      <c r="B308" s="241"/>
      <c r="P308" s="242"/>
      <c r="S308" s="240"/>
      <c r="T308" s="240"/>
      <c r="U308" s="240"/>
      <c r="V308" s="240"/>
    </row>
    <row r="309" spans="2:22" s="239" customFormat="1">
      <c r="S309" s="240"/>
      <c r="T309" s="240"/>
      <c r="U309" s="240"/>
      <c r="V309" s="240"/>
    </row>
    <row r="310" spans="2:22" s="239" customFormat="1">
      <c r="S310" s="240"/>
      <c r="T310" s="240"/>
      <c r="U310" s="240"/>
      <c r="V310" s="240"/>
    </row>
    <row r="311" spans="2:22" s="239" customFormat="1">
      <c r="B311" s="241"/>
      <c r="P311" s="242"/>
      <c r="S311" s="240"/>
      <c r="T311" s="240"/>
      <c r="U311" s="240"/>
      <c r="V311" s="240"/>
    </row>
    <row r="312" spans="2:22" s="239" customFormat="1">
      <c r="S312" s="240"/>
      <c r="T312" s="240"/>
      <c r="U312" s="240"/>
      <c r="V312" s="240"/>
    </row>
    <row r="313" spans="2:22" s="239" customFormat="1">
      <c r="S313" s="240"/>
      <c r="T313" s="240"/>
      <c r="U313" s="240"/>
      <c r="V313" s="240"/>
    </row>
    <row r="314" spans="2:22" s="239" customFormat="1">
      <c r="B314" s="241"/>
      <c r="P314" s="242"/>
      <c r="S314" s="240"/>
      <c r="T314" s="240"/>
      <c r="U314" s="240"/>
      <c r="V314" s="240"/>
    </row>
    <row r="315" spans="2:22" s="239" customFormat="1">
      <c r="S315" s="240"/>
      <c r="T315" s="240"/>
      <c r="U315" s="240"/>
      <c r="V315" s="240"/>
    </row>
    <row r="316" spans="2:22" s="239" customFormat="1">
      <c r="S316" s="240"/>
      <c r="T316" s="240"/>
      <c r="U316" s="240"/>
      <c r="V316" s="240"/>
    </row>
    <row r="317" spans="2:22" s="239" customFormat="1">
      <c r="B317" s="241"/>
      <c r="P317" s="242"/>
      <c r="S317" s="240"/>
      <c r="T317" s="240"/>
      <c r="U317" s="240"/>
      <c r="V317" s="240"/>
    </row>
    <row r="318" spans="2:22" s="239" customFormat="1">
      <c r="S318" s="240"/>
      <c r="T318" s="240"/>
      <c r="U318" s="240"/>
      <c r="V318" s="240"/>
    </row>
    <row r="319" spans="2:22" s="239" customFormat="1">
      <c r="S319" s="240"/>
      <c r="T319" s="240"/>
      <c r="U319" s="240"/>
      <c r="V319" s="240"/>
    </row>
    <row r="320" spans="2:22" s="239" customFormat="1">
      <c r="B320" s="241"/>
      <c r="P320" s="242"/>
      <c r="S320" s="240"/>
      <c r="T320" s="240"/>
      <c r="U320" s="240"/>
      <c r="V320" s="240"/>
    </row>
    <row r="321" spans="2:22" s="239" customFormat="1">
      <c r="S321" s="240"/>
      <c r="T321" s="240"/>
      <c r="U321" s="240"/>
      <c r="V321" s="240"/>
    </row>
    <row r="322" spans="2:22" s="239" customFormat="1">
      <c r="S322" s="240"/>
      <c r="T322" s="240"/>
      <c r="U322" s="240"/>
      <c r="V322" s="240"/>
    </row>
    <row r="323" spans="2:22" s="239" customFormat="1">
      <c r="B323" s="241"/>
      <c r="P323" s="242"/>
      <c r="S323" s="240"/>
      <c r="T323" s="240"/>
      <c r="U323" s="240"/>
      <c r="V323" s="240"/>
    </row>
    <row r="324" spans="2:22" s="239" customFormat="1">
      <c r="S324" s="240"/>
      <c r="T324" s="240"/>
      <c r="U324" s="240"/>
      <c r="V324" s="240"/>
    </row>
    <row r="325" spans="2:22" s="239" customFormat="1">
      <c r="S325" s="240"/>
      <c r="T325" s="240"/>
      <c r="U325" s="240"/>
      <c r="V325" s="240"/>
    </row>
    <row r="326" spans="2:22" s="239" customFormat="1">
      <c r="B326" s="241"/>
      <c r="P326" s="242"/>
      <c r="S326" s="240"/>
      <c r="T326" s="240"/>
      <c r="U326" s="240"/>
      <c r="V326" s="240"/>
    </row>
    <row r="327" spans="2:22" s="239" customFormat="1">
      <c r="S327" s="240"/>
      <c r="T327" s="240"/>
      <c r="U327" s="240"/>
      <c r="V327" s="240"/>
    </row>
    <row r="328" spans="2:22" s="239" customFormat="1">
      <c r="S328" s="240"/>
      <c r="T328" s="240"/>
      <c r="U328" s="240"/>
      <c r="V328" s="240"/>
    </row>
    <row r="329" spans="2:22" s="239" customFormat="1">
      <c r="B329" s="241"/>
      <c r="P329" s="242"/>
      <c r="S329" s="240"/>
      <c r="T329" s="240"/>
      <c r="U329" s="240"/>
      <c r="V329" s="240"/>
    </row>
    <row r="330" spans="2:22" s="239" customFormat="1">
      <c r="S330" s="240"/>
      <c r="T330" s="240"/>
      <c r="U330" s="240"/>
      <c r="V330" s="240"/>
    </row>
    <row r="331" spans="2:22" s="239" customFormat="1">
      <c r="S331" s="240"/>
      <c r="T331" s="240"/>
      <c r="U331" s="240"/>
      <c r="V331" s="240"/>
    </row>
    <row r="332" spans="2:22" s="239" customFormat="1">
      <c r="B332" s="241"/>
      <c r="P332" s="242"/>
      <c r="S332" s="240"/>
      <c r="T332" s="240"/>
      <c r="U332" s="240"/>
      <c r="V332" s="240"/>
    </row>
    <row r="333" spans="2:22" s="239" customFormat="1">
      <c r="S333" s="240"/>
      <c r="T333" s="240"/>
      <c r="U333" s="240"/>
      <c r="V333" s="240"/>
    </row>
    <row r="334" spans="2:22" s="239" customFormat="1">
      <c r="S334" s="240"/>
      <c r="T334" s="240"/>
      <c r="U334" s="240"/>
      <c r="V334" s="240"/>
    </row>
    <row r="335" spans="2:22" s="239" customFormat="1">
      <c r="B335" s="241"/>
      <c r="P335" s="242"/>
      <c r="S335" s="240"/>
      <c r="T335" s="240"/>
      <c r="U335" s="240"/>
      <c r="V335" s="240"/>
    </row>
    <row r="336" spans="2:22" s="239" customFormat="1">
      <c r="S336" s="240"/>
      <c r="T336" s="240"/>
      <c r="U336" s="240"/>
      <c r="V336" s="240"/>
    </row>
    <row r="337" spans="2:22" s="239" customFormat="1">
      <c r="S337" s="240"/>
      <c r="T337" s="240"/>
      <c r="U337" s="240"/>
      <c r="V337" s="240"/>
    </row>
    <row r="338" spans="2:22" s="239" customFormat="1">
      <c r="B338" s="241"/>
      <c r="P338" s="242"/>
      <c r="S338" s="240"/>
      <c r="T338" s="240"/>
      <c r="U338" s="240"/>
      <c r="V338" s="240"/>
    </row>
    <row r="339" spans="2:22" s="239" customFormat="1">
      <c r="S339" s="240"/>
      <c r="T339" s="240"/>
      <c r="U339" s="240"/>
      <c r="V339" s="240"/>
    </row>
    <row r="340" spans="2:22" s="239" customFormat="1">
      <c r="S340" s="240"/>
      <c r="T340" s="240"/>
      <c r="U340" s="240"/>
      <c r="V340" s="240"/>
    </row>
    <row r="341" spans="2:22" s="239" customFormat="1">
      <c r="B341" s="241"/>
      <c r="P341" s="242"/>
      <c r="S341" s="240"/>
      <c r="T341" s="240"/>
      <c r="U341" s="240"/>
      <c r="V341" s="240"/>
    </row>
    <row r="342" spans="2:22" s="239" customFormat="1">
      <c r="S342" s="240"/>
      <c r="T342" s="240"/>
      <c r="U342" s="240"/>
      <c r="V342" s="240"/>
    </row>
    <row r="343" spans="2:22" s="239" customFormat="1">
      <c r="S343" s="240"/>
      <c r="T343" s="240"/>
      <c r="U343" s="240"/>
      <c r="V343" s="240"/>
    </row>
    <row r="344" spans="2:22" s="239" customFormat="1">
      <c r="B344" s="241"/>
      <c r="P344" s="242"/>
      <c r="S344" s="240"/>
      <c r="T344" s="240"/>
      <c r="U344" s="240"/>
      <c r="V344" s="240"/>
    </row>
    <row r="345" spans="2:22" s="239" customFormat="1">
      <c r="S345" s="240"/>
      <c r="T345" s="240"/>
      <c r="U345" s="240"/>
      <c r="V345" s="240"/>
    </row>
    <row r="346" spans="2:22" s="239" customFormat="1">
      <c r="S346" s="240"/>
      <c r="T346" s="240"/>
      <c r="U346" s="240"/>
      <c r="V346" s="240"/>
    </row>
    <row r="347" spans="2:22" s="239" customFormat="1">
      <c r="B347" s="241"/>
      <c r="P347" s="242"/>
      <c r="S347" s="240"/>
      <c r="T347" s="240"/>
      <c r="U347" s="240"/>
      <c r="V347" s="240"/>
    </row>
    <row r="348" spans="2:22" s="239" customFormat="1">
      <c r="S348" s="240"/>
      <c r="T348" s="240"/>
      <c r="U348" s="240"/>
      <c r="V348" s="240"/>
    </row>
    <row r="349" spans="2:22" s="239" customFormat="1">
      <c r="S349" s="240"/>
      <c r="T349" s="240"/>
      <c r="U349" s="240"/>
      <c r="V349" s="240"/>
    </row>
    <row r="350" spans="2:22" s="239" customFormat="1">
      <c r="B350" s="241"/>
      <c r="P350" s="242"/>
      <c r="S350" s="240"/>
      <c r="T350" s="240"/>
      <c r="U350" s="240"/>
      <c r="V350" s="240"/>
    </row>
    <row r="351" spans="2:22" s="239" customFormat="1">
      <c r="S351" s="240"/>
      <c r="T351" s="240"/>
      <c r="U351" s="240"/>
      <c r="V351" s="240"/>
    </row>
    <row r="352" spans="2:22" s="239" customFormat="1">
      <c r="S352" s="240"/>
      <c r="T352" s="240"/>
      <c r="U352" s="240"/>
      <c r="V352" s="240"/>
    </row>
    <row r="353" spans="2:22" s="239" customFormat="1">
      <c r="B353" s="241"/>
      <c r="P353" s="242"/>
      <c r="S353" s="240"/>
      <c r="T353" s="240"/>
      <c r="U353" s="240"/>
      <c r="V353" s="240"/>
    </row>
    <row r="354" spans="2:22" s="239" customFormat="1">
      <c r="S354" s="240"/>
      <c r="T354" s="240"/>
      <c r="U354" s="240"/>
      <c r="V354" s="240"/>
    </row>
    <row r="355" spans="2:22" s="239" customFormat="1">
      <c r="S355" s="240"/>
      <c r="T355" s="240"/>
      <c r="U355" s="240"/>
      <c r="V355" s="240"/>
    </row>
    <row r="356" spans="2:22" s="239" customFormat="1">
      <c r="B356" s="241"/>
      <c r="P356" s="242"/>
      <c r="S356" s="240"/>
      <c r="T356" s="240"/>
      <c r="U356" s="240"/>
      <c r="V356" s="240"/>
    </row>
    <row r="357" spans="2:22" s="239" customFormat="1">
      <c r="S357" s="240"/>
      <c r="T357" s="240"/>
      <c r="U357" s="240"/>
      <c r="V357" s="240"/>
    </row>
    <row r="358" spans="2:22" s="239" customFormat="1">
      <c r="S358" s="240"/>
      <c r="T358" s="240"/>
      <c r="U358" s="240"/>
      <c r="V358" s="240"/>
    </row>
    <row r="359" spans="2:22" s="239" customFormat="1">
      <c r="B359" s="241"/>
      <c r="P359" s="242"/>
      <c r="S359" s="240"/>
      <c r="T359" s="240"/>
      <c r="U359" s="240"/>
      <c r="V359" s="240"/>
    </row>
    <row r="360" spans="2:22" s="239" customFormat="1">
      <c r="S360" s="240"/>
      <c r="T360" s="240"/>
      <c r="U360" s="240"/>
      <c r="V360" s="240"/>
    </row>
    <row r="361" spans="2:22" s="239" customFormat="1">
      <c r="S361" s="240"/>
      <c r="T361" s="240"/>
      <c r="U361" s="240"/>
      <c r="V361" s="240"/>
    </row>
    <row r="362" spans="2:22" s="239" customFormat="1">
      <c r="B362" s="241"/>
      <c r="P362" s="242"/>
      <c r="S362" s="240"/>
      <c r="T362" s="240"/>
      <c r="U362" s="240"/>
      <c r="V362" s="240"/>
    </row>
    <row r="363" spans="2:22" s="239" customFormat="1">
      <c r="S363" s="240"/>
      <c r="T363" s="240"/>
      <c r="U363" s="240"/>
      <c r="V363" s="240"/>
    </row>
    <row r="364" spans="2:22" s="239" customFormat="1">
      <c r="S364" s="240"/>
      <c r="T364" s="240"/>
      <c r="U364" s="240"/>
      <c r="V364" s="240"/>
    </row>
    <row r="365" spans="2:22" s="239" customFormat="1">
      <c r="B365" s="241"/>
      <c r="P365" s="242"/>
      <c r="S365" s="240"/>
      <c r="T365" s="240"/>
      <c r="U365" s="240"/>
      <c r="V365" s="240"/>
    </row>
    <row r="366" spans="2:22" s="239" customFormat="1">
      <c r="S366" s="240"/>
      <c r="T366" s="240"/>
      <c r="U366" s="240"/>
      <c r="V366" s="240"/>
    </row>
    <row r="367" spans="2:22" s="239" customFormat="1">
      <c r="S367" s="240"/>
      <c r="T367" s="240"/>
      <c r="U367" s="240"/>
      <c r="V367" s="240"/>
    </row>
    <row r="368" spans="2:22" s="239" customFormat="1">
      <c r="B368" s="241"/>
      <c r="P368" s="242"/>
      <c r="S368" s="240"/>
      <c r="T368" s="240"/>
      <c r="U368" s="240"/>
      <c r="V368" s="240"/>
    </row>
    <row r="369" spans="2:22" s="239" customFormat="1">
      <c r="S369" s="240"/>
      <c r="T369" s="240"/>
      <c r="U369" s="240"/>
      <c r="V369" s="240"/>
    </row>
    <row r="370" spans="2:22" s="239" customFormat="1">
      <c r="S370" s="240"/>
      <c r="T370" s="240"/>
      <c r="U370" s="240"/>
      <c r="V370" s="240"/>
    </row>
    <row r="371" spans="2:22" s="239" customFormat="1">
      <c r="B371" s="241"/>
      <c r="P371" s="242"/>
      <c r="S371" s="240"/>
      <c r="T371" s="240"/>
      <c r="U371" s="240"/>
      <c r="V371" s="240"/>
    </row>
    <row r="372" spans="2:22" s="239" customFormat="1">
      <c r="S372" s="240"/>
      <c r="T372" s="240"/>
      <c r="U372" s="240"/>
      <c r="V372" s="240"/>
    </row>
    <row r="373" spans="2:22" s="239" customFormat="1">
      <c r="S373" s="240"/>
      <c r="T373" s="240"/>
      <c r="U373" s="240"/>
      <c r="V373" s="240"/>
    </row>
    <row r="374" spans="2:22" s="239" customFormat="1">
      <c r="B374" s="241"/>
      <c r="P374" s="242"/>
      <c r="S374" s="240"/>
      <c r="T374" s="240"/>
      <c r="U374" s="240"/>
      <c r="V374" s="240"/>
    </row>
    <row r="375" spans="2:22" s="239" customFormat="1">
      <c r="S375" s="240"/>
      <c r="T375" s="240"/>
      <c r="U375" s="240"/>
      <c r="V375" s="240"/>
    </row>
    <row r="376" spans="2:22" s="239" customFormat="1">
      <c r="S376" s="240"/>
      <c r="T376" s="240"/>
      <c r="U376" s="240"/>
      <c r="V376" s="240"/>
    </row>
    <row r="377" spans="2:22" s="239" customFormat="1">
      <c r="B377" s="241"/>
      <c r="P377" s="242"/>
      <c r="S377" s="240"/>
      <c r="T377" s="240"/>
      <c r="U377" s="240"/>
      <c r="V377" s="240"/>
    </row>
    <row r="378" spans="2:22" s="239" customFormat="1">
      <c r="S378" s="240"/>
      <c r="T378" s="240"/>
      <c r="U378" s="240"/>
      <c r="V378" s="240"/>
    </row>
    <row r="379" spans="2:22" s="239" customFormat="1">
      <c r="S379" s="240"/>
      <c r="T379" s="240"/>
      <c r="U379" s="240"/>
      <c r="V379" s="240"/>
    </row>
    <row r="380" spans="2:22" s="239" customFormat="1">
      <c r="B380" s="241"/>
      <c r="P380" s="242"/>
      <c r="S380" s="240"/>
      <c r="T380" s="240"/>
      <c r="U380" s="240"/>
      <c r="V380" s="240"/>
    </row>
    <row r="381" spans="2:22" s="239" customFormat="1">
      <c r="S381" s="240"/>
      <c r="T381" s="240"/>
      <c r="U381" s="240"/>
      <c r="V381" s="240"/>
    </row>
    <row r="382" spans="2:22" s="239" customFormat="1">
      <c r="S382" s="240"/>
      <c r="T382" s="240"/>
      <c r="U382" s="240"/>
      <c r="V382" s="240"/>
    </row>
    <row r="383" spans="2:22" s="239" customFormat="1">
      <c r="B383" s="241"/>
      <c r="P383" s="242"/>
      <c r="S383" s="240"/>
      <c r="T383" s="240"/>
      <c r="U383" s="240"/>
      <c r="V383" s="240"/>
    </row>
    <row r="384" spans="2:22" s="239" customFormat="1">
      <c r="S384" s="240"/>
      <c r="T384" s="240"/>
      <c r="U384" s="240"/>
      <c r="V384" s="240"/>
    </row>
    <row r="385" spans="2:22" s="239" customFormat="1">
      <c r="S385" s="240"/>
      <c r="T385" s="240"/>
      <c r="U385" s="240"/>
      <c r="V385" s="240"/>
    </row>
    <row r="386" spans="2:22" s="239" customFormat="1">
      <c r="B386" s="241"/>
      <c r="P386" s="242"/>
      <c r="S386" s="240"/>
      <c r="T386" s="240"/>
      <c r="U386" s="240"/>
      <c r="V386" s="240"/>
    </row>
    <row r="387" spans="2:22" s="239" customFormat="1">
      <c r="S387" s="240"/>
      <c r="T387" s="240"/>
      <c r="U387" s="240"/>
      <c r="V387" s="240"/>
    </row>
    <row r="388" spans="2:22" s="239" customFormat="1">
      <c r="S388" s="240"/>
      <c r="T388" s="240"/>
      <c r="U388" s="240"/>
      <c r="V388" s="240"/>
    </row>
    <row r="389" spans="2:22" s="239" customFormat="1">
      <c r="B389" s="241"/>
      <c r="P389" s="242"/>
      <c r="S389" s="240"/>
      <c r="T389" s="240"/>
      <c r="U389" s="240"/>
      <c r="V389" s="240"/>
    </row>
    <row r="390" spans="2:22" s="239" customFormat="1">
      <c r="S390" s="240"/>
      <c r="T390" s="240"/>
      <c r="U390" s="240"/>
      <c r="V390" s="240"/>
    </row>
    <row r="391" spans="2:22" s="239" customFormat="1">
      <c r="S391" s="240"/>
      <c r="T391" s="240"/>
      <c r="U391" s="240"/>
      <c r="V391" s="240"/>
    </row>
    <row r="392" spans="2:22" s="239" customFormat="1">
      <c r="B392" s="241"/>
      <c r="P392" s="242"/>
      <c r="S392" s="240"/>
      <c r="T392" s="240"/>
      <c r="U392" s="240"/>
      <c r="V392" s="240"/>
    </row>
    <row r="393" spans="2:22" s="239" customFormat="1">
      <c r="S393" s="240"/>
      <c r="T393" s="240"/>
      <c r="U393" s="240"/>
      <c r="V393" s="240"/>
    </row>
    <row r="394" spans="2:22" s="239" customFormat="1">
      <c r="S394" s="240"/>
      <c r="T394" s="240"/>
      <c r="U394" s="240"/>
      <c r="V394" s="240"/>
    </row>
    <row r="395" spans="2:22" s="239" customFormat="1">
      <c r="B395" s="241"/>
      <c r="P395" s="242"/>
      <c r="S395" s="240"/>
      <c r="T395" s="240"/>
      <c r="U395" s="240"/>
      <c r="V395" s="240"/>
    </row>
    <row r="396" spans="2:22" s="239" customFormat="1">
      <c r="S396" s="240"/>
      <c r="T396" s="240"/>
      <c r="U396" s="240"/>
      <c r="V396" s="240"/>
    </row>
    <row r="397" spans="2:22" s="239" customFormat="1">
      <c r="S397" s="240"/>
      <c r="T397" s="240"/>
      <c r="U397" s="240"/>
      <c r="V397" s="240"/>
    </row>
    <row r="398" spans="2:22" s="239" customFormat="1">
      <c r="B398" s="241"/>
      <c r="P398" s="242"/>
      <c r="S398" s="240"/>
      <c r="T398" s="240"/>
      <c r="U398" s="240"/>
      <c r="V398" s="240"/>
    </row>
    <row r="399" spans="2:22" s="239" customFormat="1">
      <c r="S399" s="240"/>
      <c r="T399" s="240"/>
      <c r="U399" s="240"/>
      <c r="V399" s="240"/>
    </row>
    <row r="400" spans="2:22" s="239" customFormat="1">
      <c r="S400" s="240"/>
      <c r="T400" s="240"/>
      <c r="U400" s="240"/>
      <c r="V400" s="240"/>
    </row>
    <row r="401" spans="2:22" s="239" customFormat="1">
      <c r="B401" s="241"/>
      <c r="P401" s="242"/>
      <c r="S401" s="240"/>
      <c r="T401" s="240"/>
      <c r="U401" s="240"/>
      <c r="V401" s="240"/>
    </row>
    <row r="402" spans="2:22" s="239" customFormat="1">
      <c r="S402" s="240"/>
      <c r="T402" s="240"/>
      <c r="U402" s="240"/>
      <c r="V402" s="240"/>
    </row>
    <row r="403" spans="2:22" s="239" customFormat="1">
      <c r="S403" s="240"/>
      <c r="T403" s="240"/>
      <c r="U403" s="240"/>
      <c r="V403" s="240"/>
    </row>
    <row r="404" spans="2:22" s="239" customFormat="1">
      <c r="B404" s="241"/>
      <c r="P404" s="242"/>
      <c r="S404" s="240"/>
      <c r="T404" s="240"/>
      <c r="U404" s="240"/>
      <c r="V404" s="240"/>
    </row>
    <row r="405" spans="2:22" s="239" customFormat="1">
      <c r="S405" s="240"/>
      <c r="T405" s="240"/>
      <c r="U405" s="240"/>
      <c r="V405" s="240"/>
    </row>
    <row r="406" spans="2:22" s="239" customFormat="1">
      <c r="S406" s="240"/>
      <c r="T406" s="240"/>
      <c r="U406" s="240"/>
      <c r="V406" s="240"/>
    </row>
    <row r="407" spans="2:22" s="239" customFormat="1">
      <c r="B407" s="241"/>
      <c r="P407" s="242"/>
      <c r="S407" s="240"/>
      <c r="T407" s="240"/>
      <c r="U407" s="240"/>
      <c r="V407" s="240"/>
    </row>
    <row r="408" spans="2:22" s="239" customFormat="1">
      <c r="S408" s="240"/>
      <c r="T408" s="240"/>
      <c r="U408" s="240"/>
      <c r="V408" s="240"/>
    </row>
    <row r="409" spans="2:22" s="239" customFormat="1">
      <c r="S409" s="240"/>
      <c r="T409" s="240"/>
      <c r="U409" s="240"/>
      <c r="V409" s="240"/>
    </row>
    <row r="410" spans="2:22" s="239" customFormat="1">
      <c r="B410" s="241"/>
      <c r="P410" s="242"/>
      <c r="S410" s="240"/>
      <c r="T410" s="240"/>
      <c r="U410" s="240"/>
      <c r="V410" s="240"/>
    </row>
    <row r="411" spans="2:22" s="239" customFormat="1">
      <c r="S411" s="240"/>
      <c r="T411" s="240"/>
      <c r="U411" s="240"/>
      <c r="V411" s="240"/>
    </row>
    <row r="412" spans="2:22" s="239" customFormat="1">
      <c r="S412" s="240"/>
      <c r="T412" s="240"/>
      <c r="U412" s="240"/>
      <c r="V412" s="240"/>
    </row>
    <row r="413" spans="2:22" s="239" customFormat="1">
      <c r="B413" s="241"/>
      <c r="P413" s="242"/>
      <c r="S413" s="240"/>
      <c r="T413" s="240"/>
      <c r="U413" s="240"/>
      <c r="V413" s="240"/>
    </row>
    <row r="414" spans="2:22" s="239" customFormat="1">
      <c r="S414" s="240"/>
      <c r="T414" s="240"/>
      <c r="U414" s="240"/>
      <c r="V414" s="240"/>
    </row>
    <row r="415" spans="2:22" s="239" customFormat="1">
      <c r="S415" s="240"/>
      <c r="T415" s="240"/>
      <c r="U415" s="240"/>
      <c r="V415" s="240"/>
    </row>
    <row r="416" spans="2:22" s="239" customFormat="1">
      <c r="B416" s="241"/>
      <c r="P416" s="242"/>
      <c r="S416" s="240"/>
      <c r="T416" s="240"/>
      <c r="U416" s="240"/>
      <c r="V416" s="240"/>
    </row>
    <row r="417" spans="2:22" s="239" customFormat="1">
      <c r="S417" s="240"/>
      <c r="T417" s="240"/>
      <c r="U417" s="240"/>
      <c r="V417" s="240"/>
    </row>
    <row r="418" spans="2:22" s="239" customFormat="1">
      <c r="S418" s="240"/>
      <c r="T418" s="240"/>
      <c r="U418" s="240"/>
      <c r="V418" s="240"/>
    </row>
    <row r="419" spans="2:22" s="239" customFormat="1">
      <c r="B419" s="241"/>
      <c r="P419" s="242"/>
      <c r="S419" s="240"/>
      <c r="T419" s="240"/>
      <c r="U419" s="240"/>
      <c r="V419" s="240"/>
    </row>
    <row r="420" spans="2:22" s="239" customFormat="1">
      <c r="S420" s="240"/>
      <c r="T420" s="240"/>
      <c r="U420" s="240"/>
      <c r="V420" s="240"/>
    </row>
    <row r="421" spans="2:22" s="239" customFormat="1">
      <c r="S421" s="240"/>
      <c r="T421" s="240"/>
      <c r="U421" s="240"/>
      <c r="V421" s="240"/>
    </row>
    <row r="422" spans="2:22" s="239" customFormat="1">
      <c r="B422" s="241"/>
      <c r="P422" s="242"/>
      <c r="S422" s="240"/>
      <c r="T422" s="240"/>
      <c r="U422" s="240"/>
      <c r="V422" s="240"/>
    </row>
    <row r="423" spans="2:22" s="239" customFormat="1">
      <c r="S423" s="240"/>
      <c r="T423" s="240"/>
      <c r="U423" s="240"/>
      <c r="V423" s="240"/>
    </row>
    <row r="424" spans="2:22" s="239" customFormat="1">
      <c r="S424" s="240"/>
      <c r="T424" s="240"/>
      <c r="U424" s="240"/>
      <c r="V424" s="240"/>
    </row>
    <row r="425" spans="2:22" s="239" customFormat="1">
      <c r="B425" s="241"/>
      <c r="P425" s="242"/>
      <c r="S425" s="240"/>
      <c r="T425" s="240"/>
      <c r="U425" s="240"/>
      <c r="V425" s="240"/>
    </row>
    <row r="426" spans="2:22" s="239" customFormat="1">
      <c r="S426" s="240"/>
      <c r="T426" s="240"/>
      <c r="U426" s="240"/>
      <c r="V426" s="240"/>
    </row>
    <row r="427" spans="2:22" s="239" customFormat="1">
      <c r="S427" s="240"/>
      <c r="T427" s="240"/>
      <c r="U427" s="240"/>
      <c r="V427" s="240"/>
    </row>
    <row r="428" spans="2:22" s="239" customFormat="1">
      <c r="B428" s="241"/>
      <c r="P428" s="242"/>
      <c r="S428" s="240"/>
      <c r="T428" s="240"/>
      <c r="U428" s="240"/>
      <c r="V428" s="240"/>
    </row>
    <row r="429" spans="2:22" s="239" customFormat="1">
      <c r="S429" s="240"/>
      <c r="T429" s="240"/>
      <c r="U429" s="240"/>
      <c r="V429" s="240"/>
    </row>
    <row r="430" spans="2:22" s="239" customFormat="1">
      <c r="S430" s="240"/>
      <c r="T430" s="240"/>
      <c r="U430" s="240"/>
      <c r="V430" s="240"/>
    </row>
    <row r="431" spans="2:22" s="239" customFormat="1">
      <c r="B431" s="241"/>
      <c r="P431" s="242"/>
      <c r="S431" s="240"/>
      <c r="T431" s="240"/>
      <c r="U431" s="240"/>
      <c r="V431" s="240"/>
    </row>
    <row r="432" spans="2:22" s="239" customFormat="1">
      <c r="S432" s="240"/>
      <c r="T432" s="240"/>
      <c r="U432" s="240"/>
      <c r="V432" s="240"/>
    </row>
    <row r="433" spans="2:22" s="239" customFormat="1">
      <c r="S433" s="240"/>
      <c r="T433" s="240"/>
      <c r="U433" s="240"/>
      <c r="V433" s="240"/>
    </row>
    <row r="434" spans="2:22" s="239" customFormat="1">
      <c r="B434" s="241"/>
      <c r="P434" s="242"/>
      <c r="S434" s="240"/>
      <c r="T434" s="240"/>
      <c r="U434" s="240"/>
      <c r="V434" s="240"/>
    </row>
    <row r="435" spans="2:22" s="239" customFormat="1">
      <c r="S435" s="240"/>
      <c r="T435" s="240"/>
      <c r="U435" s="240"/>
      <c r="V435" s="240"/>
    </row>
    <row r="436" spans="2:22" s="239" customFormat="1">
      <c r="S436" s="240"/>
      <c r="T436" s="240"/>
      <c r="U436" s="240"/>
      <c r="V436" s="240"/>
    </row>
    <row r="437" spans="2:22" s="239" customFormat="1">
      <c r="B437" s="241"/>
      <c r="P437" s="242"/>
      <c r="S437" s="240"/>
      <c r="T437" s="240"/>
      <c r="U437" s="240"/>
      <c r="V437" s="240"/>
    </row>
    <row r="438" spans="2:22" s="239" customFormat="1">
      <c r="S438" s="240"/>
      <c r="T438" s="240"/>
      <c r="U438" s="240"/>
      <c r="V438" s="240"/>
    </row>
    <row r="439" spans="2:22" s="239" customFormat="1">
      <c r="S439" s="240"/>
      <c r="T439" s="240"/>
      <c r="U439" s="240"/>
      <c r="V439" s="240"/>
    </row>
    <row r="440" spans="2:22" s="239" customFormat="1">
      <c r="B440" s="241"/>
      <c r="P440" s="242"/>
      <c r="S440" s="240"/>
      <c r="T440" s="240"/>
      <c r="U440" s="240"/>
      <c r="V440" s="240"/>
    </row>
    <row r="441" spans="2:22" s="239" customFormat="1">
      <c r="S441" s="240"/>
      <c r="T441" s="240"/>
      <c r="U441" s="240"/>
      <c r="V441" s="240"/>
    </row>
    <row r="442" spans="2:22" s="239" customFormat="1">
      <c r="S442" s="240"/>
      <c r="T442" s="240"/>
      <c r="U442" s="240"/>
      <c r="V442" s="240"/>
    </row>
    <row r="443" spans="2:22" s="239" customFormat="1">
      <c r="B443" s="241"/>
      <c r="P443" s="242"/>
      <c r="S443" s="240"/>
      <c r="T443" s="240"/>
      <c r="U443" s="240"/>
      <c r="V443" s="240"/>
    </row>
    <row r="444" spans="2:22" s="239" customFormat="1">
      <c r="S444" s="240"/>
      <c r="T444" s="240"/>
      <c r="U444" s="240"/>
      <c r="V444" s="240"/>
    </row>
    <row r="445" spans="2:22" s="239" customFormat="1">
      <c r="S445" s="240"/>
      <c r="T445" s="240"/>
      <c r="U445" s="240"/>
      <c r="V445" s="240"/>
    </row>
    <row r="446" spans="2:22" s="239" customFormat="1">
      <c r="B446" s="241"/>
      <c r="P446" s="242"/>
      <c r="S446" s="240"/>
      <c r="T446" s="240"/>
      <c r="U446" s="240"/>
      <c r="V446" s="240"/>
    </row>
    <row r="447" spans="2:22" s="239" customFormat="1">
      <c r="S447" s="240"/>
      <c r="T447" s="240"/>
      <c r="U447" s="240"/>
      <c r="V447" s="240"/>
    </row>
    <row r="448" spans="2:22" s="239" customFormat="1">
      <c r="S448" s="240"/>
      <c r="T448" s="240"/>
      <c r="U448" s="240"/>
      <c r="V448" s="240"/>
    </row>
    <row r="449" spans="2:22" s="239" customFormat="1">
      <c r="B449" s="241"/>
      <c r="P449" s="242"/>
      <c r="S449" s="240"/>
      <c r="T449" s="240"/>
      <c r="U449" s="240"/>
      <c r="V449" s="240"/>
    </row>
    <row r="450" spans="2:22" s="239" customFormat="1">
      <c r="S450" s="240"/>
      <c r="T450" s="240"/>
      <c r="U450" s="240"/>
      <c r="V450" s="240"/>
    </row>
    <row r="451" spans="2:22" s="239" customFormat="1">
      <c r="S451" s="240"/>
      <c r="T451" s="240"/>
      <c r="U451" s="240"/>
      <c r="V451" s="240"/>
    </row>
    <row r="452" spans="2:22" s="239" customFormat="1">
      <c r="B452" s="241"/>
      <c r="P452" s="242"/>
      <c r="S452" s="240"/>
      <c r="T452" s="240"/>
      <c r="U452" s="240"/>
      <c r="V452" s="240"/>
    </row>
    <row r="453" spans="2:22" s="239" customFormat="1">
      <c r="S453" s="240"/>
      <c r="T453" s="240"/>
      <c r="U453" s="240"/>
      <c r="V453" s="240"/>
    </row>
    <row r="454" spans="2:22" s="239" customFormat="1">
      <c r="S454" s="240"/>
      <c r="T454" s="240"/>
      <c r="U454" s="240"/>
      <c r="V454" s="240"/>
    </row>
    <row r="455" spans="2:22" s="239" customFormat="1">
      <c r="B455" s="241"/>
      <c r="P455" s="242"/>
      <c r="S455" s="240"/>
      <c r="T455" s="240"/>
      <c r="U455" s="240"/>
      <c r="V455" s="240"/>
    </row>
    <row r="456" spans="2:22" s="239" customFormat="1">
      <c r="S456" s="240"/>
      <c r="T456" s="240"/>
      <c r="U456" s="240"/>
      <c r="V456" s="240"/>
    </row>
    <row r="457" spans="2:22" s="239" customFormat="1">
      <c r="S457" s="240"/>
      <c r="T457" s="240"/>
      <c r="U457" s="240"/>
      <c r="V457" s="240"/>
    </row>
    <row r="458" spans="2:22" s="239" customFormat="1">
      <c r="B458" s="241"/>
      <c r="P458" s="242"/>
      <c r="S458" s="240"/>
      <c r="T458" s="240"/>
      <c r="U458" s="240"/>
      <c r="V458" s="240"/>
    </row>
    <row r="459" spans="2:22" s="239" customFormat="1">
      <c r="S459" s="240"/>
      <c r="T459" s="240"/>
      <c r="U459" s="240"/>
      <c r="V459" s="240"/>
    </row>
    <row r="460" spans="2:22" s="239" customFormat="1">
      <c r="S460" s="240"/>
      <c r="T460" s="240"/>
      <c r="U460" s="240"/>
      <c r="V460" s="240"/>
    </row>
    <row r="461" spans="2:22" s="239" customFormat="1">
      <c r="B461" s="241"/>
      <c r="P461" s="242"/>
      <c r="S461" s="240"/>
      <c r="T461" s="240"/>
      <c r="U461" s="240"/>
      <c r="V461" s="240"/>
    </row>
    <row r="462" spans="2:22" s="239" customFormat="1">
      <c r="S462" s="240"/>
      <c r="T462" s="240"/>
      <c r="U462" s="240"/>
      <c r="V462" s="240"/>
    </row>
    <row r="463" spans="2:22" s="239" customFormat="1">
      <c r="S463" s="240"/>
      <c r="T463" s="240"/>
      <c r="U463" s="240"/>
      <c r="V463" s="240"/>
    </row>
    <row r="464" spans="2:22" s="239" customFormat="1">
      <c r="B464" s="241"/>
      <c r="P464" s="242"/>
      <c r="S464" s="240"/>
      <c r="T464" s="240"/>
      <c r="U464" s="240"/>
      <c r="V464" s="240"/>
    </row>
    <row r="465" spans="2:22" s="239" customFormat="1">
      <c r="S465" s="240"/>
      <c r="T465" s="240"/>
      <c r="U465" s="240"/>
      <c r="V465" s="240"/>
    </row>
    <row r="466" spans="2:22" s="239" customFormat="1">
      <c r="S466" s="240"/>
      <c r="T466" s="240"/>
      <c r="U466" s="240"/>
      <c r="V466" s="240"/>
    </row>
    <row r="467" spans="2:22" s="239" customFormat="1">
      <c r="B467" s="241"/>
      <c r="P467" s="242"/>
      <c r="S467" s="240"/>
      <c r="T467" s="240"/>
      <c r="U467" s="240"/>
      <c r="V467" s="240"/>
    </row>
    <row r="468" spans="2:22" s="239" customFormat="1">
      <c r="S468" s="240"/>
      <c r="T468" s="240"/>
      <c r="U468" s="240"/>
      <c r="V468" s="240"/>
    </row>
    <row r="469" spans="2:22" s="239" customFormat="1">
      <c r="S469" s="240"/>
      <c r="T469" s="240"/>
      <c r="U469" s="240"/>
      <c r="V469" s="240"/>
    </row>
    <row r="470" spans="2:22" s="239" customFormat="1">
      <c r="B470" s="241"/>
      <c r="P470" s="242"/>
      <c r="S470" s="240"/>
      <c r="T470" s="240"/>
      <c r="U470" s="240"/>
      <c r="V470" s="240"/>
    </row>
    <row r="471" spans="2:22" s="239" customFormat="1">
      <c r="S471" s="240"/>
      <c r="T471" s="240"/>
      <c r="U471" s="240"/>
      <c r="V471" s="240"/>
    </row>
    <row r="472" spans="2:22" s="239" customFormat="1">
      <c r="S472" s="240"/>
      <c r="T472" s="240"/>
      <c r="U472" s="240"/>
      <c r="V472" s="240"/>
    </row>
    <row r="473" spans="2:22" s="239" customFormat="1">
      <c r="B473" s="241"/>
      <c r="P473" s="242"/>
      <c r="S473" s="240"/>
      <c r="T473" s="240"/>
      <c r="U473" s="240"/>
      <c r="V473" s="240"/>
    </row>
    <row r="474" spans="2:22" s="239" customFormat="1">
      <c r="S474" s="240"/>
      <c r="T474" s="240"/>
      <c r="U474" s="240"/>
      <c r="V474" s="240"/>
    </row>
    <row r="475" spans="2:22" s="239" customFormat="1">
      <c r="S475" s="240"/>
      <c r="T475" s="240"/>
      <c r="U475" s="240"/>
      <c r="V475" s="240"/>
    </row>
    <row r="476" spans="2:22" s="239" customFormat="1">
      <c r="B476" s="241"/>
      <c r="P476" s="242"/>
      <c r="S476" s="240"/>
      <c r="T476" s="240"/>
      <c r="U476" s="240"/>
      <c r="V476" s="240"/>
    </row>
    <row r="477" spans="2:22" s="239" customFormat="1">
      <c r="S477" s="240"/>
      <c r="T477" s="240"/>
      <c r="U477" s="240"/>
      <c r="V477" s="240"/>
    </row>
    <row r="478" spans="2:22" s="239" customFormat="1">
      <c r="S478" s="240"/>
      <c r="T478" s="240"/>
      <c r="U478" s="240"/>
      <c r="V478" s="240"/>
    </row>
    <row r="479" spans="2:22" s="239" customFormat="1">
      <c r="B479" s="241"/>
      <c r="P479" s="242"/>
      <c r="S479" s="240"/>
      <c r="T479" s="240"/>
      <c r="U479" s="240"/>
      <c r="V479" s="240"/>
    </row>
    <row r="480" spans="2:22" s="239" customFormat="1">
      <c r="S480" s="240"/>
      <c r="T480" s="240"/>
      <c r="U480" s="240"/>
      <c r="V480" s="240"/>
    </row>
    <row r="481" spans="2:22" s="239" customFormat="1">
      <c r="S481" s="240"/>
      <c r="T481" s="240"/>
      <c r="U481" s="240"/>
      <c r="V481" s="240"/>
    </row>
    <row r="482" spans="2:22" s="239" customFormat="1">
      <c r="B482" s="241"/>
      <c r="P482" s="242"/>
      <c r="S482" s="240"/>
      <c r="T482" s="240"/>
      <c r="U482" s="240"/>
      <c r="V482" s="240"/>
    </row>
    <row r="483" spans="2:22" s="239" customFormat="1">
      <c r="S483" s="240"/>
      <c r="T483" s="240"/>
      <c r="U483" s="240"/>
      <c r="V483" s="240"/>
    </row>
    <row r="484" spans="2:22" s="239" customFormat="1">
      <c r="S484" s="240"/>
      <c r="T484" s="240"/>
      <c r="U484" s="240"/>
      <c r="V484" s="240"/>
    </row>
    <row r="485" spans="2:22" s="239" customFormat="1">
      <c r="B485" s="241"/>
      <c r="P485" s="242"/>
      <c r="S485" s="240"/>
      <c r="T485" s="240"/>
      <c r="U485" s="240"/>
      <c r="V485" s="240"/>
    </row>
    <row r="486" spans="2:22" s="239" customFormat="1">
      <c r="S486" s="240"/>
      <c r="T486" s="240"/>
      <c r="U486" s="240"/>
      <c r="V486" s="240"/>
    </row>
    <row r="487" spans="2:22" s="239" customFormat="1">
      <c r="S487" s="240"/>
      <c r="T487" s="240"/>
      <c r="U487" s="240"/>
      <c r="V487" s="240"/>
    </row>
    <row r="488" spans="2:22" s="239" customFormat="1">
      <c r="B488" s="241"/>
      <c r="P488" s="242"/>
      <c r="S488" s="240"/>
      <c r="T488" s="240"/>
      <c r="U488" s="240"/>
      <c r="V488" s="240"/>
    </row>
    <row r="489" spans="2:22" s="239" customFormat="1">
      <c r="S489" s="240"/>
      <c r="T489" s="240"/>
      <c r="U489" s="240"/>
      <c r="V489" s="240"/>
    </row>
    <row r="490" spans="2:22" s="239" customFormat="1">
      <c r="S490" s="240"/>
      <c r="T490" s="240"/>
      <c r="U490" s="240"/>
      <c r="V490" s="240"/>
    </row>
    <row r="491" spans="2:22" s="239" customFormat="1">
      <c r="B491" s="241"/>
      <c r="P491" s="242"/>
      <c r="S491" s="240"/>
      <c r="T491" s="240"/>
      <c r="U491" s="240"/>
      <c r="V491" s="240"/>
    </row>
    <row r="492" spans="2:22" s="239" customFormat="1">
      <c r="S492" s="240"/>
      <c r="T492" s="240"/>
      <c r="U492" s="240"/>
      <c r="V492" s="240"/>
    </row>
    <row r="493" spans="2:22" s="239" customFormat="1">
      <c r="S493" s="240"/>
      <c r="T493" s="240"/>
      <c r="U493" s="240"/>
      <c r="V493" s="240"/>
    </row>
    <row r="494" spans="2:22" s="239" customFormat="1">
      <c r="B494" s="241"/>
      <c r="P494" s="242"/>
      <c r="S494" s="240"/>
      <c r="T494" s="240"/>
      <c r="U494" s="240"/>
      <c r="V494" s="240"/>
    </row>
    <row r="495" spans="2:22" s="239" customFormat="1">
      <c r="S495" s="240"/>
      <c r="T495" s="240"/>
      <c r="U495" s="240"/>
      <c r="V495" s="240"/>
    </row>
    <row r="496" spans="2:22" s="239" customFormat="1">
      <c r="S496" s="240"/>
      <c r="T496" s="240"/>
      <c r="U496" s="240"/>
      <c r="V496" s="240"/>
    </row>
    <row r="497" spans="2:22" s="239" customFormat="1">
      <c r="B497" s="241"/>
      <c r="P497" s="242"/>
      <c r="S497" s="240"/>
      <c r="T497" s="240"/>
      <c r="U497" s="240"/>
      <c r="V497" s="240"/>
    </row>
    <row r="498" spans="2:22" s="239" customFormat="1">
      <c r="S498" s="240"/>
      <c r="T498" s="240"/>
      <c r="U498" s="240"/>
      <c r="V498" s="240"/>
    </row>
    <row r="499" spans="2:22" s="239" customFormat="1">
      <c r="S499" s="240"/>
      <c r="T499" s="240"/>
      <c r="U499" s="240"/>
      <c r="V499" s="240"/>
    </row>
    <row r="500" spans="2:22" s="239" customFormat="1">
      <c r="B500" s="241"/>
      <c r="P500" s="242"/>
      <c r="S500" s="240"/>
      <c r="T500" s="240"/>
      <c r="U500" s="240"/>
      <c r="V500" s="240"/>
    </row>
    <row r="501" spans="2:22" s="239" customFormat="1">
      <c r="S501" s="240"/>
      <c r="T501" s="240"/>
      <c r="U501" s="240"/>
      <c r="V501" s="240"/>
    </row>
    <row r="502" spans="2:22" s="239" customFormat="1">
      <c r="S502" s="240"/>
      <c r="T502" s="240"/>
      <c r="U502" s="240"/>
      <c r="V502" s="240"/>
    </row>
    <row r="503" spans="2:22" s="239" customFormat="1">
      <c r="B503" s="241"/>
      <c r="P503" s="242"/>
      <c r="S503" s="240"/>
      <c r="T503" s="240"/>
      <c r="U503" s="240"/>
      <c r="V503" s="240"/>
    </row>
    <row r="504" spans="2:22" s="239" customFormat="1">
      <c r="S504" s="240"/>
      <c r="T504" s="240"/>
      <c r="U504" s="240"/>
      <c r="V504" s="240"/>
    </row>
    <row r="505" spans="2:22" s="239" customFormat="1">
      <c r="S505" s="240"/>
      <c r="T505" s="240"/>
      <c r="U505" s="240"/>
      <c r="V505" s="240"/>
    </row>
    <row r="506" spans="2:22" s="239" customFormat="1">
      <c r="B506" s="241"/>
      <c r="P506" s="242"/>
      <c r="S506" s="240"/>
      <c r="T506" s="240"/>
      <c r="U506" s="240"/>
      <c r="V506" s="240"/>
    </row>
    <row r="507" spans="2:22" s="239" customFormat="1">
      <c r="S507" s="240"/>
      <c r="T507" s="240"/>
      <c r="U507" s="240"/>
      <c r="V507" s="240"/>
    </row>
    <row r="508" spans="2:22" s="239" customFormat="1">
      <c r="S508" s="240"/>
      <c r="T508" s="240"/>
      <c r="U508" s="240"/>
      <c r="V508" s="240"/>
    </row>
    <row r="509" spans="2:22" s="239" customFormat="1">
      <c r="B509" s="241"/>
      <c r="P509" s="242"/>
      <c r="S509" s="240"/>
      <c r="T509" s="240"/>
      <c r="U509" s="240"/>
      <c r="V509" s="240"/>
    </row>
    <row r="510" spans="2:22" s="239" customFormat="1">
      <c r="S510" s="240"/>
      <c r="T510" s="240"/>
      <c r="U510" s="240"/>
      <c r="V510" s="240"/>
    </row>
    <row r="511" spans="2:22" s="239" customFormat="1">
      <c r="S511" s="240"/>
      <c r="T511" s="240"/>
      <c r="U511" s="240"/>
      <c r="V511" s="240"/>
    </row>
    <row r="512" spans="2:22" s="239" customFormat="1">
      <c r="B512" s="241"/>
      <c r="P512" s="242"/>
      <c r="S512" s="240"/>
      <c r="T512" s="240"/>
      <c r="U512" s="240"/>
      <c r="V512" s="240"/>
    </row>
    <row r="513" spans="2:22" s="239" customFormat="1">
      <c r="S513" s="240"/>
      <c r="T513" s="240"/>
      <c r="U513" s="240"/>
      <c r="V513" s="240"/>
    </row>
    <row r="514" spans="2:22" s="239" customFormat="1">
      <c r="S514" s="240"/>
      <c r="T514" s="240"/>
      <c r="U514" s="240"/>
      <c r="V514" s="240"/>
    </row>
    <row r="515" spans="2:22" s="239" customFormat="1">
      <c r="B515" s="241"/>
      <c r="P515" s="242"/>
      <c r="S515" s="240"/>
      <c r="T515" s="240"/>
      <c r="U515" s="240"/>
      <c r="V515" s="240"/>
    </row>
    <row r="516" spans="2:22" s="239" customFormat="1">
      <c r="S516" s="240"/>
      <c r="T516" s="240"/>
      <c r="U516" s="240"/>
      <c r="V516" s="240"/>
    </row>
    <row r="517" spans="2:22" s="239" customFormat="1">
      <c r="S517" s="240"/>
      <c r="T517" s="240"/>
      <c r="U517" s="240"/>
      <c r="V517" s="240"/>
    </row>
    <row r="518" spans="2:22" s="239" customFormat="1">
      <c r="B518" s="241"/>
      <c r="P518" s="242"/>
      <c r="S518" s="240"/>
      <c r="T518" s="240"/>
      <c r="U518" s="240"/>
      <c r="V518" s="240"/>
    </row>
    <row r="519" spans="2:22" s="239" customFormat="1">
      <c r="S519" s="240"/>
      <c r="T519" s="240"/>
      <c r="U519" s="240"/>
      <c r="V519" s="240"/>
    </row>
    <row r="520" spans="2:22" s="239" customFormat="1">
      <c r="S520" s="240"/>
      <c r="T520" s="240"/>
      <c r="U520" s="240"/>
      <c r="V520" s="240"/>
    </row>
    <row r="521" spans="2:22" s="239" customFormat="1">
      <c r="B521" s="241"/>
      <c r="P521" s="242"/>
      <c r="S521" s="240"/>
      <c r="T521" s="240"/>
      <c r="U521" s="240"/>
      <c r="V521" s="240"/>
    </row>
    <row r="522" spans="2:22" s="239" customFormat="1">
      <c r="S522" s="240"/>
      <c r="T522" s="240"/>
      <c r="U522" s="240"/>
      <c r="V522" s="240"/>
    </row>
    <row r="523" spans="2:22" s="239" customFormat="1">
      <c r="S523" s="240"/>
      <c r="T523" s="240"/>
      <c r="U523" s="240"/>
      <c r="V523" s="240"/>
    </row>
    <row r="524" spans="2:22" s="239" customFormat="1">
      <c r="B524" s="241"/>
      <c r="P524" s="242"/>
      <c r="S524" s="240"/>
      <c r="T524" s="240"/>
      <c r="U524" s="240"/>
      <c r="V524" s="240"/>
    </row>
    <row r="525" spans="2:22" s="239" customFormat="1">
      <c r="S525" s="240"/>
      <c r="T525" s="240"/>
      <c r="U525" s="240"/>
      <c r="V525" s="240"/>
    </row>
    <row r="526" spans="2:22" s="239" customFormat="1">
      <c r="S526" s="240"/>
      <c r="T526" s="240"/>
      <c r="U526" s="240"/>
      <c r="V526" s="240"/>
    </row>
    <row r="527" spans="2:22" s="239" customFormat="1">
      <c r="B527" s="241"/>
      <c r="P527" s="242"/>
      <c r="S527" s="240"/>
      <c r="T527" s="240"/>
      <c r="U527" s="240"/>
      <c r="V527" s="240"/>
    </row>
    <row r="528" spans="2:22" s="239" customFormat="1">
      <c r="S528" s="240"/>
      <c r="T528" s="240"/>
      <c r="U528" s="240"/>
      <c r="V528" s="240"/>
    </row>
    <row r="529" spans="2:22" s="239" customFormat="1">
      <c r="S529" s="240"/>
      <c r="T529" s="240"/>
      <c r="U529" s="240"/>
      <c r="V529" s="240"/>
    </row>
    <row r="530" spans="2:22" s="239" customFormat="1">
      <c r="B530" s="241"/>
      <c r="P530" s="242"/>
      <c r="S530" s="240"/>
      <c r="T530" s="240"/>
      <c r="U530" s="240"/>
      <c r="V530" s="240"/>
    </row>
    <row r="531" spans="2:22" s="239" customFormat="1">
      <c r="S531" s="240"/>
      <c r="T531" s="240"/>
      <c r="U531" s="240"/>
      <c r="V531" s="240"/>
    </row>
    <row r="532" spans="2:22" s="239" customFormat="1">
      <c r="S532" s="240"/>
      <c r="T532" s="240"/>
      <c r="U532" s="240"/>
      <c r="V532" s="240"/>
    </row>
    <row r="533" spans="2:22" s="239" customFormat="1">
      <c r="B533" s="241"/>
      <c r="P533" s="242"/>
      <c r="S533" s="240"/>
      <c r="T533" s="240"/>
      <c r="U533" s="240"/>
      <c r="V533" s="240"/>
    </row>
    <row r="534" spans="2:22" s="239" customFormat="1">
      <c r="S534" s="240"/>
      <c r="T534" s="240"/>
      <c r="U534" s="240"/>
      <c r="V534" s="240"/>
    </row>
    <row r="535" spans="2:22" s="239" customFormat="1">
      <c r="S535" s="240"/>
      <c r="T535" s="240"/>
      <c r="U535" s="240"/>
      <c r="V535" s="240"/>
    </row>
    <row r="536" spans="2:22" s="239" customFormat="1">
      <c r="B536" s="241"/>
      <c r="P536" s="242"/>
      <c r="S536" s="240"/>
      <c r="T536" s="240"/>
      <c r="U536" s="240"/>
      <c r="V536" s="240"/>
    </row>
    <row r="537" spans="2:22" s="239" customFormat="1">
      <c r="S537" s="240"/>
      <c r="T537" s="240"/>
      <c r="U537" s="240"/>
      <c r="V537" s="240"/>
    </row>
    <row r="538" spans="2:22" s="239" customFormat="1">
      <c r="S538" s="240"/>
      <c r="T538" s="240"/>
      <c r="U538" s="240"/>
      <c r="V538" s="240"/>
    </row>
    <row r="539" spans="2:22" s="239" customFormat="1">
      <c r="B539" s="241"/>
      <c r="P539" s="242"/>
      <c r="S539" s="240"/>
      <c r="T539" s="240"/>
      <c r="U539" s="240"/>
      <c r="V539" s="240"/>
    </row>
    <row r="540" spans="2:22" s="239" customFormat="1">
      <c r="S540" s="240"/>
      <c r="T540" s="240"/>
      <c r="U540" s="240"/>
      <c r="V540" s="240"/>
    </row>
    <row r="541" spans="2:22" s="239" customFormat="1">
      <c r="S541" s="240"/>
      <c r="T541" s="240"/>
      <c r="U541" s="240"/>
      <c r="V541" s="240"/>
    </row>
    <row r="542" spans="2:22" s="239" customFormat="1">
      <c r="B542" s="241"/>
      <c r="P542" s="242"/>
      <c r="S542" s="240"/>
      <c r="T542" s="240"/>
      <c r="U542" s="240"/>
      <c r="V542" s="240"/>
    </row>
    <row r="543" spans="2:22" s="239" customFormat="1">
      <c r="S543" s="240"/>
      <c r="T543" s="240"/>
      <c r="U543" s="240"/>
      <c r="V543" s="240"/>
    </row>
    <row r="544" spans="2:22" s="239" customFormat="1">
      <c r="S544" s="240"/>
      <c r="T544" s="240"/>
      <c r="U544" s="240"/>
      <c r="V544" s="240"/>
    </row>
    <row r="545" spans="2:22" s="239" customFormat="1">
      <c r="B545" s="241"/>
      <c r="P545" s="242"/>
      <c r="S545" s="240"/>
      <c r="T545" s="240"/>
      <c r="U545" s="240"/>
      <c r="V545" s="240"/>
    </row>
    <row r="546" spans="2:22" s="239" customFormat="1">
      <c r="S546" s="240"/>
      <c r="T546" s="240"/>
      <c r="U546" s="240"/>
      <c r="V546" s="240"/>
    </row>
    <row r="547" spans="2:22" s="239" customFormat="1">
      <c r="S547" s="240"/>
      <c r="T547" s="240"/>
      <c r="U547" s="240"/>
      <c r="V547" s="240"/>
    </row>
    <row r="548" spans="2:22" s="239" customFormat="1">
      <c r="B548" s="241"/>
      <c r="P548" s="242"/>
      <c r="S548" s="240"/>
      <c r="T548" s="240"/>
      <c r="U548" s="240"/>
      <c r="V548" s="240"/>
    </row>
    <row r="549" spans="2:22" s="239" customFormat="1">
      <c r="S549" s="240"/>
      <c r="T549" s="240"/>
      <c r="U549" s="240"/>
      <c r="V549" s="240"/>
    </row>
    <row r="550" spans="2:22" s="239" customFormat="1">
      <c r="S550" s="240"/>
      <c r="T550" s="240"/>
      <c r="U550" s="240"/>
      <c r="V550" s="240"/>
    </row>
    <row r="551" spans="2:22" s="239" customFormat="1">
      <c r="B551" s="241"/>
      <c r="P551" s="242"/>
      <c r="S551" s="240"/>
      <c r="T551" s="240"/>
      <c r="U551" s="240"/>
      <c r="V551" s="240"/>
    </row>
    <row r="552" spans="2:22" s="239" customFormat="1">
      <c r="S552" s="240"/>
      <c r="T552" s="240"/>
      <c r="U552" s="240"/>
      <c r="V552" s="240"/>
    </row>
    <row r="553" spans="2:22" s="239" customFormat="1">
      <c r="S553" s="240"/>
      <c r="T553" s="240"/>
      <c r="U553" s="240"/>
      <c r="V553" s="240"/>
    </row>
    <row r="554" spans="2:22" s="239" customFormat="1">
      <c r="B554" s="241"/>
      <c r="P554" s="242"/>
      <c r="S554" s="240"/>
      <c r="T554" s="240"/>
      <c r="U554" s="240"/>
      <c r="V554" s="240"/>
    </row>
    <row r="555" spans="2:22" s="239" customFormat="1">
      <c r="S555" s="240"/>
      <c r="T555" s="240"/>
      <c r="U555" s="240"/>
      <c r="V555" s="240"/>
    </row>
    <row r="556" spans="2:22" s="239" customFormat="1">
      <c r="S556" s="240"/>
      <c r="T556" s="240"/>
      <c r="U556" s="240"/>
      <c r="V556" s="240"/>
    </row>
    <row r="557" spans="2:22" s="239" customFormat="1">
      <c r="B557" s="241"/>
      <c r="P557" s="242"/>
      <c r="S557" s="240"/>
      <c r="T557" s="240"/>
      <c r="U557" s="240"/>
      <c r="V557" s="240"/>
    </row>
    <row r="558" spans="2:22" s="239" customFormat="1">
      <c r="S558" s="240"/>
      <c r="T558" s="240"/>
      <c r="U558" s="240"/>
      <c r="V558" s="240"/>
    </row>
    <row r="559" spans="2:22" s="239" customFormat="1">
      <c r="S559" s="240"/>
      <c r="T559" s="240"/>
      <c r="U559" s="240"/>
      <c r="V559" s="240"/>
    </row>
    <row r="560" spans="2:22" s="239" customFormat="1">
      <c r="B560" s="241"/>
      <c r="P560" s="242"/>
      <c r="S560" s="240"/>
      <c r="T560" s="240"/>
      <c r="U560" s="240"/>
      <c r="V560" s="240"/>
    </row>
    <row r="561" spans="2:22" s="239" customFormat="1">
      <c r="S561" s="240"/>
      <c r="T561" s="240"/>
      <c r="U561" s="240"/>
      <c r="V561" s="240"/>
    </row>
    <row r="562" spans="2:22" s="239" customFormat="1">
      <c r="S562" s="240"/>
      <c r="T562" s="240"/>
      <c r="U562" s="240"/>
      <c r="V562" s="240"/>
    </row>
    <row r="563" spans="2:22" s="239" customFormat="1">
      <c r="B563" s="241"/>
      <c r="P563" s="242"/>
      <c r="S563" s="240"/>
      <c r="T563" s="240"/>
      <c r="U563" s="240"/>
      <c r="V563" s="240"/>
    </row>
    <row r="564" spans="2:22" s="239" customFormat="1">
      <c r="S564" s="240"/>
      <c r="T564" s="240"/>
      <c r="U564" s="240"/>
      <c r="V564" s="240"/>
    </row>
    <row r="565" spans="2:22" s="239" customFormat="1">
      <c r="S565" s="240"/>
      <c r="T565" s="240"/>
      <c r="U565" s="240"/>
      <c r="V565" s="240"/>
    </row>
    <row r="566" spans="2:22" s="239" customFormat="1">
      <c r="B566" s="241"/>
      <c r="P566" s="242"/>
      <c r="S566" s="240"/>
      <c r="T566" s="240"/>
      <c r="U566" s="240"/>
      <c r="V566" s="240"/>
    </row>
    <row r="567" spans="2:22" s="239" customFormat="1">
      <c r="S567" s="240"/>
      <c r="T567" s="240"/>
      <c r="U567" s="240"/>
      <c r="V567" s="240"/>
    </row>
    <row r="568" spans="2:22" s="239" customFormat="1">
      <c r="S568" s="240"/>
      <c r="T568" s="240"/>
      <c r="U568" s="240"/>
      <c r="V568" s="240"/>
    </row>
    <row r="569" spans="2:22" s="239" customFormat="1">
      <c r="B569" s="241"/>
      <c r="P569" s="242"/>
      <c r="S569" s="240"/>
      <c r="T569" s="240"/>
      <c r="U569" s="240"/>
      <c r="V569" s="240"/>
    </row>
    <row r="570" spans="2:22" s="239" customFormat="1">
      <c r="S570" s="240"/>
      <c r="T570" s="240"/>
      <c r="U570" s="240"/>
      <c r="V570" s="240"/>
    </row>
    <row r="571" spans="2:22" s="239" customFormat="1">
      <c r="S571" s="240"/>
      <c r="T571" s="240"/>
      <c r="U571" s="240"/>
      <c r="V571" s="240"/>
    </row>
    <row r="572" spans="2:22" s="239" customFormat="1">
      <c r="B572" s="241"/>
      <c r="P572" s="242"/>
      <c r="S572" s="240"/>
      <c r="T572" s="240"/>
      <c r="U572" s="240"/>
      <c r="V572" s="240"/>
    </row>
    <row r="573" spans="2:22" s="239" customFormat="1">
      <c r="S573" s="240"/>
      <c r="T573" s="240"/>
      <c r="U573" s="240"/>
      <c r="V573" s="240"/>
    </row>
    <row r="574" spans="2:22" s="239" customFormat="1">
      <c r="S574" s="240"/>
      <c r="T574" s="240"/>
      <c r="U574" s="240"/>
      <c r="V574" s="240"/>
    </row>
    <row r="575" spans="2:22" s="239" customFormat="1">
      <c r="B575" s="241"/>
      <c r="P575" s="242"/>
      <c r="S575" s="240"/>
      <c r="T575" s="240"/>
      <c r="U575" s="240"/>
      <c r="V575" s="240"/>
    </row>
    <row r="576" spans="2:22" s="239" customFormat="1">
      <c r="S576" s="240"/>
      <c r="T576" s="240"/>
      <c r="U576" s="240"/>
      <c r="V576" s="240"/>
    </row>
    <row r="577" spans="2:22" s="239" customFormat="1">
      <c r="S577" s="240"/>
      <c r="T577" s="240"/>
      <c r="U577" s="240"/>
      <c r="V577" s="240"/>
    </row>
    <row r="578" spans="2:22" s="239" customFormat="1">
      <c r="B578" s="241"/>
      <c r="P578" s="242"/>
      <c r="S578" s="240"/>
      <c r="T578" s="240"/>
      <c r="U578" s="240"/>
      <c r="V578" s="240"/>
    </row>
    <row r="579" spans="2:22" s="239" customFormat="1">
      <c r="S579" s="240"/>
      <c r="T579" s="240"/>
      <c r="U579" s="240"/>
      <c r="V579" s="240"/>
    </row>
    <row r="580" spans="2:22" s="239" customFormat="1">
      <c r="S580" s="240"/>
      <c r="T580" s="240"/>
      <c r="U580" s="240"/>
      <c r="V580" s="240"/>
    </row>
    <row r="581" spans="2:22" s="239" customFormat="1">
      <c r="B581" s="241"/>
      <c r="P581" s="242"/>
      <c r="S581" s="240"/>
      <c r="T581" s="240"/>
      <c r="U581" s="240"/>
      <c r="V581" s="240"/>
    </row>
    <row r="582" spans="2:22" s="239" customFormat="1">
      <c r="S582" s="240"/>
      <c r="T582" s="240"/>
      <c r="U582" s="240"/>
      <c r="V582" s="240"/>
    </row>
    <row r="583" spans="2:22" s="239" customFormat="1">
      <c r="S583" s="240"/>
      <c r="T583" s="240"/>
      <c r="U583" s="240"/>
      <c r="V583" s="240"/>
    </row>
    <row r="584" spans="2:22" s="239" customFormat="1">
      <c r="B584" s="241"/>
      <c r="P584" s="242"/>
      <c r="S584" s="240"/>
      <c r="T584" s="240"/>
      <c r="U584" s="240"/>
      <c r="V584" s="240"/>
    </row>
    <row r="585" spans="2:22" s="239" customFormat="1">
      <c r="S585" s="240"/>
      <c r="T585" s="240"/>
      <c r="U585" s="240"/>
      <c r="V585" s="240"/>
    </row>
    <row r="586" spans="2:22" s="239" customFormat="1">
      <c r="S586" s="240"/>
      <c r="T586" s="240"/>
      <c r="U586" s="240"/>
      <c r="V586" s="240"/>
    </row>
    <row r="587" spans="2:22" s="239" customFormat="1">
      <c r="B587" s="241"/>
      <c r="P587" s="242"/>
      <c r="S587" s="240"/>
      <c r="T587" s="240"/>
      <c r="U587" s="240"/>
      <c r="V587" s="240"/>
    </row>
    <row r="588" spans="2:22" s="239" customFormat="1">
      <c r="S588" s="240"/>
      <c r="T588" s="240"/>
      <c r="U588" s="240"/>
      <c r="V588" s="240"/>
    </row>
    <row r="589" spans="2:22" s="239" customFormat="1">
      <c r="S589" s="240"/>
      <c r="T589" s="240"/>
      <c r="U589" s="240"/>
      <c r="V589" s="240"/>
    </row>
    <row r="590" spans="2:22" s="239" customFormat="1">
      <c r="B590" s="241"/>
      <c r="P590" s="242"/>
      <c r="S590" s="240"/>
      <c r="T590" s="240"/>
      <c r="U590" s="240"/>
      <c r="V590" s="240"/>
    </row>
    <row r="591" spans="2:22" s="239" customFormat="1">
      <c r="S591" s="240"/>
      <c r="T591" s="240"/>
      <c r="U591" s="240"/>
      <c r="V591" s="240"/>
    </row>
    <row r="592" spans="2:22" s="239" customFormat="1">
      <c r="S592" s="240"/>
      <c r="T592" s="240"/>
      <c r="U592" s="240"/>
      <c r="V592" s="240"/>
    </row>
    <row r="593" spans="2:22" s="239" customFormat="1">
      <c r="B593" s="241"/>
      <c r="P593" s="242"/>
      <c r="S593" s="240"/>
      <c r="T593" s="240"/>
      <c r="U593" s="240"/>
      <c r="V593" s="240"/>
    </row>
    <row r="594" spans="2:22" s="239" customFormat="1">
      <c r="S594" s="240"/>
      <c r="T594" s="240"/>
      <c r="U594" s="240"/>
      <c r="V594" s="240"/>
    </row>
    <row r="595" spans="2:22" s="239" customFormat="1">
      <c r="S595" s="240"/>
      <c r="T595" s="240"/>
      <c r="U595" s="240"/>
      <c r="V595" s="240"/>
    </row>
    <row r="596" spans="2:22" s="239" customFormat="1">
      <c r="B596" s="241"/>
      <c r="P596" s="242"/>
      <c r="S596" s="240"/>
      <c r="T596" s="240"/>
      <c r="U596" s="240"/>
      <c r="V596" s="240"/>
    </row>
    <row r="597" spans="2:22" s="239" customFormat="1">
      <c r="S597" s="240"/>
      <c r="T597" s="240"/>
      <c r="U597" s="240"/>
      <c r="V597" s="240"/>
    </row>
    <row r="598" spans="2:22" s="239" customFormat="1">
      <c r="S598" s="240"/>
      <c r="T598" s="240"/>
      <c r="U598" s="240"/>
      <c r="V598" s="240"/>
    </row>
    <row r="599" spans="2:22" s="239" customFormat="1">
      <c r="B599" s="241"/>
      <c r="P599" s="242"/>
      <c r="S599" s="240"/>
      <c r="T599" s="240"/>
      <c r="U599" s="240"/>
      <c r="V599" s="240"/>
    </row>
    <row r="600" spans="2:22" s="239" customFormat="1">
      <c r="S600" s="240"/>
      <c r="T600" s="240"/>
      <c r="U600" s="240"/>
      <c r="V600" s="240"/>
    </row>
    <row r="601" spans="2:22" s="239" customFormat="1">
      <c r="S601" s="240"/>
      <c r="T601" s="240"/>
      <c r="U601" s="240"/>
      <c r="V601" s="240"/>
    </row>
    <row r="602" spans="2:22" s="239" customFormat="1">
      <c r="B602" s="241"/>
      <c r="P602" s="242"/>
      <c r="S602" s="240"/>
      <c r="T602" s="240"/>
      <c r="U602" s="240"/>
      <c r="V602" s="240"/>
    </row>
    <row r="603" spans="2:22" s="239" customFormat="1">
      <c r="S603" s="240"/>
      <c r="T603" s="240"/>
      <c r="U603" s="240"/>
      <c r="V603" s="240"/>
    </row>
    <row r="604" spans="2:22" s="239" customFormat="1">
      <c r="S604" s="240"/>
      <c r="T604" s="240"/>
      <c r="U604" s="240"/>
      <c r="V604" s="240"/>
    </row>
    <row r="605" spans="2:22" s="239" customFormat="1">
      <c r="B605" s="241"/>
      <c r="P605" s="242"/>
      <c r="S605" s="240"/>
      <c r="T605" s="240"/>
      <c r="U605" s="240"/>
      <c r="V605" s="240"/>
    </row>
    <row r="606" spans="2:22" s="239" customFormat="1">
      <c r="S606" s="240"/>
      <c r="T606" s="240"/>
      <c r="U606" s="240"/>
      <c r="V606" s="240"/>
    </row>
    <row r="607" spans="2:22" s="239" customFormat="1">
      <c r="S607" s="240"/>
      <c r="T607" s="240"/>
      <c r="U607" s="240"/>
      <c r="V607" s="240"/>
    </row>
    <row r="608" spans="2:22" s="239" customFormat="1">
      <c r="B608" s="241"/>
      <c r="P608" s="242"/>
      <c r="S608" s="240"/>
      <c r="T608" s="240"/>
      <c r="U608" s="240"/>
      <c r="V608" s="240"/>
    </row>
    <row r="609" spans="2:22" s="239" customFormat="1">
      <c r="S609" s="240"/>
      <c r="T609" s="240"/>
      <c r="U609" s="240"/>
      <c r="V609" s="240"/>
    </row>
    <row r="610" spans="2:22" s="239" customFormat="1">
      <c r="S610" s="240"/>
      <c r="T610" s="240"/>
      <c r="U610" s="240"/>
      <c r="V610" s="240"/>
    </row>
    <row r="611" spans="2:22" s="239" customFormat="1">
      <c r="B611" s="241"/>
      <c r="P611" s="242"/>
      <c r="S611" s="240"/>
      <c r="T611" s="240"/>
      <c r="U611" s="240"/>
      <c r="V611" s="240"/>
    </row>
    <row r="612" spans="2:22" s="239" customFormat="1">
      <c r="S612" s="240"/>
      <c r="T612" s="240"/>
      <c r="U612" s="240"/>
      <c r="V612" s="240"/>
    </row>
    <row r="613" spans="2:22" s="239" customFormat="1">
      <c r="S613" s="240"/>
      <c r="T613" s="240"/>
      <c r="U613" s="240"/>
      <c r="V613" s="240"/>
    </row>
    <row r="614" spans="2:22" s="239" customFormat="1">
      <c r="B614" s="241"/>
      <c r="P614" s="242"/>
      <c r="S614" s="240"/>
      <c r="T614" s="240"/>
      <c r="U614" s="240"/>
      <c r="V614" s="240"/>
    </row>
    <row r="615" spans="2:22" s="239" customFormat="1">
      <c r="S615" s="240"/>
      <c r="T615" s="240"/>
      <c r="U615" s="240"/>
      <c r="V615" s="240"/>
    </row>
    <row r="616" spans="2:22" s="239" customFormat="1">
      <c r="S616" s="240"/>
      <c r="T616" s="240"/>
      <c r="U616" s="240"/>
      <c r="V616" s="240"/>
    </row>
    <row r="617" spans="2:22" s="239" customFormat="1">
      <c r="B617" s="241"/>
      <c r="P617" s="242"/>
      <c r="S617" s="240"/>
      <c r="T617" s="240"/>
      <c r="U617" s="240"/>
      <c r="V617" s="240"/>
    </row>
    <row r="618" spans="2:22" s="239" customFormat="1"/>
    <row r="619" spans="2:22" s="239" customFormat="1"/>
    <row r="620" spans="2:22" s="239" customFormat="1"/>
    <row r="621" spans="2:22" s="239" customFormat="1"/>
    <row r="622" spans="2:22" s="239" customFormat="1"/>
    <row r="623" spans="2:22" s="239" customFormat="1"/>
    <row r="624" spans="2:22" s="239" customFormat="1"/>
    <row r="625" s="239" customFormat="1"/>
    <row r="626" s="239" customFormat="1"/>
    <row r="627" s="239" customFormat="1"/>
    <row r="628" s="239" customFormat="1"/>
    <row r="629" s="239" customFormat="1"/>
    <row r="630" s="239" customFormat="1"/>
    <row r="631" s="239" customFormat="1"/>
    <row r="632" s="239" customFormat="1"/>
    <row r="633" s="239" customFormat="1"/>
    <row r="634" s="239" customFormat="1"/>
    <row r="635" s="239" customFormat="1"/>
    <row r="636" s="239" customFormat="1"/>
    <row r="637" s="239" customFormat="1"/>
    <row r="638" s="239" customFormat="1"/>
    <row r="639" s="239" customFormat="1"/>
    <row r="640" s="239" customFormat="1"/>
    <row r="641" s="239" customFormat="1"/>
    <row r="642" s="239" customFormat="1"/>
    <row r="643" s="239" customFormat="1"/>
    <row r="644" s="239" customFormat="1"/>
    <row r="645" s="239" customFormat="1"/>
    <row r="646" s="239" customFormat="1"/>
    <row r="647" s="239" customFormat="1"/>
    <row r="648" s="239" customFormat="1"/>
    <row r="649" s="239" customFormat="1"/>
    <row r="650" s="239" customFormat="1"/>
    <row r="651" s="239" customFormat="1"/>
    <row r="652" s="239" customFormat="1"/>
    <row r="653" s="239" customFormat="1"/>
    <row r="654" s="239" customFormat="1"/>
    <row r="655" s="239" customFormat="1"/>
    <row r="656" s="239" customFormat="1"/>
    <row r="657" s="239" customFormat="1"/>
    <row r="658" s="239" customFormat="1"/>
    <row r="659" s="239" customFormat="1"/>
    <row r="660" s="239" customFormat="1"/>
    <row r="661" s="239" customFormat="1"/>
    <row r="662" s="239" customFormat="1"/>
    <row r="663" s="239" customFormat="1"/>
    <row r="664" s="239" customFormat="1"/>
    <row r="665" s="239" customFormat="1"/>
    <row r="666" s="239" customFormat="1"/>
    <row r="667" s="239" customFormat="1"/>
    <row r="668" s="239" customFormat="1"/>
    <row r="669" s="239" customFormat="1"/>
    <row r="670" s="239" customFormat="1"/>
    <row r="671" s="239" customFormat="1"/>
    <row r="672" s="239" customFormat="1"/>
    <row r="673" s="239" customFormat="1"/>
    <row r="674" s="239" customFormat="1"/>
    <row r="675" s="239" customFormat="1"/>
    <row r="676" s="239" customFormat="1"/>
    <row r="677" s="239" customFormat="1"/>
    <row r="678" s="239" customFormat="1"/>
    <row r="679" s="239" customFormat="1"/>
    <row r="680" s="239" customFormat="1"/>
    <row r="681" s="239" customFormat="1"/>
    <row r="682" s="239" customFormat="1"/>
    <row r="683" s="239" customFormat="1"/>
    <row r="684" s="239" customFormat="1"/>
    <row r="685" s="239" customFormat="1"/>
    <row r="686" s="239" customFormat="1"/>
    <row r="687" s="239" customFormat="1"/>
    <row r="688" s="239" customFormat="1"/>
    <row r="689" s="239" customFormat="1"/>
    <row r="690" s="239" customFormat="1"/>
    <row r="691" s="239" customFormat="1"/>
    <row r="692" s="239" customFormat="1"/>
    <row r="693" s="239" customFormat="1"/>
    <row r="694" s="239" customFormat="1"/>
    <row r="695" s="239" customFormat="1"/>
    <row r="696" s="239" customFormat="1"/>
    <row r="697" s="239" customFormat="1"/>
    <row r="698" s="239" customFormat="1"/>
    <row r="699" s="239" customFormat="1"/>
    <row r="700" s="239" customFormat="1"/>
    <row r="701" s="239" customFormat="1"/>
    <row r="702" s="239" customFormat="1"/>
    <row r="703" s="239" customFormat="1"/>
    <row r="704" s="239" customFormat="1"/>
    <row r="705" s="239" customFormat="1"/>
    <row r="706" s="239" customFormat="1"/>
    <row r="707" s="239" customFormat="1"/>
    <row r="708" s="239" customFormat="1"/>
    <row r="709" s="239" customFormat="1"/>
    <row r="710" s="239" customFormat="1"/>
    <row r="711" s="239" customFormat="1"/>
    <row r="712" s="239" customFormat="1"/>
    <row r="713" s="239" customFormat="1"/>
    <row r="714" s="239" customFormat="1"/>
    <row r="715" s="239" customFormat="1"/>
    <row r="716" s="239" customFormat="1"/>
    <row r="717" s="239" customFormat="1"/>
    <row r="718" s="239" customFormat="1"/>
    <row r="719" s="239" customFormat="1"/>
    <row r="720" s="239" customFormat="1"/>
    <row r="721" s="239" customFormat="1"/>
    <row r="722" s="239" customFormat="1"/>
    <row r="723" s="239" customFormat="1"/>
    <row r="724" s="239" customFormat="1"/>
    <row r="725" s="239" customFormat="1"/>
    <row r="726" s="239" customFormat="1"/>
    <row r="727" s="239" customFormat="1"/>
    <row r="728" s="239" customFormat="1"/>
    <row r="729" s="239" customFormat="1"/>
    <row r="730" s="239" customFormat="1"/>
    <row r="731" s="239" customFormat="1"/>
    <row r="732" s="239" customFormat="1"/>
    <row r="733" s="239" customFormat="1"/>
    <row r="734" s="239" customFormat="1"/>
    <row r="735" s="239" customFormat="1"/>
    <row r="736" s="239" customFormat="1"/>
    <row r="737" s="239" customFormat="1"/>
    <row r="738" s="239" customFormat="1"/>
    <row r="739" s="239" customFormat="1"/>
    <row r="740" s="239" customFormat="1"/>
    <row r="741" s="239" customFormat="1"/>
    <row r="742" s="239" customFormat="1"/>
    <row r="743" s="239" customFormat="1"/>
    <row r="744" s="239" customFormat="1"/>
    <row r="745" s="239" customFormat="1"/>
    <row r="746" s="239" customFormat="1"/>
    <row r="747" s="239" customFormat="1"/>
    <row r="748" s="239" customFormat="1"/>
    <row r="749" s="239" customFormat="1"/>
    <row r="750" s="239" customFormat="1"/>
    <row r="751" s="239" customFormat="1"/>
    <row r="752" s="239" customFormat="1"/>
    <row r="753" s="239" customFormat="1"/>
    <row r="754" s="239" customFormat="1"/>
    <row r="755" s="239" customFormat="1"/>
    <row r="756" s="239" customFormat="1"/>
    <row r="757" s="239" customFormat="1"/>
    <row r="758" s="239" customFormat="1"/>
    <row r="759" s="239" customFormat="1"/>
    <row r="760" s="239" customFormat="1"/>
    <row r="761" s="239" customFormat="1"/>
    <row r="762" s="239" customFormat="1"/>
    <row r="763" s="239" customFormat="1"/>
    <row r="764" s="239" customFormat="1"/>
    <row r="765" s="239" customFormat="1"/>
    <row r="766" s="239" customFormat="1"/>
    <row r="767" s="239" customFormat="1"/>
    <row r="768" s="239" customFormat="1"/>
    <row r="769" s="239" customFormat="1"/>
    <row r="770" s="239" customFormat="1"/>
    <row r="771" s="239" customFormat="1"/>
    <row r="772" s="239" customFormat="1"/>
    <row r="773" s="239" customFormat="1"/>
    <row r="774" s="239" customFormat="1"/>
    <row r="775" s="239" customFormat="1"/>
    <row r="776" s="239" customFormat="1"/>
    <row r="777" s="239" customFormat="1"/>
    <row r="778" s="239" customFormat="1"/>
    <row r="779" s="239" customFormat="1"/>
    <row r="780" s="239" customFormat="1"/>
    <row r="781" s="239" customFormat="1"/>
    <row r="782" s="239" customFormat="1"/>
    <row r="783" s="239" customFormat="1"/>
    <row r="784" s="239" customFormat="1"/>
    <row r="785" s="239" customFormat="1"/>
    <row r="786" s="239" customFormat="1"/>
    <row r="787" s="239" customFormat="1"/>
    <row r="788" s="239" customFormat="1"/>
    <row r="789" s="239" customFormat="1"/>
    <row r="790" s="239" customFormat="1"/>
    <row r="791" s="239" customFormat="1"/>
    <row r="792" s="239" customFormat="1"/>
    <row r="793" s="239" customFormat="1"/>
    <row r="794" s="239" customFormat="1"/>
    <row r="795" s="239" customFormat="1"/>
    <row r="796" s="239" customFormat="1"/>
    <row r="797" s="239" customFormat="1"/>
    <row r="798" s="239" customFormat="1"/>
    <row r="799" s="239" customFormat="1"/>
    <row r="800" s="239" customFormat="1"/>
    <row r="801" s="239" customFormat="1"/>
    <row r="802" s="239" customFormat="1"/>
    <row r="803" s="239" customFormat="1"/>
    <row r="804" s="239" customFormat="1"/>
    <row r="805" s="239" customFormat="1"/>
    <row r="806" s="239" customFormat="1"/>
    <row r="807" s="239" customFormat="1"/>
    <row r="808" s="239" customFormat="1"/>
    <row r="809" s="239" customFormat="1"/>
    <row r="810" s="239" customFormat="1"/>
    <row r="811" s="239" customFormat="1"/>
    <row r="812" s="239" customFormat="1"/>
    <row r="813" s="239" customFormat="1"/>
    <row r="814" s="239" customFormat="1"/>
    <row r="815" s="239" customFormat="1"/>
    <row r="816" s="239" customFormat="1"/>
    <row r="817" s="239" customFormat="1"/>
    <row r="818" s="239" customFormat="1"/>
    <row r="819" s="239" customFormat="1"/>
    <row r="820" s="239" customFormat="1"/>
    <row r="821" s="239" customFormat="1"/>
    <row r="822" s="239" customFormat="1"/>
    <row r="823" s="239" customFormat="1"/>
    <row r="824" s="239" customFormat="1"/>
    <row r="825" s="239" customFormat="1"/>
    <row r="826" s="239" customFormat="1"/>
    <row r="827" s="239" customFormat="1"/>
    <row r="828" s="239" customFormat="1"/>
    <row r="829" s="239" customFormat="1"/>
    <row r="830" s="239" customFormat="1"/>
    <row r="831" s="239" customFormat="1"/>
    <row r="832" s="239" customFormat="1"/>
    <row r="833" s="239" customFormat="1"/>
    <row r="834" s="239" customFormat="1"/>
    <row r="835" s="239" customFormat="1"/>
    <row r="836" s="239" customFormat="1"/>
    <row r="837" s="239" customFormat="1"/>
    <row r="838" s="239" customFormat="1"/>
    <row r="839" s="239" customFormat="1"/>
    <row r="840" s="239" customFormat="1"/>
    <row r="841" s="239" customFormat="1"/>
    <row r="842" s="239" customFormat="1"/>
    <row r="843" s="239" customFormat="1"/>
    <row r="844" s="239" customFormat="1"/>
    <row r="845" s="239" customFormat="1"/>
    <row r="846" s="239" customFormat="1"/>
    <row r="847" s="239" customFormat="1"/>
    <row r="848" s="239" customFormat="1"/>
    <row r="849" s="239" customFormat="1"/>
    <row r="850" s="239" customFormat="1"/>
    <row r="851" s="239" customFormat="1"/>
    <row r="852" s="239" customFormat="1"/>
    <row r="853" s="239" customFormat="1"/>
    <row r="854" s="239" customFormat="1"/>
    <row r="855" s="239" customFormat="1"/>
    <row r="856" s="239" customFormat="1"/>
    <row r="857" s="239" customFormat="1"/>
    <row r="858" s="239" customFormat="1"/>
    <row r="859" s="239" customFormat="1"/>
    <row r="860" s="239" customFormat="1"/>
    <row r="861" s="239" customFormat="1"/>
    <row r="862" s="239" customFormat="1"/>
    <row r="863" s="239" customFormat="1"/>
    <row r="864" s="239" customFormat="1"/>
    <row r="865" s="239" customFormat="1"/>
    <row r="866" s="239" customFormat="1"/>
    <row r="867" s="239" customFormat="1"/>
    <row r="868" s="239" customFormat="1"/>
    <row r="869" s="239" customFormat="1"/>
    <row r="870" s="239" customFormat="1"/>
    <row r="871" s="239" customFormat="1"/>
    <row r="872" s="239" customFormat="1"/>
    <row r="873" s="239" customFormat="1"/>
    <row r="874" s="239" customFormat="1"/>
    <row r="875" s="239" customFormat="1"/>
    <row r="876" s="239" customFormat="1"/>
    <row r="877" s="239" customFormat="1"/>
    <row r="878" s="239" customFormat="1"/>
    <row r="879" s="239" customFormat="1"/>
    <row r="880" s="239" customFormat="1"/>
    <row r="881" s="239" customFormat="1"/>
    <row r="882" s="239" customForma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NEW...Tables 87-90</vt:lpstr>
      <vt:lpstr>OLD...Tables</vt:lpstr>
      <vt:lpstr>NEW...Tables 91-112</vt:lpstr>
      <vt:lpstr>OLD...Tabs</vt:lpstr>
      <vt:lpstr>Pivot Table for Data Exchange</vt:lpstr>
      <vt:lpstr>E-learning credit hours</vt:lpstr>
      <vt:lpstr>Format for DE pivot</vt:lpstr>
      <vt:lpstr>Summary Table for Fact Book</vt:lpstr>
      <vt:lpstr>Pivot Table for Fact Book</vt:lpstr>
      <vt:lpstr>Format for FB Pivot Tab</vt:lpstr>
      <vt:lpstr>'NEW...Tables 87-90'!Print_Area</vt:lpstr>
      <vt:lpstr>'NEW...Tables 91-112'!Print_Area</vt:lpstr>
      <vt:lpstr>OLD...Tables!Print_Area</vt:lpstr>
      <vt:lpstr>OLD...Tabs!Print_Area</vt:lpstr>
      <vt:lpstr>'E-learning credit hours'!Type13gr1</vt:lpstr>
      <vt:lpstr>'E-learning credit hours'!Type13gr2</vt:lpstr>
      <vt:lpstr>'E-learning credit hours'!Type13gr3</vt:lpstr>
      <vt:lpstr>'E-learning credit hours'!Type13gr4</vt:lpstr>
      <vt:lpstr>'E-learning credit hours'!Type13gr5_1</vt:lpstr>
      <vt:lpstr>'E-learning credit hours'!Type13ug1</vt:lpstr>
      <vt:lpstr>'E-learning credit hours'!Type13ug2</vt:lpstr>
      <vt:lpstr>'E-learning credit hours'!Type13ug3</vt:lpstr>
      <vt:lpstr>'E-learning credit hours'!Type13ug4</vt:lpstr>
      <vt:lpstr>'E-learning credit hours'!Type13ug5</vt:lpstr>
      <vt:lpstr>'E-learning credit hours'!Type14gr1</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Lisa Cowan</cp:lastModifiedBy>
  <cp:lastPrinted>2016-03-15T16:03:45Z</cp:lastPrinted>
  <dcterms:created xsi:type="dcterms:W3CDTF">2010-11-24T15:25:05Z</dcterms:created>
  <dcterms:modified xsi:type="dcterms:W3CDTF">2016-03-15T16:05:07Z</dcterms:modified>
</cp:coreProperties>
</file>